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65" yWindow="270" windowWidth="14385" windowHeight="9345" tabRatio="914" activeTab="19"/>
  </bookViews>
  <sheets>
    <sheet name="пр.1дох.21" sheetId="1" r:id="rId1"/>
    <sheet name="Пр.1.1. дох.22-23" sheetId="12" r:id="rId2"/>
    <sheet name="Пр.1.1. дох.22-23 (2)" sheetId="19" state="hidden" r:id="rId3"/>
    <sheet name="пр.2 Рд,пр 21" sheetId="2" r:id="rId4"/>
    <sheet name="пр.2.1. рдпр 22-23" sheetId="13" r:id="rId5"/>
    <sheet name="Пр.3 Рд,пр, ЦС,ВР 21" sheetId="3" r:id="rId6"/>
    <sheet name="пр.4.1. рдпр 22-23 (2)" sheetId="20" state="hidden" r:id="rId7"/>
    <sheet name="пр.3.1.рдпрцс 22-23" sheetId="14" r:id="rId8"/>
    <sheet name="пр.5.1.рдпрцс 22-23 (2)" sheetId="21" state="hidden" r:id="rId9"/>
    <sheet name="Пр.4 ведом.21" sheetId="4" r:id="rId10"/>
    <sheet name="Прил.№5 ведомств.старая" sheetId="10" state="hidden" r:id="rId11"/>
    <sheet name="пр.4.1.ведом.22-23" sheetId="15" r:id="rId12"/>
    <sheet name="пр.6.1.ведом.22-23 (2)" sheetId="22" state="hidden" r:id="rId13"/>
    <sheet name="пр.5 МП 21" sheetId="5" r:id="rId14"/>
    <sheet name="прил.№6 МП старая" sheetId="11" state="hidden" r:id="rId15"/>
    <sheet name="пр.5.1.МП 22-23" sheetId="16" r:id="rId16"/>
    <sheet name="пр.6 публ. 21" sheetId="6" r:id="rId17"/>
    <sheet name="пр.6.1.публ.22-23" sheetId="17" r:id="rId18"/>
    <sheet name="пр.7.1.МП 22-23 (2)" sheetId="23" state="hidden" r:id="rId19"/>
    <sheet name="пр.7 ист-ки 21" sheetId="7" r:id="rId20"/>
    <sheet name="пр.8.1.ист-ки 22-23  (2)" sheetId="24" state="hidden" r:id="rId21"/>
    <sheet name="пр.8.1.ист-ки 22-23 " sheetId="18" state="hidden" r:id="rId22"/>
    <sheet name="Лист1" sheetId="25" state="hidden" r:id="rId23"/>
  </sheets>
  <externalReferences>
    <externalReference r:id="rId24"/>
  </externalReferences>
  <definedNames>
    <definedName name="_xlnm._FilterDatabase" localSheetId="0" hidden="1">пр.1дох.21!$A$1:$C$189</definedName>
    <definedName name="_xlnm._FilterDatabase" localSheetId="5" hidden="1">'Пр.3 Рд,пр, ЦС,ВР 21'!$A$7:$F$1120</definedName>
    <definedName name="_xlnm._FilterDatabase" localSheetId="7" hidden="1">'пр.3.1.рдпрцс 22-23'!$A$7:$G$972</definedName>
    <definedName name="_xlnm._FilterDatabase" localSheetId="9" hidden="1">'Пр.4 ведом.21'!$A$8:$G$1180</definedName>
    <definedName name="_xlnm._FilterDatabase" localSheetId="8" hidden="1">'пр.5.1.рдпрцс 22-23 (2)'!$A$7:$G$972</definedName>
    <definedName name="_xlnm.Print_Area" localSheetId="22">Лист1!$A$1:$H$25</definedName>
    <definedName name="_xlnm.Print_Area" localSheetId="1">'Пр.1.1. дох.22-23'!$A$1:$D$157</definedName>
    <definedName name="_xlnm.Print_Area" localSheetId="2">'Пр.1.1. дох.22-23 (2)'!$A$1:$D$155</definedName>
    <definedName name="_xlnm.Print_Area" localSheetId="0">пр.1дох.21!$A$1:$H$189</definedName>
    <definedName name="_xlnm.Print_Area" localSheetId="3">'пр.2 Рд,пр 21'!$A$1:$D$52</definedName>
    <definedName name="_xlnm.Print_Area" localSheetId="4">'пр.2.1. рдпр 22-23'!$A$1:$E$51</definedName>
    <definedName name="_xlnm.Print_Area" localSheetId="5">'Пр.3 Рд,пр, ЦС,ВР 21'!$A$1:$F$1118</definedName>
    <definedName name="_xlnm.Print_Area" localSheetId="7">'пр.3.1.рдпрцс 22-23'!$A$1:$G$970</definedName>
    <definedName name="_xlnm.Print_Area" localSheetId="9">'Пр.4 ведом.21'!$A$1:$G$1245</definedName>
    <definedName name="_xlnm.Print_Area" localSheetId="11">'пр.4.1.ведом.22-23'!$A$1:$H$1094</definedName>
    <definedName name="_xlnm.Print_Area" localSheetId="13">'пр.5 МП 21'!$A$1:$G$994</definedName>
    <definedName name="_xlnm.Print_Area" localSheetId="15">'пр.5.1.МП 22-23'!$A$1:$H$893</definedName>
    <definedName name="_xlnm.Print_Area" localSheetId="8">'пр.5.1.рдпрцс 22-23 (2)'!$A$1:$G$970</definedName>
    <definedName name="_xlnm.Print_Area" localSheetId="12">'пр.6.1.ведом.22-23 (2)'!$A$1:$AM$1108</definedName>
    <definedName name="_xlnm.Print_Area" localSheetId="19">'пр.7 ист-ки 21'!$A$1:$C$17</definedName>
    <definedName name="_xlnm.Print_Area" localSheetId="18">'пр.7.1.МП 22-23 (2)'!$A$1:$H$893</definedName>
    <definedName name="_xlnm.Print_Area" localSheetId="10">'Прил.№5 ведомств.старая'!$A$1:$H$975</definedName>
    <definedName name="_xlnm.Print_Area" localSheetId="14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G574" i="4" l="1"/>
  <c r="G899" i="15" l="1"/>
  <c r="G419" i="4" l="1"/>
  <c r="G545" i="4"/>
  <c r="G61" i="4" l="1"/>
  <c r="G195" i="4"/>
  <c r="G147" i="4"/>
  <c r="G123" i="4"/>
  <c r="G68" i="4"/>
  <c r="G59" i="4"/>
  <c r="G74" i="4" l="1"/>
  <c r="G1187" i="4"/>
  <c r="G940" i="4"/>
  <c r="G929" i="4"/>
  <c r="G703" i="4"/>
  <c r="G860" i="4"/>
  <c r="G628" i="4"/>
  <c r="G762" i="4"/>
  <c r="G729" i="4"/>
  <c r="G732" i="4"/>
  <c r="G833" i="4"/>
  <c r="G770" i="4"/>
  <c r="G576" i="4" l="1"/>
  <c r="G578" i="4"/>
  <c r="G566" i="4"/>
  <c r="G479" i="4"/>
  <c r="G462" i="4"/>
  <c r="G404" i="4"/>
  <c r="G326" i="4"/>
  <c r="G48" i="4"/>
  <c r="G16" i="4" l="1"/>
  <c r="F135" i="3" l="1"/>
  <c r="F134" i="3" s="1"/>
  <c r="F133" i="3" s="1"/>
  <c r="G1179" i="4" l="1"/>
  <c r="H899" i="15"/>
  <c r="G1193" i="4" l="1"/>
  <c r="G975" i="4"/>
  <c r="G968" i="4"/>
  <c r="G1108" i="4"/>
  <c r="G402" i="4" l="1"/>
  <c r="G409" i="4"/>
  <c r="G483" i="4"/>
  <c r="F941" i="3" s="1"/>
  <c r="F940" i="3" s="1"/>
  <c r="G481" i="4"/>
  <c r="G536" i="4"/>
  <c r="G534" i="4"/>
  <c r="G347" i="4"/>
  <c r="D54" i="12" l="1"/>
  <c r="C54" i="12"/>
  <c r="D53" i="12"/>
  <c r="C53" i="12"/>
  <c r="D51" i="12"/>
  <c r="C51" i="12"/>
  <c r="D50" i="12"/>
  <c r="C50" i="12"/>
  <c r="C108" i="1" l="1"/>
  <c r="C177" i="1"/>
  <c r="C137" i="1"/>
  <c r="C136" i="1"/>
  <c r="C55" i="1"/>
  <c r="C54" i="1"/>
  <c r="C52" i="1"/>
  <c r="C51" i="1"/>
  <c r="C86" i="1" l="1"/>
  <c r="C88" i="1" l="1"/>
  <c r="C96" i="1"/>
  <c r="G482" i="4" l="1"/>
  <c r="G324" i="4"/>
  <c r="G334" i="4"/>
  <c r="G635" i="4"/>
  <c r="G250" i="4"/>
  <c r="G237" i="4"/>
  <c r="G191" i="4"/>
  <c r="G149" i="4"/>
  <c r="G169" i="4"/>
  <c r="G160" i="4"/>
  <c r="G174" i="4"/>
  <c r="G65" i="4"/>
  <c r="G42" i="4"/>
  <c r="G665" i="4"/>
  <c r="G1036" i="4" l="1"/>
  <c r="D20" i="12" l="1"/>
  <c r="D19" i="12"/>
  <c r="D18" i="12"/>
  <c r="C20" i="12"/>
  <c r="C19" i="12"/>
  <c r="C18" i="12"/>
  <c r="C21" i="1" l="1"/>
  <c r="C20" i="1"/>
  <c r="C19" i="1"/>
  <c r="G1030" i="4" l="1"/>
  <c r="G883" i="4" l="1"/>
  <c r="F462" i="14" l="1"/>
  <c r="G339" i="14"/>
  <c r="H339" i="14"/>
  <c r="I339" i="14"/>
  <c r="J339" i="14"/>
  <c r="F904" i="14"/>
  <c r="F903" i="14" s="1"/>
  <c r="F894" i="14"/>
  <c r="F893" i="14" s="1"/>
  <c r="F386" i="14"/>
  <c r="F385" i="14" s="1"/>
  <c r="F378" i="14"/>
  <c r="F377" i="14" s="1"/>
  <c r="F374" i="14"/>
  <c r="F373" i="14" s="1"/>
  <c r="F366" i="14"/>
  <c r="F365" i="14" s="1"/>
  <c r="F344" i="14"/>
  <c r="F343" i="14" s="1"/>
  <c r="F39" i="14"/>
  <c r="F36" i="14"/>
  <c r="F34" i="14"/>
  <c r="G379" i="5"/>
  <c r="G380" i="5" s="1"/>
  <c r="G167" i="5"/>
  <c r="G168" i="5" s="1"/>
  <c r="G455" i="5"/>
  <c r="G456" i="5" s="1"/>
  <c r="G570" i="5"/>
  <c r="G571" i="5" s="1"/>
  <c r="G534" i="5"/>
  <c r="G533" i="5" s="1"/>
  <c r="G532" i="5" s="1"/>
  <c r="G848" i="5"/>
  <c r="G849" i="5" s="1"/>
  <c r="G984" i="5"/>
  <c r="G985" i="5"/>
  <c r="F251" i="3"/>
  <c r="F176" i="3"/>
  <c r="F174" i="3"/>
  <c r="F173" i="3" s="1"/>
  <c r="F177" i="3"/>
  <c r="F175" i="3" l="1"/>
  <c r="G378" i="5"/>
  <c r="G377" i="5" s="1"/>
  <c r="G376" i="5" s="1"/>
  <c r="G375" i="5" s="1"/>
  <c r="G374" i="5" s="1"/>
  <c r="G569" i="5"/>
  <c r="G568" i="5" s="1"/>
  <c r="G166" i="5"/>
  <c r="G165" i="5" s="1"/>
  <c r="G535" i="5"/>
  <c r="G454" i="5"/>
  <c r="G453" i="5" s="1"/>
  <c r="G847" i="5"/>
  <c r="G846" i="5" s="1"/>
  <c r="G845" i="5" s="1"/>
  <c r="G844" i="5" s="1"/>
  <c r="G843" i="5" s="1"/>
  <c r="AM1260" i="4" l="1"/>
  <c r="AH1259" i="4"/>
  <c r="AH1258" i="4"/>
  <c r="S1249" i="4"/>
  <c r="R1249" i="4"/>
  <c r="L1249" i="4"/>
  <c r="L1248" i="4"/>
  <c r="F189" i="3" l="1"/>
  <c r="F1112" i="3"/>
  <c r="F1111" i="3" s="1"/>
  <c r="F1110" i="3" s="1"/>
  <c r="F1088" i="3"/>
  <c r="F1087" i="3" s="1"/>
  <c r="F1086" i="3" s="1"/>
  <c r="F1073" i="3"/>
  <c r="F1072" i="3" s="1"/>
  <c r="F1071" i="3" s="1"/>
  <c r="F1024" i="3"/>
  <c r="F1023" i="3" s="1"/>
  <c r="F1022" i="3" s="1"/>
  <c r="F949" i="3"/>
  <c r="F948" i="3" s="1"/>
  <c r="F947" i="3" s="1"/>
  <c r="F928" i="3"/>
  <c r="F927" i="3" s="1"/>
  <c r="F926" i="3" s="1"/>
  <c r="F904" i="3"/>
  <c r="F854" i="3"/>
  <c r="F853" i="3" s="1"/>
  <c r="F852" i="3" s="1"/>
  <c r="F830" i="3"/>
  <c r="F829" i="3" s="1"/>
  <c r="F828" i="3" s="1"/>
  <c r="F737" i="3"/>
  <c r="F736" i="3" s="1"/>
  <c r="F735" i="3" s="1"/>
  <c r="F734" i="3" s="1"/>
  <c r="F712" i="3"/>
  <c r="F711" i="3" s="1"/>
  <c r="F710" i="3" s="1"/>
  <c r="F749" i="3"/>
  <c r="F748" i="3" s="1"/>
  <c r="F747" i="3" s="1"/>
  <c r="F546" i="3"/>
  <c r="F545" i="3" s="1"/>
  <c r="F544" i="3" s="1"/>
  <c r="F515" i="3"/>
  <c r="F514" i="3" s="1"/>
  <c r="F513" i="3" s="1"/>
  <c r="F432" i="3"/>
  <c r="F431" i="3" s="1"/>
  <c r="F430" i="3" s="1"/>
  <c r="F429" i="3" s="1"/>
  <c r="F280" i="3"/>
  <c r="F279" i="3" s="1"/>
  <c r="F278" i="3" s="1"/>
  <c r="F180" i="3"/>
  <c r="F179" i="3" s="1"/>
  <c r="F178" i="3" s="1"/>
  <c r="F201" i="3"/>
  <c r="F200" i="3" s="1"/>
  <c r="F199" i="3" s="1"/>
  <c r="F147" i="3"/>
  <c r="F146" i="3" s="1"/>
  <c r="F145" i="3" s="1"/>
  <c r="F67" i="3"/>
  <c r="F66" i="3" s="1"/>
  <c r="F65" i="3" s="1"/>
  <c r="F46" i="3"/>
  <c r="F45" i="3" s="1"/>
  <c r="F44" i="3" s="1"/>
  <c r="F22" i="3"/>
  <c r="F21" i="3" s="1"/>
  <c r="F20" i="3" s="1"/>
  <c r="G706" i="15"/>
  <c r="C123" i="12"/>
  <c r="G53" i="4"/>
  <c r="D98" i="12"/>
  <c r="G396" i="15" l="1"/>
  <c r="H396" i="15"/>
  <c r="H76" i="15"/>
  <c r="G76" i="15"/>
  <c r="D142" i="12"/>
  <c r="C142" i="12"/>
  <c r="H871" i="15"/>
  <c r="G871" i="15"/>
  <c r="G904" i="15"/>
  <c r="G903" i="15" s="1"/>
  <c r="G1081" i="15"/>
  <c r="G1080" i="15" s="1"/>
  <c r="G1022" i="15"/>
  <c r="G1021" i="15" s="1"/>
  <c r="G934" i="15"/>
  <c r="G933" i="15" s="1"/>
  <c r="G946" i="15"/>
  <c r="G945" i="15" s="1"/>
  <c r="G938" i="15"/>
  <c r="G937" i="15" s="1"/>
  <c r="G926" i="15"/>
  <c r="G925" i="15" s="1"/>
  <c r="G879" i="15"/>
  <c r="G878" i="15" s="1"/>
  <c r="G784" i="15"/>
  <c r="G783" i="15" s="1"/>
  <c r="G773" i="15"/>
  <c r="G772" i="15" s="1"/>
  <c r="G649" i="15"/>
  <c r="G648" i="15" s="1"/>
  <c r="G642" i="15"/>
  <c r="G641" i="15" s="1"/>
  <c r="G646" i="15"/>
  <c r="G639" i="15"/>
  <c r="G638" i="15" s="1"/>
  <c r="G570" i="15"/>
  <c r="G569" i="15" s="1"/>
  <c r="G573" i="15"/>
  <c r="G572" i="15" s="1"/>
  <c r="G594" i="4" l="1"/>
  <c r="G515" i="4" l="1"/>
  <c r="G267" i="4"/>
  <c r="G523" i="4"/>
  <c r="G497" i="4"/>
  <c r="G527" i="4"/>
  <c r="G40" i="4"/>
  <c r="G735" i="4"/>
  <c r="G742" i="4"/>
  <c r="C160" i="1" l="1"/>
  <c r="G84" i="4" l="1"/>
  <c r="G854" i="4" l="1"/>
  <c r="G858" i="4"/>
  <c r="G839" i="4"/>
  <c r="G794" i="4"/>
  <c r="G652" i="4"/>
  <c r="G668" i="4"/>
  <c r="G658" i="4"/>
  <c r="G1225" i="4"/>
  <c r="G1220" i="4"/>
  <c r="G970" i="4" l="1"/>
  <c r="G1191" i="4"/>
  <c r="G1161" i="4"/>
  <c r="G1004" i="4"/>
  <c r="G923" i="4"/>
  <c r="G906" i="4"/>
  <c r="G932" i="4"/>
  <c r="G1232" i="4" l="1"/>
  <c r="G1231" i="4" s="1"/>
  <c r="G1170" i="4"/>
  <c r="G1169" i="4" s="1"/>
  <c r="G1203" i="4"/>
  <c r="G1202" i="4" s="1"/>
  <c r="G949" i="4"/>
  <c r="G948" i="4" s="1"/>
  <c r="G934" i="4"/>
  <c r="G933" i="4" s="1"/>
  <c r="G846" i="4"/>
  <c r="G845" i="4" s="1"/>
  <c r="G867" i="4"/>
  <c r="G866" i="4" s="1"/>
  <c r="G587" i="4"/>
  <c r="G586" i="4" s="1"/>
  <c r="G565" i="4"/>
  <c r="G564" i="4" s="1"/>
  <c r="G469" i="4"/>
  <c r="G468" i="4" s="1"/>
  <c r="G490" i="4"/>
  <c r="G489" i="4" s="1"/>
  <c r="G202" i="4"/>
  <c r="G201" i="4" s="1"/>
  <c r="G154" i="4"/>
  <c r="G153" i="4" s="1"/>
  <c r="G136" i="4"/>
  <c r="G135" i="4" s="1"/>
  <c r="G73" i="4"/>
  <c r="G72" i="4" s="1"/>
  <c r="G47" i="4"/>
  <c r="G46" i="4" s="1"/>
  <c r="G25" i="4" l="1"/>
  <c r="G24" i="4" s="1"/>
  <c r="G893" i="4" l="1"/>
  <c r="G381" i="4" l="1"/>
  <c r="G517" i="4" l="1"/>
  <c r="G1024" i="4"/>
  <c r="C121" i="1" l="1"/>
  <c r="G1239" i="4" l="1"/>
  <c r="G1165" i="4" l="1"/>
  <c r="G563" i="4"/>
  <c r="F144" i="3" s="1"/>
  <c r="F143" i="3" s="1"/>
  <c r="F142" i="3" s="1"/>
  <c r="G560" i="4"/>
  <c r="F141" i="3" s="1"/>
  <c r="F140" i="3" s="1"/>
  <c r="G558" i="4"/>
  <c r="F139" i="3" s="1"/>
  <c r="F138" i="3" s="1"/>
  <c r="F137" i="3" l="1"/>
  <c r="F136" i="3" s="1"/>
  <c r="G596" i="4"/>
  <c r="G296" i="4" l="1"/>
  <c r="G295" i="4" s="1"/>
  <c r="G294" i="4" l="1"/>
  <c r="G293" i="4"/>
  <c r="G18" i="4"/>
  <c r="G20" i="4"/>
  <c r="G244" i="4" l="1"/>
  <c r="G800" i="4" l="1"/>
  <c r="G604" i="4"/>
  <c r="G415" i="4" l="1"/>
  <c r="H28" i="25" l="1"/>
  <c r="H27" i="25"/>
  <c r="C81" i="1" l="1"/>
  <c r="G977" i="4" l="1"/>
  <c r="G976" i="4" s="1"/>
  <c r="H24" i="25"/>
  <c r="H21" i="25"/>
  <c r="H18" i="25"/>
  <c r="G885" i="4"/>
  <c r="G884" i="4" s="1"/>
  <c r="H15" i="25"/>
  <c r="H12" i="25"/>
  <c r="H9" i="25"/>
  <c r="H6" i="25"/>
  <c r="G796" i="4"/>
  <c r="G795" i="4" s="1"/>
  <c r="G540" i="4"/>
  <c r="G539" i="4" s="1"/>
  <c r="I18" i="25" l="1"/>
  <c r="H25" i="25"/>
  <c r="G581" i="4"/>
  <c r="G330" i="4" l="1"/>
  <c r="G329" i="4" s="1"/>
  <c r="G965" i="4" l="1"/>
  <c r="G105" i="4"/>
  <c r="G126" i="4"/>
  <c r="G71" i="4"/>
  <c r="G1142" i="4"/>
  <c r="G1042" i="4" l="1"/>
  <c r="G942" i="4" l="1"/>
  <c r="G944" i="4"/>
  <c r="G766" i="4"/>
  <c r="G707" i="4"/>
  <c r="G683" i="4"/>
  <c r="G713" i="4"/>
  <c r="G648" i="4"/>
  <c r="C124" i="1" l="1"/>
  <c r="C122" i="1"/>
  <c r="C165" i="1"/>
  <c r="C126" i="1"/>
  <c r="G383" i="4" l="1"/>
  <c r="G413" i="4"/>
  <c r="G778" i="4"/>
  <c r="G1087" i="4" l="1"/>
  <c r="G1086" i="4" s="1"/>
  <c r="G1085" i="4" s="1"/>
  <c r="C111" i="1" l="1"/>
  <c r="G559" i="4" l="1"/>
  <c r="G557" i="4"/>
  <c r="G556" i="4" l="1"/>
  <c r="G774" i="4"/>
  <c r="C173" i="1" l="1"/>
  <c r="G844" i="4" l="1"/>
  <c r="G456" i="4"/>
  <c r="G386" i="4" l="1"/>
  <c r="G385" i="4" l="1"/>
  <c r="G384" i="4" s="1"/>
  <c r="G55" i="5"/>
  <c r="F807" i="3"/>
  <c r="F806" i="3" s="1"/>
  <c r="F805" i="3" s="1"/>
  <c r="G1002" i="4"/>
  <c r="G54" i="5" l="1"/>
  <c r="G53" i="5" s="1"/>
  <c r="G56" i="5"/>
  <c r="G1244" i="4" l="1"/>
  <c r="G710" i="4" l="1"/>
  <c r="G719" i="4"/>
  <c r="G716" i="4"/>
  <c r="G406" i="4" l="1"/>
  <c r="G467" i="4"/>
  <c r="G374" i="4"/>
  <c r="G485" i="4"/>
  <c r="G488" i="4" l="1"/>
  <c r="G821" i="4" l="1"/>
  <c r="G820" i="4" s="1"/>
  <c r="G819" i="4" s="1"/>
  <c r="G818" i="4"/>
  <c r="G1163" i="4"/>
  <c r="G973" i="4"/>
  <c r="G1099" i="4"/>
  <c r="G1212" i="4"/>
  <c r="G1111" i="4"/>
  <c r="G1241" i="4"/>
  <c r="G538" i="4" l="1"/>
  <c r="G367" i="4"/>
  <c r="G328" i="4"/>
  <c r="G23" i="4" l="1"/>
  <c r="G1013" i="4"/>
  <c r="G1131" i="4"/>
  <c r="G200" i="4"/>
  <c r="G152" i="4"/>
  <c r="G957" i="4" l="1"/>
  <c r="G955" i="4"/>
  <c r="G903" i="4"/>
  <c r="G1196" i="4" l="1"/>
  <c r="G1123" i="4"/>
  <c r="G1120" i="4"/>
  <c r="G1084" i="4"/>
  <c r="G1064" i="4"/>
  <c r="G985" i="4"/>
  <c r="G213" i="4"/>
  <c r="G1072" i="4" l="1"/>
  <c r="G971" i="4" l="1"/>
  <c r="G1168" i="4" l="1"/>
  <c r="G697" i="4" l="1"/>
  <c r="C139" i="1" l="1"/>
  <c r="C138" i="1"/>
  <c r="C152" i="1"/>
  <c r="C114" i="1" l="1"/>
  <c r="C171" i="1"/>
  <c r="G562" i="4" l="1"/>
  <c r="G561" i="4" s="1"/>
  <c r="G555" i="4" s="1"/>
  <c r="G554" i="4" l="1"/>
  <c r="G553" i="4" s="1"/>
  <c r="G142" i="4"/>
  <c r="G141" i="4" s="1"/>
  <c r="G140" i="4" s="1"/>
  <c r="G551" i="4" l="1"/>
  <c r="G552" i="4"/>
  <c r="F186" i="3"/>
  <c r="F185" i="3" s="1"/>
  <c r="G595" i="4"/>
  <c r="C15" i="1"/>
  <c r="F499" i="3" l="1"/>
  <c r="F498" i="3" s="1"/>
  <c r="F497" i="3" s="1"/>
  <c r="F496" i="3" s="1"/>
  <c r="G947" i="4" l="1"/>
  <c r="H892" i="23" l="1"/>
  <c r="H891" i="23" s="1"/>
  <c r="H890" i="23" s="1"/>
  <c r="H889" i="23" s="1"/>
  <c r="H888" i="23" s="1"/>
  <c r="H887" i="23" s="1"/>
  <c r="H886" i="23" s="1"/>
  <c r="H885" i="23" s="1"/>
  <c r="G892" i="23"/>
  <c r="G891" i="23" s="1"/>
  <c r="G890" i="23" s="1"/>
  <c r="G889" i="23" s="1"/>
  <c r="G888" i="23" s="1"/>
  <c r="G887" i="23" s="1"/>
  <c r="G886" i="23" s="1"/>
  <c r="G885" i="23" s="1"/>
  <c r="H883" i="23"/>
  <c r="H882" i="23" s="1"/>
  <c r="H881" i="23" s="1"/>
  <c r="H880" i="23" s="1"/>
  <c r="H879" i="23" s="1"/>
  <c r="G883" i="23"/>
  <c r="G882" i="23" s="1"/>
  <c r="G881" i="23" s="1"/>
  <c r="G880" i="23" s="1"/>
  <c r="G879" i="23" s="1"/>
  <c r="H875" i="23"/>
  <c r="H874" i="23" s="1"/>
  <c r="H873" i="23" s="1"/>
  <c r="H872" i="23" s="1"/>
  <c r="H871" i="23" s="1"/>
  <c r="G875" i="23"/>
  <c r="G874" i="23" s="1"/>
  <c r="G873" i="23" s="1"/>
  <c r="G872" i="23" s="1"/>
  <c r="G871" i="23" s="1"/>
  <c r="H867" i="23"/>
  <c r="H868" i="23" s="1"/>
  <c r="G867" i="23"/>
  <c r="G866" i="23" s="1"/>
  <c r="G865" i="23" s="1"/>
  <c r="G864" i="23" s="1"/>
  <c r="G863" i="23" s="1"/>
  <c r="H844" i="23"/>
  <c r="H843" i="23" s="1"/>
  <c r="H842" i="23" s="1"/>
  <c r="H841" i="23" s="1"/>
  <c r="H840" i="23" s="1"/>
  <c r="H845" i="23" s="1"/>
  <c r="G844" i="23"/>
  <c r="G843" i="23" s="1"/>
  <c r="G842" i="23" s="1"/>
  <c r="G841" i="23" s="1"/>
  <c r="G840" i="23" s="1"/>
  <c r="G845" i="23" s="1"/>
  <c r="H838" i="23"/>
  <c r="H839" i="23" s="1"/>
  <c r="G838" i="23"/>
  <c r="G839" i="23" s="1"/>
  <c r="H832" i="23"/>
  <c r="H833" i="23" s="1"/>
  <c r="G832" i="23"/>
  <c r="H826" i="23"/>
  <c r="H827" i="23" s="1"/>
  <c r="G826" i="23"/>
  <c r="G827" i="23" s="1"/>
  <c r="H823" i="23"/>
  <c r="G823" i="23"/>
  <c r="H822" i="23"/>
  <c r="H821" i="23" s="1"/>
  <c r="H820" i="23" s="1"/>
  <c r="G822" i="23"/>
  <c r="G821" i="23" s="1"/>
  <c r="G820" i="23" s="1"/>
  <c r="H817" i="23"/>
  <c r="H818" i="23" s="1"/>
  <c r="G817" i="23"/>
  <c r="G818" i="23" s="1"/>
  <c r="H812" i="23"/>
  <c r="H813" i="23" s="1"/>
  <c r="G812" i="23"/>
  <c r="H801" i="23"/>
  <c r="H802" i="23" s="1"/>
  <c r="G801" i="23"/>
  <c r="G802" i="23" s="1"/>
  <c r="G793" i="23"/>
  <c r="G794" i="23" s="1"/>
  <c r="H785" i="23"/>
  <c r="H786" i="23" s="1"/>
  <c r="G785" i="23"/>
  <c r="G786" i="23" s="1"/>
  <c r="H781" i="23"/>
  <c r="H782" i="23" s="1"/>
  <c r="G781" i="23"/>
  <c r="G782" i="23" s="1"/>
  <c r="H778" i="23"/>
  <c r="G778" i="23"/>
  <c r="H776" i="23"/>
  <c r="H775" i="23" s="1"/>
  <c r="G776" i="23"/>
  <c r="G775" i="23" s="1"/>
  <c r="H773" i="23"/>
  <c r="H774" i="23" s="1"/>
  <c r="G773" i="23"/>
  <c r="G774" i="23" s="1"/>
  <c r="H770" i="23"/>
  <c r="H771" i="23" s="1"/>
  <c r="G770" i="23"/>
  <c r="G771" i="23" s="1"/>
  <c r="H767" i="23"/>
  <c r="H717" i="23"/>
  <c r="H718" i="23" s="1"/>
  <c r="G717" i="23"/>
  <c r="G718" i="23" s="1"/>
  <c r="H709" i="23"/>
  <c r="H710" i="23" s="1"/>
  <c r="G709" i="23"/>
  <c r="H694" i="23"/>
  <c r="G694" i="23"/>
  <c r="G695" i="23" s="1"/>
  <c r="H683" i="23"/>
  <c r="H684" i="23" s="1"/>
  <c r="G683" i="23"/>
  <c r="H679" i="23"/>
  <c r="H680" i="23" s="1"/>
  <c r="H672" i="23"/>
  <c r="H668" i="23"/>
  <c r="G668" i="23"/>
  <c r="G669" i="23" s="1"/>
  <c r="H664" i="23"/>
  <c r="G664" i="23"/>
  <c r="H654" i="23"/>
  <c r="G654" i="23"/>
  <c r="H650" i="23"/>
  <c r="G650" i="23"/>
  <c r="H642" i="23"/>
  <c r="G642" i="23"/>
  <c r="G643" i="23" s="1"/>
  <c r="H636" i="23"/>
  <c r="H635" i="23" s="1"/>
  <c r="H634" i="23" s="1"/>
  <c r="G636" i="23"/>
  <c r="G635" i="23" s="1"/>
  <c r="G634" i="23" s="1"/>
  <c r="G633" i="23" s="1"/>
  <c r="H631" i="23"/>
  <c r="H632" i="23" s="1"/>
  <c r="G631" i="23"/>
  <c r="H625" i="23"/>
  <c r="H624" i="23" s="1"/>
  <c r="H623" i="23" s="1"/>
  <c r="G625" i="23"/>
  <c r="H620" i="23"/>
  <c r="G620" i="23"/>
  <c r="G619" i="23" s="1"/>
  <c r="G618" i="23" s="1"/>
  <c r="G617" i="23" s="1"/>
  <c r="H615" i="23"/>
  <c r="H616" i="23" s="1"/>
  <c r="G615" i="23"/>
  <c r="H609" i="23"/>
  <c r="H610" i="23" s="1"/>
  <c r="G609" i="23"/>
  <c r="H603" i="23"/>
  <c r="G603" i="23"/>
  <c r="H595" i="23"/>
  <c r="H596" i="23" s="1"/>
  <c r="G595" i="23"/>
  <c r="H588" i="23"/>
  <c r="H587" i="23" s="1"/>
  <c r="H586" i="23" s="1"/>
  <c r="H585" i="23" s="1"/>
  <c r="H584" i="23" s="1"/>
  <c r="H583" i="23" s="1"/>
  <c r="H589" i="23" s="1"/>
  <c r="G588" i="23"/>
  <c r="G587" i="23" s="1"/>
  <c r="G586" i="23" s="1"/>
  <c r="G585" i="23" s="1"/>
  <c r="G584" i="23" s="1"/>
  <c r="G583" i="23" s="1"/>
  <c r="G589" i="23" s="1"/>
  <c r="H574" i="23"/>
  <c r="G574" i="23"/>
  <c r="G575" i="23" s="1"/>
  <c r="G567" i="23"/>
  <c r="G563" i="23"/>
  <c r="G553" i="23"/>
  <c r="G549" i="23"/>
  <c r="G542" i="23"/>
  <c r="G536" i="23"/>
  <c r="G537" i="23" s="1"/>
  <c r="G530" i="23"/>
  <c r="G531" i="23" s="1"/>
  <c r="H520" i="23"/>
  <c r="G520" i="23"/>
  <c r="G521" i="23" s="1"/>
  <c r="G500" i="23"/>
  <c r="G501" i="23" s="1"/>
  <c r="G497" i="23"/>
  <c r="G494" i="23"/>
  <c r="G495" i="23" s="1"/>
  <c r="G488" i="23"/>
  <c r="G489" i="23" s="1"/>
  <c r="G485" i="23"/>
  <c r="G482" i="23"/>
  <c r="G483" i="23" s="1"/>
  <c r="G473" i="23"/>
  <c r="G470" i="23"/>
  <c r="G471" i="23" s="1"/>
  <c r="G462" i="23"/>
  <c r="G461" i="23" s="1"/>
  <c r="G460" i="23" s="1"/>
  <c r="G459" i="23" s="1"/>
  <c r="G458" i="23" s="1"/>
  <c r="G457" i="23" s="1"/>
  <c r="G463" i="23" s="1"/>
  <c r="H452" i="23"/>
  <c r="G452" i="23"/>
  <c r="G438" i="23"/>
  <c r="G423" i="23"/>
  <c r="G412" i="23"/>
  <c r="H385" i="23"/>
  <c r="G385" i="23"/>
  <c r="G386" i="23" s="1"/>
  <c r="H381" i="23"/>
  <c r="G381" i="23"/>
  <c r="G382" i="23" s="1"/>
  <c r="G369" i="23"/>
  <c r="G368" i="23" s="1"/>
  <c r="G367" i="23" s="1"/>
  <c r="G362" i="23"/>
  <c r="G363" i="23" s="1"/>
  <c r="H354" i="23"/>
  <c r="H355" i="23" s="1"/>
  <c r="G354" i="23"/>
  <c r="G350" i="23"/>
  <c r="G335" i="23"/>
  <c r="G334" i="23" s="1"/>
  <c r="G333" i="23" s="1"/>
  <c r="G332" i="23" s="1"/>
  <c r="G331" i="23" s="1"/>
  <c r="G330" i="23" s="1"/>
  <c r="G336" i="23" s="1"/>
  <c r="H321" i="23"/>
  <c r="H320" i="23" s="1"/>
  <c r="H319" i="23" s="1"/>
  <c r="H322" i="23" s="1"/>
  <c r="H317" i="23"/>
  <c r="H316" i="23" s="1"/>
  <c r="H315" i="23" s="1"/>
  <c r="G317" i="23"/>
  <c r="G316" i="23" s="1"/>
  <c r="G315" i="23" s="1"/>
  <c r="H310" i="23"/>
  <c r="H311" i="23" s="1"/>
  <c r="G310" i="23"/>
  <c r="H303" i="23"/>
  <c r="G303" i="23"/>
  <c r="H296" i="23"/>
  <c r="H297" i="23" s="1"/>
  <c r="G296" i="23"/>
  <c r="G297" i="23" s="1"/>
  <c r="H282" i="23"/>
  <c r="H283" i="23" s="1"/>
  <c r="G282" i="23"/>
  <c r="G277" i="23"/>
  <c r="G264" i="23"/>
  <c r="G265" i="23" s="1"/>
  <c r="H253" i="23"/>
  <c r="G253" i="23"/>
  <c r="G209" i="23"/>
  <c r="G205" i="23"/>
  <c r="H200" i="23"/>
  <c r="H201" i="23" s="1"/>
  <c r="G200" i="23"/>
  <c r="G192" i="23"/>
  <c r="G193" i="23" s="1"/>
  <c r="H188" i="23"/>
  <c r="H189" i="23" s="1"/>
  <c r="G188" i="23"/>
  <c r="G184" i="23"/>
  <c r="H180" i="23"/>
  <c r="H179" i="23" s="1"/>
  <c r="H178" i="23" s="1"/>
  <c r="H181" i="23" s="1"/>
  <c r="G180" i="23"/>
  <c r="G179" i="23" s="1"/>
  <c r="G178" i="23" s="1"/>
  <c r="G181" i="23" s="1"/>
  <c r="H175" i="23"/>
  <c r="G175" i="23"/>
  <c r="G167" i="23"/>
  <c r="G163" i="23"/>
  <c r="G156" i="23"/>
  <c r="G151" i="23"/>
  <c r="G146" i="23"/>
  <c r="G147" i="23" s="1"/>
  <c r="H138" i="23"/>
  <c r="H139" i="23" s="1"/>
  <c r="G138" i="23"/>
  <c r="G139" i="23" s="1"/>
  <c r="H132" i="23"/>
  <c r="G125" i="23"/>
  <c r="G126" i="23" s="1"/>
  <c r="G122" i="23"/>
  <c r="G123" i="23" s="1"/>
  <c r="G115" i="23"/>
  <c r="G116" i="23" s="1"/>
  <c r="H107" i="23"/>
  <c r="G107" i="23"/>
  <c r="H103" i="23"/>
  <c r="G103" i="23"/>
  <c r="G104" i="23" s="1"/>
  <c r="H95" i="23"/>
  <c r="H96" i="23" s="1"/>
  <c r="G95" i="23"/>
  <c r="G96" i="23" s="1"/>
  <c r="H51" i="23"/>
  <c r="G22" i="23"/>
  <c r="H15" i="23"/>
  <c r="H16" i="23" s="1"/>
  <c r="G15" i="23"/>
  <c r="H1126" i="22"/>
  <c r="G1126" i="22"/>
  <c r="AG1097" i="22"/>
  <c r="AD1097" i="22"/>
  <c r="AC1097" i="22"/>
  <c r="AA1097" i="22"/>
  <c r="AA1096" i="22" s="1"/>
  <c r="W1097" i="22"/>
  <c r="S1097" i="22"/>
  <c r="Q1097" i="22"/>
  <c r="Q1096" i="22" s="1"/>
  <c r="P1096" i="22"/>
  <c r="H1093" i="22"/>
  <c r="H1092" i="22" s="1"/>
  <c r="H1091" i="22" s="1"/>
  <c r="G1092" i="22"/>
  <c r="G1091" i="22" s="1"/>
  <c r="G1090" i="22"/>
  <c r="H1088" i="22"/>
  <c r="H1087" i="22" s="1"/>
  <c r="G1087" i="22"/>
  <c r="G1082" i="22"/>
  <c r="H1082" i="22" s="1"/>
  <c r="G1081" i="22"/>
  <c r="H1081" i="22" s="1"/>
  <c r="G1080" i="22"/>
  <c r="H1080" i="22" s="1"/>
  <c r="H1079" i="22"/>
  <c r="H1078" i="22" s="1"/>
  <c r="G1078" i="22"/>
  <c r="H1077" i="22"/>
  <c r="H1076" i="22" s="1"/>
  <c r="G1076" i="22"/>
  <c r="H1074" i="22"/>
  <c r="H1073" i="22" s="1"/>
  <c r="G1073" i="22"/>
  <c r="H1072" i="22"/>
  <c r="G1071" i="22"/>
  <c r="H1065" i="22"/>
  <c r="H1064" i="22" s="1"/>
  <c r="G1065" i="22"/>
  <c r="G1064" i="22" s="1"/>
  <c r="H1062" i="22"/>
  <c r="H1061" i="22" s="1"/>
  <c r="G1062" i="22"/>
  <c r="G1061" i="22" s="1"/>
  <c r="H1057" i="22"/>
  <c r="H1056" i="22" s="1"/>
  <c r="G1057" i="22"/>
  <c r="G1056" i="22" s="1"/>
  <c r="H1054" i="22"/>
  <c r="G1054" i="22"/>
  <c r="H1052" i="22"/>
  <c r="G1052" i="22"/>
  <c r="G1045" i="22"/>
  <c r="F884" i="21" s="1"/>
  <c r="F883" i="21" s="1"/>
  <c r="F882" i="21" s="1"/>
  <c r="F881" i="21" s="1"/>
  <c r="F880" i="21" s="1"/>
  <c r="H1036" i="22"/>
  <c r="H1035" i="22" s="1"/>
  <c r="H1034" i="22" s="1"/>
  <c r="H1033" i="22" s="1"/>
  <c r="G1036" i="22"/>
  <c r="G1035" i="22" s="1"/>
  <c r="G1034" i="22" s="1"/>
  <c r="G1033" i="22" s="1"/>
  <c r="H1032" i="22"/>
  <c r="H1031" i="22" s="1"/>
  <c r="H1030" i="22" s="1"/>
  <c r="G1031" i="22"/>
  <c r="G1030" i="22" s="1"/>
  <c r="H1029" i="22"/>
  <c r="H1028" i="22" s="1"/>
  <c r="G1028" i="22"/>
  <c r="H1027" i="22"/>
  <c r="H1026" i="22" s="1"/>
  <c r="G1026" i="22"/>
  <c r="G1023" i="22"/>
  <c r="H1023" i="22" s="1"/>
  <c r="G1022" i="22"/>
  <c r="H1022" i="22" s="1"/>
  <c r="G1021" i="22"/>
  <c r="H1021" i="22" s="1"/>
  <c r="H1020" i="22"/>
  <c r="H1019" i="22" s="1"/>
  <c r="H1018" i="22" s="1"/>
  <c r="G1019" i="22"/>
  <c r="G1018" i="22" s="1"/>
  <c r="H1015" i="22"/>
  <c r="H1014" i="22" s="1"/>
  <c r="H1013" i="22" s="1"/>
  <c r="G1014" i="22"/>
  <c r="G1013" i="22" s="1"/>
  <c r="G1012" i="22"/>
  <c r="G1011" i="22" s="1"/>
  <c r="G1010" i="22"/>
  <c r="H1008" i="22"/>
  <c r="G448" i="21" s="1"/>
  <c r="G447" i="21" s="1"/>
  <c r="G1007" i="22"/>
  <c r="G1002" i="22"/>
  <c r="F442" i="21" s="1"/>
  <c r="F441" i="21" s="1"/>
  <c r="F440" i="21" s="1"/>
  <c r="H996" i="22"/>
  <c r="H995" i="22" s="1"/>
  <c r="G996" i="22"/>
  <c r="G995" i="22" s="1"/>
  <c r="G994" i="22"/>
  <c r="G690" i="23" s="1"/>
  <c r="G993" i="22"/>
  <c r="H993" i="22" s="1"/>
  <c r="G992" i="22"/>
  <c r="H992" i="22" s="1"/>
  <c r="H991" i="22" s="1"/>
  <c r="H989" i="22"/>
  <c r="H988" i="22" s="1"/>
  <c r="G989" i="22"/>
  <c r="G988" i="22" s="1"/>
  <c r="G987" i="22"/>
  <c r="G679" i="23" s="1"/>
  <c r="H986" i="22"/>
  <c r="H985" i="22" s="1"/>
  <c r="G986" i="22"/>
  <c r="G985" i="22"/>
  <c r="G984" i="22"/>
  <c r="G982" i="22"/>
  <c r="G981" i="22" s="1"/>
  <c r="H981" i="22"/>
  <c r="H978" i="22"/>
  <c r="H977" i="22" s="1"/>
  <c r="G978" i="22"/>
  <c r="G977" i="22" s="1"/>
  <c r="H975" i="22"/>
  <c r="H974" i="22" s="1"/>
  <c r="G975" i="22"/>
  <c r="G974" i="22" s="1"/>
  <c r="G973" i="22"/>
  <c r="G972" i="22"/>
  <c r="G657" i="23" s="1"/>
  <c r="G971" i="22"/>
  <c r="H971" i="22" s="1"/>
  <c r="H969" i="22"/>
  <c r="H968" i="22" s="1"/>
  <c r="G969" i="22"/>
  <c r="G968" i="22" s="1"/>
  <c r="H966" i="22"/>
  <c r="H965" i="22" s="1"/>
  <c r="G966" i="22"/>
  <c r="G965" i="22" s="1"/>
  <c r="H962" i="22"/>
  <c r="H961" i="22" s="1"/>
  <c r="H960" i="22" s="1"/>
  <c r="G962" i="22"/>
  <c r="G961" i="22" s="1"/>
  <c r="G960" i="22" s="1"/>
  <c r="G958" i="22"/>
  <c r="H958" i="22" s="1"/>
  <c r="H957" i="22" s="1"/>
  <c r="H956" i="22" s="1"/>
  <c r="H955" i="22" s="1"/>
  <c r="H954" i="22" s="1"/>
  <c r="H951" i="22"/>
  <c r="H950" i="22" s="1"/>
  <c r="H949" i="22" s="1"/>
  <c r="H948" i="22" s="1"/>
  <c r="H1150" i="22" s="1"/>
  <c r="G951" i="22"/>
  <c r="G950" i="22" s="1"/>
  <c r="G949" i="22" s="1"/>
  <c r="G948" i="22" s="1"/>
  <c r="G1150" i="22" s="1"/>
  <c r="G947" i="22"/>
  <c r="G759" i="23" s="1"/>
  <c r="G946" i="22"/>
  <c r="H946" i="22" s="1"/>
  <c r="G945" i="22"/>
  <c r="G944" i="22" s="1"/>
  <c r="G943" i="22"/>
  <c r="G752" i="23" s="1"/>
  <c r="G942" i="22"/>
  <c r="H942" i="22" s="1"/>
  <c r="G941" i="22"/>
  <c r="G940" i="22" s="1"/>
  <c r="G939" i="22"/>
  <c r="G745" i="23" s="1"/>
  <c r="G938" i="22"/>
  <c r="H938" i="22" s="1"/>
  <c r="G937" i="22"/>
  <c r="G936" i="22" s="1"/>
  <c r="G935" i="22"/>
  <c r="G738" i="23" s="1"/>
  <c r="G934" i="22"/>
  <c r="H934" i="22" s="1"/>
  <c r="G933" i="22"/>
  <c r="G932" i="22" s="1"/>
  <c r="G931" i="22"/>
  <c r="G731" i="23" s="1"/>
  <c r="G930" i="22"/>
  <c r="H930" i="22" s="1"/>
  <c r="G929" i="22"/>
  <c r="G928" i="22" s="1"/>
  <c r="G927" i="22"/>
  <c r="G724" i="23" s="1"/>
  <c r="G926" i="22"/>
  <c r="H926" i="22" s="1"/>
  <c r="G925" i="22"/>
  <c r="G924" i="22" s="1"/>
  <c r="H922" i="22"/>
  <c r="H921" i="22" s="1"/>
  <c r="H920" i="22" s="1"/>
  <c r="G922" i="22"/>
  <c r="G921" i="22" s="1"/>
  <c r="G920" i="22" s="1"/>
  <c r="G918" i="22"/>
  <c r="H918" i="22" s="1"/>
  <c r="G917" i="22"/>
  <c r="H917" i="22" s="1"/>
  <c r="G916" i="22"/>
  <c r="H916" i="22" s="1"/>
  <c r="G915" i="22"/>
  <c r="H915" i="22" s="1"/>
  <c r="G914" i="22"/>
  <c r="H914" i="22" s="1"/>
  <c r="G913" i="22"/>
  <c r="H913" i="22" s="1"/>
  <c r="G912" i="22"/>
  <c r="H912" i="22" s="1"/>
  <c r="G911" i="22"/>
  <c r="H911" i="22" s="1"/>
  <c r="G910" i="22"/>
  <c r="H910" i="22" s="1"/>
  <c r="G909" i="22"/>
  <c r="H909" i="22" s="1"/>
  <c r="G908" i="22"/>
  <c r="H908" i="22" s="1"/>
  <c r="G907" i="22"/>
  <c r="H907" i="22" s="1"/>
  <c r="G906" i="22"/>
  <c r="H906" i="22" s="1"/>
  <c r="G905" i="22"/>
  <c r="H905" i="22" s="1"/>
  <c r="G904" i="22"/>
  <c r="H904" i="22" s="1"/>
  <c r="G903" i="22"/>
  <c r="H903" i="22" s="1"/>
  <c r="G901" i="22"/>
  <c r="H901" i="22" s="1"/>
  <c r="G900" i="22"/>
  <c r="H900" i="22" s="1"/>
  <c r="H899" i="22"/>
  <c r="H898" i="22" s="1"/>
  <c r="H897" i="22" s="1"/>
  <c r="G899" i="22"/>
  <c r="G898" i="22" s="1"/>
  <c r="G897" i="22" s="1"/>
  <c r="G896" i="22"/>
  <c r="G895" i="22" s="1"/>
  <c r="H894" i="22"/>
  <c r="G893" i="22"/>
  <c r="H893" i="22" s="1"/>
  <c r="G888" i="22"/>
  <c r="G887" i="22" s="1"/>
  <c r="G886" i="22" s="1"/>
  <c r="H885" i="22"/>
  <c r="H884" i="22" s="1"/>
  <c r="H883" i="22" s="1"/>
  <c r="G884" i="22"/>
  <c r="G883" i="22" s="1"/>
  <c r="G882" i="22"/>
  <c r="H882" i="22" s="1"/>
  <c r="G881" i="22"/>
  <c r="H881" i="22" s="1"/>
  <c r="G880" i="22"/>
  <c r="H880" i="22" s="1"/>
  <c r="G879" i="22"/>
  <c r="H879" i="22" s="1"/>
  <c r="G878" i="22"/>
  <c r="H878" i="22" s="1"/>
  <c r="G873" i="22"/>
  <c r="G28" i="23" s="1"/>
  <c r="G872" i="22"/>
  <c r="H872" i="22" s="1"/>
  <c r="G871" i="22"/>
  <c r="G25" i="23" s="1"/>
  <c r="G26" i="23" s="1"/>
  <c r="H869" i="22"/>
  <c r="H868" i="22" s="1"/>
  <c r="G868" i="22"/>
  <c r="H864" i="22"/>
  <c r="H863" i="22" s="1"/>
  <c r="H862" i="22" s="1"/>
  <c r="G864" i="22"/>
  <c r="G863" i="22" s="1"/>
  <c r="G862" i="22" s="1"/>
  <c r="H859" i="22"/>
  <c r="H858" i="22" s="1"/>
  <c r="H857" i="22" s="1"/>
  <c r="H856" i="22" s="1"/>
  <c r="H855" i="22" s="1"/>
  <c r="H854" i="22" s="1"/>
  <c r="G858" i="22"/>
  <c r="G857" i="22" s="1"/>
  <c r="G856" i="22" s="1"/>
  <c r="G855" i="22" s="1"/>
  <c r="G854" i="22" s="1"/>
  <c r="G852" i="22"/>
  <c r="G845" i="22"/>
  <c r="G844" i="22" s="1"/>
  <c r="H843" i="22"/>
  <c r="H842" i="22" s="1"/>
  <c r="G842" i="22"/>
  <c r="H841" i="22"/>
  <c r="H840" i="22" s="1"/>
  <c r="G840" i="22"/>
  <c r="H838" i="22"/>
  <c r="G837" i="22"/>
  <c r="G836" i="22" s="1"/>
  <c r="G830" i="22"/>
  <c r="G455" i="23" s="1"/>
  <c r="H827" i="22"/>
  <c r="G827" i="22"/>
  <c r="H823" i="22"/>
  <c r="G822" i="22"/>
  <c r="G821" i="22" s="1"/>
  <c r="G820" i="22"/>
  <c r="G819" i="22" s="1"/>
  <c r="H818" i="22"/>
  <c r="H817" i="22" s="1"/>
  <c r="G817" i="22"/>
  <c r="H816" i="22"/>
  <c r="H815" i="22" s="1"/>
  <c r="G815" i="22"/>
  <c r="H811" i="22"/>
  <c r="H810" i="22" s="1"/>
  <c r="H809" i="22" s="1"/>
  <c r="G810" i="22"/>
  <c r="G809" i="22" s="1"/>
  <c r="H808" i="22"/>
  <c r="G807" i="22"/>
  <c r="G806" i="22" s="1"/>
  <c r="H801" i="22"/>
  <c r="H800" i="22" s="1"/>
  <c r="H799" i="22" s="1"/>
  <c r="H798" i="22" s="1"/>
  <c r="G801" i="22"/>
  <c r="G800" i="22" s="1"/>
  <c r="G799" i="22" s="1"/>
  <c r="G798" i="22" s="1"/>
  <c r="H796" i="22"/>
  <c r="H795" i="22" s="1"/>
  <c r="H794" i="22" s="1"/>
  <c r="H793" i="22" s="1"/>
  <c r="G796" i="22"/>
  <c r="G795" i="22" s="1"/>
  <c r="G794" i="22" s="1"/>
  <c r="G793" i="22" s="1"/>
  <c r="I792" i="22"/>
  <c r="G792" i="22"/>
  <c r="F912" i="21" s="1"/>
  <c r="F911" i="21" s="1"/>
  <c r="F910" i="21" s="1"/>
  <c r="F909" i="21" s="1"/>
  <c r="H788" i="22"/>
  <c r="G787" i="22"/>
  <c r="G786" i="22" s="1"/>
  <c r="G785" i="22"/>
  <c r="G434" i="23" s="1"/>
  <c r="G784" i="22"/>
  <c r="H784" i="22" s="1"/>
  <c r="G783" i="22"/>
  <c r="H783" i="22" s="1"/>
  <c r="G781" i="22"/>
  <c r="G427" i="23" s="1"/>
  <c r="H777" i="22"/>
  <c r="H423" i="23" s="1"/>
  <c r="G776" i="22"/>
  <c r="G775" i="22" s="1"/>
  <c r="G774" i="22"/>
  <c r="G773" i="22"/>
  <c r="H773" i="22" s="1"/>
  <c r="G772" i="22"/>
  <c r="H770" i="22"/>
  <c r="H412" i="23" s="1"/>
  <c r="G769" i="22"/>
  <c r="G768" i="22" s="1"/>
  <c r="G767" i="22" s="1"/>
  <c r="H762" i="22"/>
  <c r="H761" i="22" s="1"/>
  <c r="H760" i="22" s="1"/>
  <c r="H759" i="22" s="1"/>
  <c r="H758" i="22" s="1"/>
  <c r="H757" i="22" s="1"/>
  <c r="G762" i="22"/>
  <c r="G761" i="22" s="1"/>
  <c r="G760" i="22" s="1"/>
  <c r="G759" i="22" s="1"/>
  <c r="G758" i="22" s="1"/>
  <c r="G757" i="22" s="1"/>
  <c r="H754" i="22"/>
  <c r="H753" i="22" s="1"/>
  <c r="G754" i="22"/>
  <c r="G753" i="22" s="1"/>
  <c r="G752" i="22"/>
  <c r="G751" i="22" s="1"/>
  <c r="H751" i="22" s="1"/>
  <c r="G750" i="22"/>
  <c r="H750" i="22" s="1"/>
  <c r="G735" i="21" s="1"/>
  <c r="G734" i="21" s="1"/>
  <c r="H748" i="22"/>
  <c r="G733" i="21" s="1"/>
  <c r="G732" i="21" s="1"/>
  <c r="G747" i="22"/>
  <c r="H744" i="22"/>
  <c r="H743" i="22" s="1"/>
  <c r="H742" i="22" s="1"/>
  <c r="H741" i="22" s="1"/>
  <c r="G743" i="22"/>
  <c r="G742" i="22" s="1"/>
  <c r="G741" i="22" s="1"/>
  <c r="G739" i="22"/>
  <c r="F724" i="21" s="1"/>
  <c r="F723" i="21" s="1"/>
  <c r="F722" i="21" s="1"/>
  <c r="G736" i="22"/>
  <c r="G735" i="22" s="1"/>
  <c r="H734" i="22"/>
  <c r="G733" i="22"/>
  <c r="H727" i="22"/>
  <c r="H726" i="22" s="1"/>
  <c r="G727" i="22"/>
  <c r="G726" i="22" s="1"/>
  <c r="H724" i="22"/>
  <c r="H723" i="22" s="1"/>
  <c r="G724" i="22"/>
  <c r="G723" i="22" s="1"/>
  <c r="H718" i="22"/>
  <c r="H717" i="22" s="1"/>
  <c r="H715" i="22" s="1"/>
  <c r="G718" i="22"/>
  <c r="G717" i="22" s="1"/>
  <c r="H713" i="22"/>
  <c r="H712" i="22" s="1"/>
  <c r="H711" i="22" s="1"/>
  <c r="G713" i="22"/>
  <c r="G712" i="22" s="1"/>
  <c r="G711" i="22" s="1"/>
  <c r="G710" i="22"/>
  <c r="H710" i="22" s="1"/>
  <c r="G709" i="22"/>
  <c r="H709" i="22" s="1"/>
  <c r="G708" i="22"/>
  <c r="G706" i="22"/>
  <c r="F635" i="21" s="1"/>
  <c r="F634" i="21" s="1"/>
  <c r="F633" i="21" s="1"/>
  <c r="H703" i="22"/>
  <c r="G632" i="21" s="1"/>
  <c r="G631" i="21" s="1"/>
  <c r="G630" i="21" s="1"/>
  <c r="G702" i="22"/>
  <c r="G701" i="22" s="1"/>
  <c r="H700" i="22"/>
  <c r="H205" i="23" s="1"/>
  <c r="G699" i="22"/>
  <c r="G698" i="22" s="1"/>
  <c r="H696" i="22"/>
  <c r="G625" i="21" s="1"/>
  <c r="G624" i="21" s="1"/>
  <c r="G623" i="21" s="1"/>
  <c r="G622" i="21" s="1"/>
  <c r="G695" i="22"/>
  <c r="G694" i="22" s="1"/>
  <c r="G693" i="22" s="1"/>
  <c r="H689" i="22"/>
  <c r="H688" i="22" s="1"/>
  <c r="H687" i="22" s="1"/>
  <c r="H686" i="22" s="1"/>
  <c r="G689" i="22"/>
  <c r="G688" i="22" s="1"/>
  <c r="G687" i="22" s="1"/>
  <c r="G686" i="22" s="1"/>
  <c r="H684" i="22"/>
  <c r="H683" i="22" s="1"/>
  <c r="H682" i="22" s="1"/>
  <c r="H681" i="22" s="1"/>
  <c r="G684" i="22"/>
  <c r="G683" i="22" s="1"/>
  <c r="G682" i="22" s="1"/>
  <c r="G681" i="22" s="1"/>
  <c r="H680" i="22"/>
  <c r="G609" i="21" s="1"/>
  <c r="G608" i="21" s="1"/>
  <c r="G607" i="21" s="1"/>
  <c r="G606" i="21" s="1"/>
  <c r="G680" i="22"/>
  <c r="F609" i="21" s="1"/>
  <c r="F608" i="21" s="1"/>
  <c r="F607" i="21" s="1"/>
  <c r="F606" i="21" s="1"/>
  <c r="H676" i="22"/>
  <c r="H675" i="22" s="1"/>
  <c r="G675" i="22"/>
  <c r="G674" i="22" s="1"/>
  <c r="G673" i="22" s="1"/>
  <c r="H672" i="22"/>
  <c r="G672" i="22"/>
  <c r="F605" i="21" s="1"/>
  <c r="F604" i="21" s="1"/>
  <c r="F603" i="21" s="1"/>
  <c r="F602" i="21" s="1"/>
  <c r="H667" i="22"/>
  <c r="H666" i="22" s="1"/>
  <c r="G667" i="22"/>
  <c r="G666" i="22" s="1"/>
  <c r="H664" i="22"/>
  <c r="H663" i="22" s="1"/>
  <c r="G664" i="22"/>
  <c r="G663" i="22" s="1"/>
  <c r="H660" i="22"/>
  <c r="H659" i="22" s="1"/>
  <c r="H658" i="22" s="1"/>
  <c r="G660" i="22"/>
  <c r="G659" i="22" s="1"/>
  <c r="G658" i="22" s="1"/>
  <c r="H656" i="22"/>
  <c r="H655" i="22" s="1"/>
  <c r="H654" i="22" s="1"/>
  <c r="G656" i="22"/>
  <c r="G655" i="22" s="1"/>
  <c r="G654" i="22" s="1"/>
  <c r="H653" i="22"/>
  <c r="G586" i="21" s="1"/>
  <c r="G585" i="21" s="1"/>
  <c r="G584" i="21" s="1"/>
  <c r="G652" i="22"/>
  <c r="G651" i="22" s="1"/>
  <c r="G650" i="22"/>
  <c r="G649" i="22"/>
  <c r="H649" i="22" s="1"/>
  <c r="G648" i="22"/>
  <c r="H648" i="22" s="1"/>
  <c r="G646" i="22"/>
  <c r="G645" i="22" s="1"/>
  <c r="G644" i="22" s="1"/>
  <c r="G643" i="22"/>
  <c r="G242" i="23" s="1"/>
  <c r="G642" i="22"/>
  <c r="H642" i="22" s="1"/>
  <c r="G641" i="22"/>
  <c r="H641" i="22" s="1"/>
  <c r="G640" i="22"/>
  <c r="F573" i="21" s="1"/>
  <c r="F572" i="21" s="1"/>
  <c r="F571" i="21" s="1"/>
  <c r="G639" i="22"/>
  <c r="H639" i="22" s="1"/>
  <c r="G638" i="22"/>
  <c r="H638" i="22" s="1"/>
  <c r="G637" i="22"/>
  <c r="G234" i="23" s="1"/>
  <c r="G636" i="22"/>
  <c r="H636" i="22" s="1"/>
  <c r="G635" i="22"/>
  <c r="H635" i="22" s="1"/>
  <c r="H632" i="22"/>
  <c r="H631" i="22" s="1"/>
  <c r="G632" i="22"/>
  <c r="G631" i="22" s="1"/>
  <c r="G630" i="22"/>
  <c r="F563" i="21" s="1"/>
  <c r="F562" i="21" s="1"/>
  <c r="F561" i="21" s="1"/>
  <c r="H627" i="22"/>
  <c r="H192" i="23" s="1"/>
  <c r="G626" i="22"/>
  <c r="G625" i="22" s="1"/>
  <c r="H623" i="22"/>
  <c r="H622" i="22" s="1"/>
  <c r="G623" i="22"/>
  <c r="G622" i="22" s="1"/>
  <c r="H621" i="22"/>
  <c r="H184" i="23" s="1"/>
  <c r="G620" i="22"/>
  <c r="G619" i="22" s="1"/>
  <c r="H617" i="22"/>
  <c r="H616" i="22" s="1"/>
  <c r="G617" i="22"/>
  <c r="G616" i="22" s="1"/>
  <c r="H614" i="22"/>
  <c r="H151" i="23" s="1"/>
  <c r="G613" i="22"/>
  <c r="G612" i="22" s="1"/>
  <c r="G611" i="22" s="1"/>
  <c r="H607" i="22"/>
  <c r="H606" i="22" s="1"/>
  <c r="G607" i="22"/>
  <c r="G606" i="22" s="1"/>
  <c r="H602" i="22"/>
  <c r="H601" i="22" s="1"/>
  <c r="H600" i="22" s="1"/>
  <c r="H599" i="22" s="1"/>
  <c r="G602" i="22"/>
  <c r="G601" i="22" s="1"/>
  <c r="G600" i="22" s="1"/>
  <c r="G599" i="22" s="1"/>
  <c r="G598" i="22"/>
  <c r="G321" i="23" s="1"/>
  <c r="G320" i="23" s="1"/>
  <c r="G319" i="23" s="1"/>
  <c r="G322" i="23" s="1"/>
  <c r="H597" i="22"/>
  <c r="H596" i="22" s="1"/>
  <c r="H594" i="22"/>
  <c r="H593" i="22" s="1"/>
  <c r="G594" i="22"/>
  <c r="G593" i="22" s="1"/>
  <c r="G591" i="22"/>
  <c r="G587" i="22"/>
  <c r="H584" i="22"/>
  <c r="H264" i="23" s="1"/>
  <c r="G583" i="22"/>
  <c r="G582" i="22" s="1"/>
  <c r="G581" i="22"/>
  <c r="F511" i="21" s="1"/>
  <c r="F510" i="21" s="1"/>
  <c r="F509" i="21" s="1"/>
  <c r="G580" i="22"/>
  <c r="H580" i="22" s="1"/>
  <c r="G579" i="22"/>
  <c r="H579" i="22" s="1"/>
  <c r="G577" i="22"/>
  <c r="F507" i="21" s="1"/>
  <c r="F506" i="21" s="1"/>
  <c r="F505" i="21" s="1"/>
  <c r="F498" i="21" s="1"/>
  <c r="G574" i="22"/>
  <c r="G224" i="23" s="1"/>
  <c r="G573" i="22"/>
  <c r="H573" i="22" s="1"/>
  <c r="G572" i="22"/>
  <c r="H572" i="22" s="1"/>
  <c r="G571" i="22"/>
  <c r="G220" i="23" s="1"/>
  <c r="G570" i="22"/>
  <c r="H570" i="22" s="1"/>
  <c r="G569" i="22"/>
  <c r="H569" i="22" s="1"/>
  <c r="H566" i="22"/>
  <c r="H565" i="22" s="1"/>
  <c r="G566" i="22"/>
  <c r="G565" i="22" s="1"/>
  <c r="G564" i="22"/>
  <c r="H561" i="22"/>
  <c r="H167" i="23" s="1"/>
  <c r="G560" i="22"/>
  <c r="G559" i="22" s="1"/>
  <c r="H558" i="22"/>
  <c r="H163" i="23" s="1"/>
  <c r="G557" i="22"/>
  <c r="G556" i="22" s="1"/>
  <c r="H554" i="22"/>
  <c r="H146" i="23" s="1"/>
  <c r="G553" i="22"/>
  <c r="G552" i="22" s="1"/>
  <c r="G551" i="22" s="1"/>
  <c r="G547" i="22"/>
  <c r="H547" i="22" s="1"/>
  <c r="G546" i="22"/>
  <c r="H546" i="22" s="1"/>
  <c r="G545" i="22"/>
  <c r="H545" i="22" s="1"/>
  <c r="H543" i="22"/>
  <c r="H542" i="22" s="1"/>
  <c r="H541" i="22" s="1"/>
  <c r="H540" i="22" s="1"/>
  <c r="H539" i="22" s="1"/>
  <c r="H538" i="22" s="1"/>
  <c r="G543" i="22"/>
  <c r="G542" i="22" s="1"/>
  <c r="G541" i="22" s="1"/>
  <c r="G540" i="22" s="1"/>
  <c r="G539" i="22" s="1"/>
  <c r="G538" i="22" s="1"/>
  <c r="H535" i="22"/>
  <c r="H534" i="22" s="1"/>
  <c r="H533" i="22" s="1"/>
  <c r="H532" i="22" s="1"/>
  <c r="H531" i="22" s="1"/>
  <c r="G535" i="22"/>
  <c r="G534" i="22" s="1"/>
  <c r="G533" i="22" s="1"/>
  <c r="G532" i="22" s="1"/>
  <c r="G531" i="22" s="1"/>
  <c r="H529" i="22"/>
  <c r="H528" i="22" s="1"/>
  <c r="G529" i="22"/>
  <c r="G528" i="22" s="1"/>
  <c r="G527" i="22"/>
  <c r="H519" i="22"/>
  <c r="H518" i="22" s="1"/>
  <c r="H517" i="22" s="1"/>
  <c r="H516" i="22" s="1"/>
  <c r="H1147" i="22" s="1"/>
  <c r="G519" i="22"/>
  <c r="G518" i="22" s="1"/>
  <c r="G517" i="22" s="1"/>
  <c r="G515" i="22"/>
  <c r="H515" i="22" s="1"/>
  <c r="G514" i="22"/>
  <c r="H514" i="22" s="1"/>
  <c r="G513" i="22"/>
  <c r="H513" i="22" s="1"/>
  <c r="H512" i="22"/>
  <c r="H511" i="22" s="1"/>
  <c r="H510" i="22" s="1"/>
  <c r="G511" i="22"/>
  <c r="G510" i="22" s="1"/>
  <c r="H505" i="22"/>
  <c r="H504" i="22" s="1"/>
  <c r="H503" i="22" s="1"/>
  <c r="G505" i="22"/>
  <c r="G504" i="22" s="1"/>
  <c r="G503" i="22" s="1"/>
  <c r="H502" i="22"/>
  <c r="H501" i="22" s="1"/>
  <c r="H500" i="22" s="1"/>
  <c r="G501" i="22"/>
  <c r="G500" i="22" s="1"/>
  <c r="G499" i="22"/>
  <c r="H499" i="22" s="1"/>
  <c r="G497" i="22"/>
  <c r="F52" i="21" s="1"/>
  <c r="F51" i="21" s="1"/>
  <c r="H495" i="22"/>
  <c r="G494" i="22"/>
  <c r="H486" i="22"/>
  <c r="H485" i="22" s="1"/>
  <c r="G486" i="22"/>
  <c r="G485" i="22" s="1"/>
  <c r="H482" i="22"/>
  <c r="G481" i="22"/>
  <c r="G480" i="22" s="1"/>
  <c r="G479" i="22" s="1"/>
  <c r="H478" i="22"/>
  <c r="H500" i="23" s="1"/>
  <c r="G477" i="22"/>
  <c r="H476" i="22"/>
  <c r="G475" i="22"/>
  <c r="H474" i="22"/>
  <c r="H494" i="23" s="1"/>
  <c r="G473" i="22"/>
  <c r="H466" i="22"/>
  <c r="H465" i="22" s="1"/>
  <c r="H464" i="22" s="1"/>
  <c r="G466" i="22"/>
  <c r="G465" i="22" s="1"/>
  <c r="G464" i="22" s="1"/>
  <c r="H463" i="22"/>
  <c r="H125" i="23" s="1"/>
  <c r="G462" i="22"/>
  <c r="H461" i="22"/>
  <c r="G460" i="22"/>
  <c r="G459" i="22" s="1"/>
  <c r="H457" i="22"/>
  <c r="H115" i="23" s="1"/>
  <c r="G456" i="22"/>
  <c r="G455" i="22" s="1"/>
  <c r="H452" i="22"/>
  <c r="F91" i="19" s="1"/>
  <c r="G452" i="22"/>
  <c r="E91" i="19" s="1"/>
  <c r="H443" i="22"/>
  <c r="H442" i="22" s="1"/>
  <c r="H441" i="22" s="1"/>
  <c r="H440" i="22" s="1"/>
  <c r="G443" i="22"/>
  <c r="G442" i="22" s="1"/>
  <c r="G440" i="22" s="1"/>
  <c r="G441" i="22"/>
  <c r="G439" i="22"/>
  <c r="H438" i="22"/>
  <c r="H437" i="22" s="1"/>
  <c r="H436" i="22" s="1"/>
  <c r="H435" i="22" s="1"/>
  <c r="H434" i="22" s="1"/>
  <c r="G433" i="22"/>
  <c r="G432" i="22" s="1"/>
  <c r="G431" i="22" s="1"/>
  <c r="G430" i="22"/>
  <c r="G429" i="22" s="1"/>
  <c r="G428" i="22"/>
  <c r="H426" i="22"/>
  <c r="H425" i="22" s="1"/>
  <c r="G425" i="22"/>
  <c r="H421" i="22"/>
  <c r="H420" i="22" s="1"/>
  <c r="H419" i="22" s="1"/>
  <c r="G420" i="22"/>
  <c r="G419" i="22" s="1"/>
  <c r="G418" i="22"/>
  <c r="H418" i="22" s="1"/>
  <c r="G417" i="22"/>
  <c r="H417" i="22" s="1"/>
  <c r="H416" i="22"/>
  <c r="H415" i="22" s="1"/>
  <c r="H414" i="22" s="1"/>
  <c r="H413" i="22" s="1"/>
  <c r="H412" i="22" s="1"/>
  <c r="G415" i="22"/>
  <c r="G414" i="22" s="1"/>
  <c r="H409" i="22"/>
  <c r="H408" i="22" s="1"/>
  <c r="H407" i="22" s="1"/>
  <c r="H406" i="22" s="1"/>
  <c r="G409" i="22"/>
  <c r="G408" i="22" s="1"/>
  <c r="G407" i="22" s="1"/>
  <c r="G406" i="22" s="1"/>
  <c r="H404" i="22"/>
  <c r="H403" i="22" s="1"/>
  <c r="H401" i="22" s="1"/>
  <c r="G404" i="22"/>
  <c r="G403" i="22" s="1"/>
  <c r="G401" i="22" s="1"/>
  <c r="H402" i="22"/>
  <c r="G402" i="22"/>
  <c r="H399" i="22"/>
  <c r="H398" i="22" s="1"/>
  <c r="H397" i="22" s="1"/>
  <c r="G399" i="22"/>
  <c r="G398" i="22" s="1"/>
  <c r="G397" i="22" s="1"/>
  <c r="H395" i="22"/>
  <c r="H394" i="22" s="1"/>
  <c r="H393" i="22" s="1"/>
  <c r="G395" i="22"/>
  <c r="G394" i="22" s="1"/>
  <c r="G393" i="22" s="1"/>
  <c r="G392" i="22"/>
  <c r="H387" i="22"/>
  <c r="H386" i="22" s="1"/>
  <c r="H385" i="22" s="1"/>
  <c r="G387" i="22"/>
  <c r="G386" i="22" s="1"/>
  <c r="G385" i="22" s="1"/>
  <c r="H384" i="22"/>
  <c r="H567" i="23" s="1"/>
  <c r="G383" i="22"/>
  <c r="G382" i="22" s="1"/>
  <c r="H381" i="22"/>
  <c r="F135" i="19" s="1"/>
  <c r="G380" i="22"/>
  <c r="G379" i="22" s="1"/>
  <c r="H377" i="22"/>
  <c r="H536" i="23" s="1"/>
  <c r="G376" i="22"/>
  <c r="G375" i="22" s="1"/>
  <c r="G374" i="22" s="1"/>
  <c r="G373" i="22"/>
  <c r="H370" i="22"/>
  <c r="G370" i="22"/>
  <c r="H367" i="22"/>
  <c r="G366" i="22"/>
  <c r="H365" i="22"/>
  <c r="G364" i="22"/>
  <c r="H363" i="22"/>
  <c r="H482" i="23" s="1"/>
  <c r="G362" i="22"/>
  <c r="G356" i="22"/>
  <c r="G352" i="22"/>
  <c r="G51" i="23" s="1"/>
  <c r="H351" i="22"/>
  <c r="G350" i="22"/>
  <c r="G349" i="22" s="1"/>
  <c r="G346" i="22"/>
  <c r="G41" i="23" s="1"/>
  <c r="G345" i="22"/>
  <c r="H345" i="22" s="1"/>
  <c r="G344" i="22"/>
  <c r="H344" i="22" s="1"/>
  <c r="G343" i="22"/>
  <c r="H335" i="22"/>
  <c r="H334" i="22" s="1"/>
  <c r="H333" i="22" s="1"/>
  <c r="G335" i="22"/>
  <c r="G334" i="22" s="1"/>
  <c r="H330" i="22"/>
  <c r="H329" i="22" s="1"/>
  <c r="H327" i="22" s="1"/>
  <c r="G330" i="22"/>
  <c r="G329" i="22" s="1"/>
  <c r="G327" i="22" s="1"/>
  <c r="H328" i="22"/>
  <c r="G328" i="22"/>
  <c r="G326" i="22"/>
  <c r="G325" i="22" s="1"/>
  <c r="G324" i="22" s="1"/>
  <c r="H324" i="22" s="1"/>
  <c r="H323" i="22"/>
  <c r="G322" i="22"/>
  <c r="G321" i="22" s="1"/>
  <c r="H320" i="22"/>
  <c r="G319" i="22"/>
  <c r="G318" i="22" s="1"/>
  <c r="H316" i="22"/>
  <c r="H530" i="23" s="1"/>
  <c r="G315" i="22"/>
  <c r="G314" i="22" s="1"/>
  <c r="G313" i="22" s="1"/>
  <c r="G312" i="22"/>
  <c r="G514" i="23" s="1"/>
  <c r="G311" i="22"/>
  <c r="H311" i="22" s="1"/>
  <c r="G310" i="22"/>
  <c r="G511" i="23" s="1"/>
  <c r="G307" i="22"/>
  <c r="G507" i="23" s="1"/>
  <c r="G303" i="22"/>
  <c r="H301" i="22"/>
  <c r="G300" i="22"/>
  <c r="H299" i="22"/>
  <c r="G298" i="22"/>
  <c r="H291" i="22"/>
  <c r="H290" i="22" s="1"/>
  <c r="H289" i="22" s="1"/>
  <c r="G291" i="22"/>
  <c r="G290" i="22" s="1"/>
  <c r="G289" i="22" s="1"/>
  <c r="G288" i="22"/>
  <c r="G88" i="23" s="1"/>
  <c r="G287" i="22"/>
  <c r="H287" i="22" s="1"/>
  <c r="G286" i="22"/>
  <c r="G285" i="22" s="1"/>
  <c r="G284" i="22"/>
  <c r="G280" i="22"/>
  <c r="G74" i="23" s="1"/>
  <c r="G279" i="22"/>
  <c r="H279" i="22" s="1"/>
  <c r="G278" i="22"/>
  <c r="G277" i="22" s="1"/>
  <c r="G272" i="22"/>
  <c r="G805" i="23" s="1"/>
  <c r="H267" i="22"/>
  <c r="H793" i="23" s="1"/>
  <c r="G266" i="22"/>
  <c r="G265" i="22" s="1"/>
  <c r="H263" i="22"/>
  <c r="H262" i="22" s="1"/>
  <c r="G263" i="22"/>
  <c r="G262" i="22" s="1"/>
  <c r="G261" i="22"/>
  <c r="G789" i="23" s="1"/>
  <c r="G260" i="22"/>
  <c r="H260" i="22" s="1"/>
  <c r="G259" i="22"/>
  <c r="H259" i="22" s="1"/>
  <c r="H257" i="22"/>
  <c r="H256" i="22" s="1"/>
  <c r="G257" i="22"/>
  <c r="G256" i="22" s="1"/>
  <c r="G255" i="22"/>
  <c r="H254" i="22"/>
  <c r="H253" i="22" s="1"/>
  <c r="G254" i="22"/>
  <c r="G253" i="22"/>
  <c r="H249" i="22"/>
  <c r="H248" i="22" s="1"/>
  <c r="H247" i="22" s="1"/>
  <c r="H246" i="22" s="1"/>
  <c r="H245" i="22" s="1"/>
  <c r="G249" i="22"/>
  <c r="G248" i="22" s="1"/>
  <c r="G247" i="22" s="1"/>
  <c r="G246" i="22" s="1"/>
  <c r="G245" i="22" s="1"/>
  <c r="H241" i="22"/>
  <c r="G240" i="22"/>
  <c r="H238" i="22"/>
  <c r="G238" i="22"/>
  <c r="H232" i="22"/>
  <c r="H231" i="22" s="1"/>
  <c r="G232" i="22"/>
  <c r="G231" i="22" s="1"/>
  <c r="G230" i="22"/>
  <c r="G404" i="23" s="1"/>
  <c r="H224" i="22"/>
  <c r="H223" i="22" s="1"/>
  <c r="H222" i="22" s="1"/>
  <c r="H221" i="22" s="1"/>
  <c r="H220" i="22" s="1"/>
  <c r="H219" i="22" s="1"/>
  <c r="G223" i="22"/>
  <c r="G222" i="22" s="1"/>
  <c r="G221" i="22" s="1"/>
  <c r="G220" i="22" s="1"/>
  <c r="G219" i="22" s="1"/>
  <c r="H217" i="22"/>
  <c r="H350" i="23" s="1"/>
  <c r="G216" i="22"/>
  <c r="G215" i="22" s="1"/>
  <c r="G214" i="22" s="1"/>
  <c r="G213" i="22" s="1"/>
  <c r="G1134" i="22" s="1"/>
  <c r="G212" i="22"/>
  <c r="G211" i="22" s="1"/>
  <c r="H211" i="22"/>
  <c r="G210" i="22"/>
  <c r="G209" i="22" s="1"/>
  <c r="H203" i="22"/>
  <c r="H202" i="22" s="1"/>
  <c r="H201" i="22" s="1"/>
  <c r="G203" i="22"/>
  <c r="G202" i="22" s="1"/>
  <c r="G201" i="22" s="1"/>
  <c r="H199" i="22"/>
  <c r="H198" i="22" s="1"/>
  <c r="G199" i="22"/>
  <c r="G198" i="22" s="1"/>
  <c r="H197" i="22"/>
  <c r="G197" i="22"/>
  <c r="G190" i="22"/>
  <c r="G189" i="22" s="1"/>
  <c r="G188" i="22" s="1"/>
  <c r="G187" i="22"/>
  <c r="F245" i="21" s="1"/>
  <c r="F244" i="21" s="1"/>
  <c r="H185" i="22"/>
  <c r="G243" i="21" s="1"/>
  <c r="G242" i="21" s="1"/>
  <c r="G184" i="22"/>
  <c r="H184" i="22" s="1"/>
  <c r="G181" i="22"/>
  <c r="G180" i="22" s="1"/>
  <c r="G179" i="22" s="1"/>
  <c r="G178" i="22"/>
  <c r="H178" i="22" s="1"/>
  <c r="G171" i="22"/>
  <c r="H171" i="22" s="1"/>
  <c r="G170" i="22"/>
  <c r="H170" i="22" s="1"/>
  <c r="G169" i="22"/>
  <c r="G168" i="22" s="1"/>
  <c r="G167" i="22" s="1"/>
  <c r="G166" i="22" s="1"/>
  <c r="G165" i="22" s="1"/>
  <c r="G1105" i="22" s="1"/>
  <c r="H163" i="22"/>
  <c r="H162" i="22" s="1"/>
  <c r="H161" i="22" s="1"/>
  <c r="G163" i="22"/>
  <c r="G162" i="22" s="1"/>
  <c r="G161" i="22" s="1"/>
  <c r="H158" i="22"/>
  <c r="H157" i="22" s="1"/>
  <c r="H156" i="22" s="1"/>
  <c r="H155" i="22" s="1"/>
  <c r="H1148" i="22" s="1"/>
  <c r="G158" i="22"/>
  <c r="G157" i="22" s="1"/>
  <c r="G156" i="22" s="1"/>
  <c r="G155" i="22" s="1"/>
  <c r="G1148" i="22" s="1"/>
  <c r="G154" i="22"/>
  <c r="H149" i="22"/>
  <c r="H148" i="22" s="1"/>
  <c r="H147" i="22" s="1"/>
  <c r="G149" i="22"/>
  <c r="G148" i="22" s="1"/>
  <c r="G147" i="22" s="1"/>
  <c r="H144" i="22"/>
  <c r="H143" i="22" s="1"/>
  <c r="H141" i="22" s="1"/>
  <c r="G144" i="22"/>
  <c r="G143" i="22" s="1"/>
  <c r="G141" i="22" s="1"/>
  <c r="H142" i="22"/>
  <c r="G142" i="22"/>
  <c r="H140" i="22"/>
  <c r="G139" i="22"/>
  <c r="G138" i="22" s="1"/>
  <c r="H137" i="22"/>
  <c r="H136" i="22" s="1"/>
  <c r="G136" i="22"/>
  <c r="H135" i="22"/>
  <c r="G134" i="22"/>
  <c r="H128" i="22"/>
  <c r="G128" i="22"/>
  <c r="H126" i="22"/>
  <c r="G126" i="22"/>
  <c r="H121" i="22"/>
  <c r="H120" i="22" s="1"/>
  <c r="H119" i="22" s="1"/>
  <c r="G120" i="22"/>
  <c r="G119" i="22" s="1"/>
  <c r="H118" i="22"/>
  <c r="H117" i="22" s="1"/>
  <c r="H116" i="22" s="1"/>
  <c r="G117" i="22"/>
  <c r="G116" i="22" s="1"/>
  <c r="G112" i="22"/>
  <c r="G396" i="23" s="1"/>
  <c r="G111" i="22"/>
  <c r="H111" i="22" s="1"/>
  <c r="G110" i="22"/>
  <c r="H110" i="22" s="1"/>
  <c r="G109" i="22"/>
  <c r="H104" i="22"/>
  <c r="H103" i="22" s="1"/>
  <c r="G104" i="22"/>
  <c r="G103" i="22" s="1"/>
  <c r="H101" i="22"/>
  <c r="H100" i="22" s="1"/>
  <c r="G101" i="22"/>
  <c r="G100" i="22" s="1"/>
  <c r="G99" i="22"/>
  <c r="G377" i="23" s="1"/>
  <c r="G97" i="22"/>
  <c r="H93" i="22"/>
  <c r="H362" i="23" s="1"/>
  <c r="G92" i="22"/>
  <c r="G91" i="22" s="1"/>
  <c r="G90" i="22" s="1"/>
  <c r="H88" i="22"/>
  <c r="H87" i="22" s="1"/>
  <c r="G87" i="22"/>
  <c r="H86" i="22"/>
  <c r="G79" i="21" s="1"/>
  <c r="G78" i="21" s="1"/>
  <c r="G85" i="22"/>
  <c r="G83" i="22"/>
  <c r="G82" i="22" s="1"/>
  <c r="G81" i="22"/>
  <c r="G80" i="22" s="1"/>
  <c r="H77" i="22"/>
  <c r="G77" i="22"/>
  <c r="H75" i="22"/>
  <c r="G75" i="22"/>
  <c r="H72" i="22"/>
  <c r="H71" i="22" s="1"/>
  <c r="G72" i="22"/>
  <c r="G71" i="22" s="1"/>
  <c r="H69" i="22"/>
  <c r="G68" i="22"/>
  <c r="G67" i="22" s="1"/>
  <c r="H66" i="22"/>
  <c r="H65" i="22" s="1"/>
  <c r="G65" i="22"/>
  <c r="G64" i="22" s="1"/>
  <c r="H64" i="22" s="1"/>
  <c r="H63" i="22"/>
  <c r="H62" i="22" s="1"/>
  <c r="G62" i="22"/>
  <c r="H61" i="22"/>
  <c r="H60" i="22" s="1"/>
  <c r="G60" i="22"/>
  <c r="H59" i="22"/>
  <c r="H58" i="22" s="1"/>
  <c r="G58" i="22"/>
  <c r="H57" i="22"/>
  <c r="H56" i="22" s="1"/>
  <c r="G57" i="22"/>
  <c r="G56" i="22" s="1"/>
  <c r="H50" i="22"/>
  <c r="H49" i="22" s="1"/>
  <c r="G50" i="22"/>
  <c r="G49" i="22" s="1"/>
  <c r="G48" i="22"/>
  <c r="H48" i="22" s="1"/>
  <c r="G25" i="21" s="1"/>
  <c r="G24" i="21" s="1"/>
  <c r="G23" i="21" s="1"/>
  <c r="G43" i="22"/>
  <c r="G42" i="22" s="1"/>
  <c r="H40" i="22"/>
  <c r="H39" i="22" s="1"/>
  <c r="G39" i="22"/>
  <c r="H38" i="22"/>
  <c r="H37" i="22" s="1"/>
  <c r="G37" i="22"/>
  <c r="H29" i="22"/>
  <c r="H28" i="22" s="1"/>
  <c r="H27" i="22" s="1"/>
  <c r="H26" i="22" s="1"/>
  <c r="H25" i="22" s="1"/>
  <c r="G29" i="22"/>
  <c r="G28" i="22" s="1"/>
  <c r="G27" i="22" s="1"/>
  <c r="G26" i="22" s="1"/>
  <c r="G25" i="22" s="1"/>
  <c r="H23" i="22"/>
  <c r="H22" i="22" s="1"/>
  <c r="G23" i="22"/>
  <c r="G22" i="22" s="1"/>
  <c r="H20" i="22"/>
  <c r="G20" i="22"/>
  <c r="H19" i="22"/>
  <c r="H18" i="22" s="1"/>
  <c r="G18" i="22"/>
  <c r="H17" i="22"/>
  <c r="H16" i="22" s="1"/>
  <c r="G16" i="22"/>
  <c r="G969" i="21"/>
  <c r="G968" i="21" s="1"/>
  <c r="G967" i="21" s="1"/>
  <c r="G966" i="21" s="1"/>
  <c r="G965" i="21" s="1"/>
  <c r="F969" i="21"/>
  <c r="F968" i="21" s="1"/>
  <c r="F967" i="21" s="1"/>
  <c r="F966" i="21" s="1"/>
  <c r="F965" i="21" s="1"/>
  <c r="F964" i="21"/>
  <c r="F963" i="21" s="1"/>
  <c r="F962" i="21" s="1"/>
  <c r="F961" i="21"/>
  <c r="F960" i="21" s="1"/>
  <c r="F959" i="21"/>
  <c r="F958" i="21" s="1"/>
  <c r="F957" i="21"/>
  <c r="F956" i="21" s="1"/>
  <c r="G948" i="21"/>
  <c r="G947" i="21" s="1"/>
  <c r="F948" i="21"/>
  <c r="F947" i="21" s="1"/>
  <c r="F943" i="21"/>
  <c r="F942" i="21" s="1"/>
  <c r="F941" i="21" s="1"/>
  <c r="F938" i="21"/>
  <c r="F937" i="21" s="1"/>
  <c r="F936" i="21"/>
  <c r="F935" i="21" s="1"/>
  <c r="F931" i="21"/>
  <c r="F930" i="21" s="1"/>
  <c r="F929" i="21" s="1"/>
  <c r="F928" i="21"/>
  <c r="F927" i="21" s="1"/>
  <c r="F926" i="21" s="1"/>
  <c r="G922" i="21"/>
  <c r="G921" i="21" s="1"/>
  <c r="G920" i="21" s="1"/>
  <c r="G919" i="21" s="1"/>
  <c r="G918" i="21" s="1"/>
  <c r="F922" i="21"/>
  <c r="F921" i="21" s="1"/>
  <c r="F920" i="21" s="1"/>
  <c r="F919" i="21" s="1"/>
  <c r="F918" i="21" s="1"/>
  <c r="G917" i="21"/>
  <c r="G916" i="21" s="1"/>
  <c r="G915" i="21" s="1"/>
  <c r="G914" i="21" s="1"/>
  <c r="G913" i="21" s="1"/>
  <c r="F917" i="21"/>
  <c r="F916" i="21" s="1"/>
  <c r="F915" i="21" s="1"/>
  <c r="F914" i="21" s="1"/>
  <c r="F913" i="21" s="1"/>
  <c r="F908" i="21"/>
  <c r="F907" i="21" s="1"/>
  <c r="F906" i="21" s="1"/>
  <c r="G905" i="21"/>
  <c r="F905" i="21"/>
  <c r="G904" i="21"/>
  <c r="F904" i="21"/>
  <c r="G903" i="21"/>
  <c r="F903" i="21"/>
  <c r="F898" i="21"/>
  <c r="F897" i="21" s="1"/>
  <c r="F896" i="21" s="1"/>
  <c r="G895" i="21"/>
  <c r="F895" i="21"/>
  <c r="G894" i="21"/>
  <c r="F894" i="21"/>
  <c r="G893" i="21"/>
  <c r="F893" i="21"/>
  <c r="F891" i="21"/>
  <c r="F890" i="21" s="1"/>
  <c r="F889" i="21" s="1"/>
  <c r="F888" i="21" s="1"/>
  <c r="F879" i="21"/>
  <c r="F878" i="21" s="1"/>
  <c r="G877" i="21"/>
  <c r="G876" i="21" s="1"/>
  <c r="F877" i="21"/>
  <c r="F876" i="21" s="1"/>
  <c r="G871" i="21"/>
  <c r="G870" i="21" s="1"/>
  <c r="G869" i="21" s="1"/>
  <c r="G868" i="21" s="1"/>
  <c r="G867" i="21" s="1"/>
  <c r="G866" i="21" s="1"/>
  <c r="F871" i="21"/>
  <c r="F870" i="21" s="1"/>
  <c r="F869" i="21" s="1"/>
  <c r="F868" i="21" s="1"/>
  <c r="F867" i="21" s="1"/>
  <c r="F866" i="21" s="1"/>
  <c r="G865" i="21"/>
  <c r="G864" i="21" s="1"/>
  <c r="G863" i="21" s="1"/>
  <c r="F865" i="21"/>
  <c r="F864" i="21" s="1"/>
  <c r="F863" i="21" s="1"/>
  <c r="G857" i="21"/>
  <c r="G856" i="21" s="1"/>
  <c r="G855" i="21" s="1"/>
  <c r="G854" i="21" s="1"/>
  <c r="F857" i="21"/>
  <c r="F856" i="21" s="1"/>
  <c r="F855" i="21" s="1"/>
  <c r="F854" i="21" s="1"/>
  <c r="F853" i="21"/>
  <c r="F852" i="21" s="1"/>
  <c r="F851" i="21"/>
  <c r="F850" i="21" s="1"/>
  <c r="F849" i="21" s="1"/>
  <c r="F847" i="21"/>
  <c r="F846" i="21" s="1"/>
  <c r="F845" i="21" s="1"/>
  <c r="F835" i="21"/>
  <c r="F834" i="21" s="1"/>
  <c r="F833" i="21" s="1"/>
  <c r="F832" i="21" s="1"/>
  <c r="F831" i="21" s="1"/>
  <c r="F830" i="21" s="1"/>
  <c r="D42" i="20" s="1"/>
  <c r="G828" i="21"/>
  <c r="G827" i="21" s="1"/>
  <c r="G826" i="21" s="1"/>
  <c r="G825" i="21" s="1"/>
  <c r="G824" i="21" s="1"/>
  <c r="F828" i="21"/>
  <c r="F827" i="21" s="1"/>
  <c r="F826" i="21" s="1"/>
  <c r="F824" i="21" s="1"/>
  <c r="G823" i="21"/>
  <c r="G822" i="21" s="1"/>
  <c r="G821" i="21" s="1"/>
  <c r="G820" i="21" s="1"/>
  <c r="G819" i="21" s="1"/>
  <c r="G818" i="21" s="1"/>
  <c r="F810" i="21"/>
  <c r="F809" i="21" s="1"/>
  <c r="F805" i="21"/>
  <c r="F804" i="21" s="1"/>
  <c r="F803" i="21" s="1"/>
  <c r="G802" i="21"/>
  <c r="F802" i="21"/>
  <c r="G801" i="21"/>
  <c r="F801" i="21"/>
  <c r="F800" i="21"/>
  <c r="F799" i="21" s="1"/>
  <c r="F798" i="21" s="1"/>
  <c r="G794" i="21"/>
  <c r="G793" i="21" s="1"/>
  <c r="G792" i="21" s="1"/>
  <c r="G791" i="21" s="1"/>
  <c r="G790" i="21" s="1"/>
  <c r="F794" i="21"/>
  <c r="F793" i="21" s="1"/>
  <c r="F792" i="21" s="1"/>
  <c r="F791" i="21" s="1"/>
  <c r="F790" i="21" s="1"/>
  <c r="G789" i="21"/>
  <c r="G788" i="21" s="1"/>
  <c r="G787" i="21" s="1"/>
  <c r="G786" i="21" s="1"/>
  <c r="G785" i="21" s="1"/>
  <c r="F789" i="21"/>
  <c r="F788" i="21" s="1"/>
  <c r="F787" i="21" s="1"/>
  <c r="F786" i="21" s="1"/>
  <c r="F785" i="21" s="1"/>
  <c r="G784" i="21"/>
  <c r="G783" i="21" s="1"/>
  <c r="G782" i="21" s="1"/>
  <c r="G781" i="21" s="1"/>
  <c r="F784" i="21"/>
  <c r="F783" i="21" s="1"/>
  <c r="F782" i="21" s="1"/>
  <c r="F781" i="21" s="1"/>
  <c r="G780" i="21"/>
  <c r="G779" i="21" s="1"/>
  <c r="G778" i="21" s="1"/>
  <c r="G777" i="21" s="1"/>
  <c r="F780" i="21"/>
  <c r="F779" i="21" s="1"/>
  <c r="F778" i="21" s="1"/>
  <c r="F777" i="21" s="1"/>
  <c r="G772" i="21"/>
  <c r="G771" i="21" s="1"/>
  <c r="G770" i="21" s="1"/>
  <c r="G769" i="21" s="1"/>
  <c r="F772" i="21"/>
  <c r="F771" i="21" s="1"/>
  <c r="F770" i="21" s="1"/>
  <c r="F769" i="21" s="1"/>
  <c r="F768" i="21"/>
  <c r="F767" i="21" s="1"/>
  <c r="F766" i="21" s="1"/>
  <c r="F765" i="21"/>
  <c r="F764" i="21" s="1"/>
  <c r="F763" i="21" s="1"/>
  <c r="F761" i="21"/>
  <c r="F760" i="21" s="1"/>
  <c r="F759" i="21" s="1"/>
  <c r="F758" i="21" s="1"/>
  <c r="G755" i="21"/>
  <c r="F755" i="21"/>
  <c r="G754" i="21"/>
  <c r="F754" i="21"/>
  <c r="F751" i="21"/>
  <c r="F750" i="21" s="1"/>
  <c r="F749" i="21"/>
  <c r="F748" i="21" s="1"/>
  <c r="F747" i="21"/>
  <c r="F746" i="21" s="1"/>
  <c r="G740" i="21"/>
  <c r="G739" i="21" s="1"/>
  <c r="G738" i="21" s="1"/>
  <c r="F740" i="21"/>
  <c r="F739" i="21" s="1"/>
  <c r="F738" i="21" s="1"/>
  <c r="F733" i="21"/>
  <c r="F732" i="21" s="1"/>
  <c r="F729" i="21"/>
  <c r="F728" i="21" s="1"/>
  <c r="F727" i="21" s="1"/>
  <c r="F726" i="21" s="1"/>
  <c r="F719" i="21"/>
  <c r="F718" i="21" s="1"/>
  <c r="G713" i="21"/>
  <c r="G712" i="21" s="1"/>
  <c r="G711" i="21" s="1"/>
  <c r="G710" i="21" s="1"/>
  <c r="G709" i="21" s="1"/>
  <c r="F713" i="21"/>
  <c r="F712" i="21" s="1"/>
  <c r="F711" i="21" s="1"/>
  <c r="F710" i="21" s="1"/>
  <c r="F709" i="21" s="1"/>
  <c r="G704" i="21"/>
  <c r="G703" i="21" s="1"/>
  <c r="F704" i="21"/>
  <c r="F703" i="21" s="1"/>
  <c r="F698" i="21"/>
  <c r="G698" i="21" s="1"/>
  <c r="F697" i="21"/>
  <c r="G697" i="21" s="1"/>
  <c r="F696" i="21"/>
  <c r="G696" i="21" s="1"/>
  <c r="G688" i="21"/>
  <c r="G687" i="21" s="1"/>
  <c r="G686" i="21" s="1"/>
  <c r="F688" i="21"/>
  <c r="F687" i="21" s="1"/>
  <c r="F686" i="21" s="1"/>
  <c r="G685" i="21"/>
  <c r="G684" i="21" s="1"/>
  <c r="G683" i="21" s="1"/>
  <c r="F685" i="21"/>
  <c r="F684" i="21" s="1"/>
  <c r="F683" i="21" s="1"/>
  <c r="G680" i="21"/>
  <c r="G679" i="21" s="1"/>
  <c r="G678" i="21" s="1"/>
  <c r="G676" i="21" s="1"/>
  <c r="F680" i="21"/>
  <c r="F679" i="21" s="1"/>
  <c r="F678" i="21" s="1"/>
  <c r="F676" i="21" s="1"/>
  <c r="F672" i="21"/>
  <c r="F671" i="21" s="1"/>
  <c r="F670" i="21" s="1"/>
  <c r="F669" i="21"/>
  <c r="F668" i="21" s="1"/>
  <c r="F667" i="21" s="1"/>
  <c r="F665" i="21"/>
  <c r="F664" i="21" s="1"/>
  <c r="F663" i="21" s="1"/>
  <c r="F662" i="21" s="1"/>
  <c r="F661" i="21"/>
  <c r="G661" i="21" s="1"/>
  <c r="F660" i="21"/>
  <c r="G660" i="21" s="1"/>
  <c r="F650" i="21"/>
  <c r="F649" i="21" s="1"/>
  <c r="F648" i="21"/>
  <c r="F647" i="21" s="1"/>
  <c r="G643" i="21"/>
  <c r="G642" i="21" s="1"/>
  <c r="G641" i="21" s="1"/>
  <c r="G640" i="21" s="1"/>
  <c r="F643" i="21"/>
  <c r="F642" i="21" s="1"/>
  <c r="F641" i="21" s="1"/>
  <c r="F640" i="21" s="1"/>
  <c r="F639" i="21"/>
  <c r="G639" i="21" s="1"/>
  <c r="F638" i="21"/>
  <c r="G638" i="21" s="1"/>
  <c r="F637" i="21"/>
  <c r="G637" i="21" s="1"/>
  <c r="G636" i="21" s="1"/>
  <c r="F632" i="21"/>
  <c r="F631" i="21" s="1"/>
  <c r="F630" i="21" s="1"/>
  <c r="F629" i="21"/>
  <c r="F628" i="21" s="1"/>
  <c r="F627" i="21" s="1"/>
  <c r="F625" i="21"/>
  <c r="F624" i="21" s="1"/>
  <c r="F623" i="21" s="1"/>
  <c r="F622" i="21" s="1"/>
  <c r="G619" i="21"/>
  <c r="G618" i="21" s="1"/>
  <c r="G617" i="21" s="1"/>
  <c r="G616" i="21" s="1"/>
  <c r="G615" i="21" s="1"/>
  <c r="F619" i="21"/>
  <c r="F618" i="21" s="1"/>
  <c r="F617" i="21" s="1"/>
  <c r="F616" i="21" s="1"/>
  <c r="F615" i="21" s="1"/>
  <c r="G600" i="21"/>
  <c r="G599" i="21" s="1"/>
  <c r="F600" i="21"/>
  <c r="F599" i="21" s="1"/>
  <c r="G598" i="21"/>
  <c r="G597" i="21" s="1"/>
  <c r="G596" i="21" s="1"/>
  <c r="F598" i="21"/>
  <c r="F597" i="21" s="1"/>
  <c r="F596" i="21" s="1"/>
  <c r="G594" i="21"/>
  <c r="G593" i="21" s="1"/>
  <c r="G592" i="21" s="1"/>
  <c r="G591" i="21" s="1"/>
  <c r="F594" i="21"/>
  <c r="F593" i="21" s="1"/>
  <c r="F592" i="21" s="1"/>
  <c r="F591" i="21" s="1"/>
  <c r="G590" i="21"/>
  <c r="G589" i="21" s="1"/>
  <c r="G588" i="21" s="1"/>
  <c r="G587" i="21" s="1"/>
  <c r="F590" i="21"/>
  <c r="F589" i="21" s="1"/>
  <c r="F588" i="21" s="1"/>
  <c r="F587" i="21" s="1"/>
  <c r="F586" i="21"/>
  <c r="F585" i="21" s="1"/>
  <c r="F584" i="21" s="1"/>
  <c r="G566" i="21"/>
  <c r="G565" i="21" s="1"/>
  <c r="G564" i="21" s="1"/>
  <c r="F566" i="21"/>
  <c r="F565" i="21" s="1"/>
  <c r="F564" i="21" s="1"/>
  <c r="F560" i="21"/>
  <c r="F559" i="21" s="1"/>
  <c r="F558" i="21" s="1"/>
  <c r="G557" i="21"/>
  <c r="G556" i="21" s="1"/>
  <c r="G555" i="21" s="1"/>
  <c r="F557" i="21"/>
  <c r="F556" i="21" s="1"/>
  <c r="F555" i="21" s="1"/>
  <c r="F554" i="21"/>
  <c r="F553" i="21" s="1"/>
  <c r="F552" i="21" s="1"/>
  <c r="G551" i="21"/>
  <c r="G550" i="21" s="1"/>
  <c r="G549" i="21" s="1"/>
  <c r="F551" i="21"/>
  <c r="F550" i="21" s="1"/>
  <c r="F549" i="21" s="1"/>
  <c r="F547" i="21"/>
  <c r="F546" i="21" s="1"/>
  <c r="F545" i="21" s="1"/>
  <c r="F544" i="21" s="1"/>
  <c r="G541" i="21"/>
  <c r="G540" i="21" s="1"/>
  <c r="G539" i="21" s="1"/>
  <c r="G538" i="21" s="1"/>
  <c r="G537" i="21" s="1"/>
  <c r="F541" i="21"/>
  <c r="F540" i="21" s="1"/>
  <c r="F539" i="21" s="1"/>
  <c r="F538" i="21" s="1"/>
  <c r="F537" i="21" s="1"/>
  <c r="G536" i="21"/>
  <c r="G535" i="21" s="1"/>
  <c r="G534" i="21" s="1"/>
  <c r="G533" i="21" s="1"/>
  <c r="G532" i="21" s="1"/>
  <c r="F536" i="21"/>
  <c r="F535" i="21" s="1"/>
  <c r="F534" i="21" s="1"/>
  <c r="F533" i="21" s="1"/>
  <c r="F532" i="21" s="1"/>
  <c r="G531" i="21"/>
  <c r="G530" i="21" s="1"/>
  <c r="G529" i="21" s="1"/>
  <c r="G528" i="21"/>
  <c r="G527" i="21" s="1"/>
  <c r="G526" i="21" s="1"/>
  <c r="F528" i="21"/>
  <c r="F527" i="21" s="1"/>
  <c r="F526" i="21" s="1"/>
  <c r="G524" i="21"/>
  <c r="G523" i="21" s="1"/>
  <c r="G522" i="21" s="1"/>
  <c r="F524" i="21"/>
  <c r="F523" i="21" s="1"/>
  <c r="F522" i="21" s="1"/>
  <c r="F514" i="21"/>
  <c r="F513" i="21" s="1"/>
  <c r="F512" i="21" s="1"/>
  <c r="G497" i="21"/>
  <c r="G496" i="21" s="1"/>
  <c r="G495" i="21" s="1"/>
  <c r="F497" i="21"/>
  <c r="F496" i="21" s="1"/>
  <c r="F495" i="21" s="1"/>
  <c r="F491" i="21"/>
  <c r="F490" i="21" s="1"/>
  <c r="F489" i="21" s="1"/>
  <c r="F488" i="21"/>
  <c r="F487" i="21" s="1"/>
  <c r="F486" i="21" s="1"/>
  <c r="F484" i="21"/>
  <c r="F483" i="21" s="1"/>
  <c r="F482" i="21" s="1"/>
  <c r="F481" i="21" s="1"/>
  <c r="G477" i="21"/>
  <c r="G476" i="21" s="1"/>
  <c r="G475" i="21" s="1"/>
  <c r="G474" i="21" s="1"/>
  <c r="G473" i="21" s="1"/>
  <c r="F477" i="21"/>
  <c r="F476" i="21" s="1"/>
  <c r="F475" i="21" s="1"/>
  <c r="F474" i="21" s="1"/>
  <c r="F473" i="21" s="1"/>
  <c r="F472" i="21"/>
  <c r="F471" i="21" s="1"/>
  <c r="F470" i="21" s="1"/>
  <c r="F469" i="21"/>
  <c r="F468" i="21" s="1"/>
  <c r="F467" i="21"/>
  <c r="F466" i="21" s="1"/>
  <c r="F463" i="21"/>
  <c r="G463" i="21" s="1"/>
  <c r="F462" i="21"/>
  <c r="G462" i="21" s="1"/>
  <c r="F461" i="21"/>
  <c r="G461" i="21" s="1"/>
  <c r="F460" i="21"/>
  <c r="F459" i="21" s="1"/>
  <c r="F458" i="21" s="1"/>
  <c r="F455" i="21"/>
  <c r="F454" i="21" s="1"/>
  <c r="F453" i="21" s="1"/>
  <c r="F448" i="21"/>
  <c r="F447" i="21" s="1"/>
  <c r="G437" i="21"/>
  <c r="G436" i="21" s="1"/>
  <c r="G435" i="21" s="1"/>
  <c r="F437" i="21"/>
  <c r="F436" i="21" s="1"/>
  <c r="F435" i="21" s="1"/>
  <c r="F434" i="21"/>
  <c r="G430" i="21"/>
  <c r="G429" i="21" s="1"/>
  <c r="G428" i="21" s="1"/>
  <c r="F430" i="21"/>
  <c r="F429" i="21" s="1"/>
  <c r="F428" i="21" s="1"/>
  <c r="G427" i="21"/>
  <c r="G426" i="21" s="1"/>
  <c r="G425" i="21" s="1"/>
  <c r="G422" i="21"/>
  <c r="G421" i="21" s="1"/>
  <c r="G419" i="21"/>
  <c r="G418" i="21" s="1"/>
  <c r="G417" i="21" s="1"/>
  <c r="F419" i="21"/>
  <c r="F418" i="21" s="1"/>
  <c r="F417" i="21" s="1"/>
  <c r="G416" i="21"/>
  <c r="G415" i="21" s="1"/>
  <c r="G414" i="21" s="1"/>
  <c r="F416" i="21"/>
  <c r="F415" i="21" s="1"/>
  <c r="F414" i="21" s="1"/>
  <c r="G413" i="21"/>
  <c r="F413" i="21"/>
  <c r="G412" i="21"/>
  <c r="F412" i="21"/>
  <c r="G411" i="21"/>
  <c r="F411" i="21"/>
  <c r="G410" i="21"/>
  <c r="G409" i="21" s="1"/>
  <c r="G408" i="21" s="1"/>
  <c r="F410" i="21"/>
  <c r="F409" i="21" s="1"/>
  <c r="F408" i="21" s="1"/>
  <c r="G407" i="21"/>
  <c r="G406" i="21" s="1"/>
  <c r="G405" i="21" s="1"/>
  <c r="F407" i="21"/>
  <c r="F406" i="21" s="1"/>
  <c r="F405" i="21" s="1"/>
  <c r="G403" i="21"/>
  <c r="G402" i="21" s="1"/>
  <c r="G401" i="21" s="1"/>
  <c r="G400" i="21" s="1"/>
  <c r="F403" i="21"/>
  <c r="F402" i="21" s="1"/>
  <c r="F401" i="21" s="1"/>
  <c r="F400" i="21" s="1"/>
  <c r="G392" i="21"/>
  <c r="G391" i="21" s="1"/>
  <c r="G390" i="21" s="1"/>
  <c r="G389" i="21" s="1"/>
  <c r="G388" i="21" s="1"/>
  <c r="F392" i="21"/>
  <c r="F391" i="21" s="1"/>
  <c r="F390" i="21" s="1"/>
  <c r="F389" i="21" s="1"/>
  <c r="F388" i="21" s="1"/>
  <c r="F387" i="21"/>
  <c r="G387" i="21" s="1"/>
  <c r="F386" i="21"/>
  <c r="G386" i="21" s="1"/>
  <c r="F385" i="21"/>
  <c r="G385" i="21" s="1"/>
  <c r="G384" i="21" s="1"/>
  <c r="F383" i="21"/>
  <c r="G383" i="21" s="1"/>
  <c r="F382" i="21"/>
  <c r="G382" i="21" s="1"/>
  <c r="F381" i="21"/>
  <c r="G381" i="21" s="1"/>
  <c r="G380" i="21" s="1"/>
  <c r="F379" i="21"/>
  <c r="G379" i="21" s="1"/>
  <c r="F378" i="21"/>
  <c r="G378" i="21" s="1"/>
  <c r="F377" i="21"/>
  <c r="G377" i="21" s="1"/>
  <c r="G376" i="21" s="1"/>
  <c r="F375" i="21"/>
  <c r="G375" i="21" s="1"/>
  <c r="F374" i="21"/>
  <c r="G374" i="21" s="1"/>
  <c r="F373" i="21"/>
  <c r="G373" i="21" s="1"/>
  <c r="G372" i="21" s="1"/>
  <c r="F371" i="21"/>
  <c r="G371" i="21" s="1"/>
  <c r="F370" i="21"/>
  <c r="G370" i="21" s="1"/>
  <c r="F369" i="21"/>
  <c r="G369" i="21" s="1"/>
  <c r="G368" i="21" s="1"/>
  <c r="F367" i="21"/>
  <c r="G367" i="21" s="1"/>
  <c r="F366" i="21"/>
  <c r="G366" i="21" s="1"/>
  <c r="F365" i="21"/>
  <c r="G365" i="21" s="1"/>
  <c r="G364" i="21" s="1"/>
  <c r="G363" i="21"/>
  <c r="G362" i="21" s="1"/>
  <c r="G361" i="21" s="1"/>
  <c r="G360" i="21" s="1"/>
  <c r="F363" i="21"/>
  <c r="F362" i="21" s="1"/>
  <c r="F361" i="21" s="1"/>
  <c r="F360" i="21" s="1"/>
  <c r="F358" i="21"/>
  <c r="G358" i="21" s="1"/>
  <c r="F357" i="21"/>
  <c r="G357" i="21" s="1"/>
  <c r="F356" i="21"/>
  <c r="G356" i="21" s="1"/>
  <c r="F355" i="21"/>
  <c r="G355" i="21" s="1"/>
  <c r="F354" i="21"/>
  <c r="G354" i="21" s="1"/>
  <c r="F353" i="21"/>
  <c r="G353" i="21" s="1"/>
  <c r="F352" i="21"/>
  <c r="G352" i="21" s="1"/>
  <c r="F351" i="21"/>
  <c r="G351" i="21" s="1"/>
  <c r="F350" i="21"/>
  <c r="G350" i="21" s="1"/>
  <c r="F349" i="21"/>
  <c r="G349" i="21" s="1"/>
  <c r="F348" i="21"/>
  <c r="G348" i="21" s="1"/>
  <c r="F347" i="21"/>
  <c r="G347" i="21" s="1"/>
  <c r="F346" i="21"/>
  <c r="G346" i="21" s="1"/>
  <c r="F345" i="21"/>
  <c r="G345" i="21" s="1"/>
  <c r="F344" i="21"/>
  <c r="G344" i="21" s="1"/>
  <c r="F343" i="21"/>
  <c r="G343" i="21" s="1"/>
  <c r="F341" i="21"/>
  <c r="G341" i="21" s="1"/>
  <c r="F340" i="21"/>
  <c r="G340" i="21" s="1"/>
  <c r="F334" i="21"/>
  <c r="G334" i="21" s="1"/>
  <c r="F322" i="21"/>
  <c r="G322" i="21" s="1"/>
  <c r="F321" i="21"/>
  <c r="G321" i="21" s="1"/>
  <c r="F320" i="21"/>
  <c r="G320" i="21" s="1"/>
  <c r="F319" i="21"/>
  <c r="G319" i="21" s="1"/>
  <c r="F318" i="21"/>
  <c r="G318" i="21" s="1"/>
  <c r="F313" i="21"/>
  <c r="F312" i="21" s="1"/>
  <c r="F311" i="21" s="1"/>
  <c r="F310" i="21" s="1"/>
  <c r="F309" i="21" s="1"/>
  <c r="G308" i="21"/>
  <c r="G307" i="21" s="1"/>
  <c r="G306" i="21" s="1"/>
  <c r="G305" i="21" s="1"/>
  <c r="F308" i="21"/>
  <c r="F307" i="21" s="1"/>
  <c r="F306" i="21" s="1"/>
  <c r="F305" i="21" s="1"/>
  <c r="F304" i="21"/>
  <c r="G304" i="21" s="1"/>
  <c r="F303" i="21"/>
  <c r="G303" i="21" s="1"/>
  <c r="F302" i="21"/>
  <c r="F301" i="21" s="1"/>
  <c r="F296" i="21"/>
  <c r="G296" i="21" s="1"/>
  <c r="F295" i="21"/>
  <c r="G295" i="21" s="1"/>
  <c r="F294" i="21"/>
  <c r="G294" i="21" s="1"/>
  <c r="G293" i="21" s="1"/>
  <c r="G290" i="21"/>
  <c r="G289" i="21" s="1"/>
  <c r="F282" i="21"/>
  <c r="G282" i="21" s="1"/>
  <c r="F281" i="21"/>
  <c r="G281" i="21" s="1"/>
  <c r="F278" i="21"/>
  <c r="F277" i="21" s="1"/>
  <c r="G274" i="21"/>
  <c r="G273" i="21" s="1"/>
  <c r="G272" i="21" s="1"/>
  <c r="G271" i="21" s="1"/>
  <c r="F274" i="21"/>
  <c r="F273" i="21" s="1"/>
  <c r="F272" i="21" s="1"/>
  <c r="F271" i="21" s="1"/>
  <c r="F268" i="21"/>
  <c r="F267" i="21" s="1"/>
  <c r="F266" i="21" s="1"/>
  <c r="F265" i="21" s="1"/>
  <c r="F264" i="21" s="1"/>
  <c r="F263" i="21" s="1"/>
  <c r="G262" i="21"/>
  <c r="G261" i="21" s="1"/>
  <c r="G260" i="21" s="1"/>
  <c r="G259" i="21" s="1"/>
  <c r="F262" i="21"/>
  <c r="F261" i="21" s="1"/>
  <c r="F260" i="21" s="1"/>
  <c r="F259" i="21" s="1"/>
  <c r="G258" i="21"/>
  <c r="G257" i="21" s="1"/>
  <c r="G256" i="21" s="1"/>
  <c r="F258" i="21"/>
  <c r="F257" i="21" s="1"/>
  <c r="F256" i="21" s="1"/>
  <c r="F243" i="21"/>
  <c r="F242" i="21" s="1"/>
  <c r="F229" i="21"/>
  <c r="G229" i="21" s="1"/>
  <c r="F228" i="21"/>
  <c r="G228" i="21" s="1"/>
  <c r="F227" i="21"/>
  <c r="G227" i="21" s="1"/>
  <c r="G226" i="21" s="1"/>
  <c r="G225" i="21" s="1"/>
  <c r="G224" i="21" s="1"/>
  <c r="G223" i="21" s="1"/>
  <c r="G222" i="21"/>
  <c r="G221" i="21" s="1"/>
  <c r="G220" i="21" s="1"/>
  <c r="G219" i="21" s="1"/>
  <c r="G218" i="21" s="1"/>
  <c r="F222" i="21"/>
  <c r="F221" i="21" s="1"/>
  <c r="F220" i="21" s="1"/>
  <c r="F219" i="21" s="1"/>
  <c r="F218" i="21" s="1"/>
  <c r="G217" i="21"/>
  <c r="G216" i="21" s="1"/>
  <c r="G215" i="21" s="1"/>
  <c r="G214" i="21" s="1"/>
  <c r="G213" i="21" s="1"/>
  <c r="F217" i="21"/>
  <c r="F216" i="21" s="1"/>
  <c r="F215" i="21" s="1"/>
  <c r="F214" i="21" s="1"/>
  <c r="F213" i="21" s="1"/>
  <c r="G212" i="21"/>
  <c r="G211" i="21" s="1"/>
  <c r="G210" i="21" s="1"/>
  <c r="F212" i="21"/>
  <c r="F211" i="21" s="1"/>
  <c r="F210" i="21" s="1"/>
  <c r="F198" i="21"/>
  <c r="F197" i="21" s="1"/>
  <c r="F196" i="21" s="1"/>
  <c r="G192" i="21"/>
  <c r="G191" i="21" s="1"/>
  <c r="G190" i="21" s="1"/>
  <c r="F192" i="21"/>
  <c r="F191" i="21" s="1"/>
  <c r="F190" i="21" s="1"/>
  <c r="G189" i="21"/>
  <c r="G188" i="21" s="1"/>
  <c r="G187" i="21" s="1"/>
  <c r="F189" i="21"/>
  <c r="F188" i="21" s="1"/>
  <c r="F187" i="21" s="1"/>
  <c r="G186" i="21"/>
  <c r="G185" i="21" s="1"/>
  <c r="G184" i="21" s="1"/>
  <c r="G181" i="21"/>
  <c r="G178" i="21" s="1"/>
  <c r="F181" i="21"/>
  <c r="F180" i="21" s="1"/>
  <c r="F179" i="21" s="1"/>
  <c r="F177" i="21" s="1"/>
  <c r="F176" i="21"/>
  <c r="G176" i="21" s="1"/>
  <c r="F175" i="21"/>
  <c r="G175" i="21" s="1"/>
  <c r="F174" i="21"/>
  <c r="G174" i="21" s="1"/>
  <c r="G173" i="21"/>
  <c r="G172" i="21" s="1"/>
  <c r="G171" i="21" s="1"/>
  <c r="G170" i="21" s="1"/>
  <c r="G169" i="21" s="1"/>
  <c r="G168" i="21" s="1"/>
  <c r="F173" i="21"/>
  <c r="F172" i="21" s="1"/>
  <c r="F171" i="21" s="1"/>
  <c r="F170" i="21" s="1"/>
  <c r="F169" i="21" s="1"/>
  <c r="F168" i="21" s="1"/>
  <c r="F167" i="21"/>
  <c r="F166" i="21" s="1"/>
  <c r="F165" i="21" s="1"/>
  <c r="F164" i="21"/>
  <c r="F163" i="21" s="1"/>
  <c r="F162" i="21"/>
  <c r="F161" i="21" s="1"/>
  <c r="G158" i="21"/>
  <c r="G157" i="21" s="1"/>
  <c r="G156" i="21" s="1"/>
  <c r="F158" i="21"/>
  <c r="F157" i="21" s="1"/>
  <c r="F156" i="21" s="1"/>
  <c r="F155" i="21"/>
  <c r="G155" i="21" s="1"/>
  <c r="F154" i="21"/>
  <c r="G154" i="21" s="1"/>
  <c r="F153" i="21"/>
  <c r="G153" i="21" s="1"/>
  <c r="F152" i="21"/>
  <c r="F151" i="21" s="1"/>
  <c r="F150" i="21" s="1"/>
  <c r="F146" i="21"/>
  <c r="F145" i="21" s="1"/>
  <c r="F144" i="21"/>
  <c r="F143" i="21" s="1"/>
  <c r="F141" i="21"/>
  <c r="F140" i="21" s="1"/>
  <c r="F139" i="21" s="1"/>
  <c r="G135" i="21"/>
  <c r="G134" i="21" s="1"/>
  <c r="F135" i="21"/>
  <c r="F134" i="21" s="1"/>
  <c r="G133" i="21"/>
  <c r="G132" i="21" s="1"/>
  <c r="F133" i="21"/>
  <c r="F132" i="21" s="1"/>
  <c r="F127" i="21"/>
  <c r="F126" i="21" s="1"/>
  <c r="F125" i="21" s="1"/>
  <c r="G124" i="21"/>
  <c r="G123" i="21" s="1"/>
  <c r="F124" i="21"/>
  <c r="F123" i="21" s="1"/>
  <c r="F122" i="21"/>
  <c r="F121" i="21" s="1"/>
  <c r="F120" i="21"/>
  <c r="F119" i="21" s="1"/>
  <c r="F116" i="21"/>
  <c r="F115" i="21" s="1"/>
  <c r="F114" i="21" s="1"/>
  <c r="F111" i="21"/>
  <c r="F110" i="21" s="1"/>
  <c r="G101" i="21"/>
  <c r="G100" i="21" s="1"/>
  <c r="G99" i="21" s="1"/>
  <c r="F101" i="21"/>
  <c r="F100" i="21" s="1"/>
  <c r="F99" i="21" s="1"/>
  <c r="G98" i="21"/>
  <c r="G97" i="21" s="1"/>
  <c r="G96" i="21" s="1"/>
  <c r="F98" i="21"/>
  <c r="F97" i="21" s="1"/>
  <c r="F96" i="21" s="1"/>
  <c r="F89" i="21"/>
  <c r="F88" i="21" s="1"/>
  <c r="F87" i="21" s="1"/>
  <c r="F86" i="21" s="1"/>
  <c r="G84" i="21"/>
  <c r="G83" i="21" s="1"/>
  <c r="G82" i="21" s="1"/>
  <c r="F84" i="21"/>
  <c r="F83" i="21" s="1"/>
  <c r="F82" i="21" s="1"/>
  <c r="F81" i="21"/>
  <c r="F80" i="21" s="1"/>
  <c r="F79" i="21"/>
  <c r="F78" i="21" s="1"/>
  <c r="G71" i="21"/>
  <c r="G70" i="21" s="1"/>
  <c r="F71" i="21"/>
  <c r="F70" i="21" s="1"/>
  <c r="G69" i="21"/>
  <c r="G68" i="21" s="1"/>
  <c r="F69" i="21"/>
  <c r="F68" i="21" s="1"/>
  <c r="G66" i="21"/>
  <c r="G65" i="21" s="1"/>
  <c r="G64" i="21" s="1"/>
  <c r="F66" i="21"/>
  <c r="F65" i="21" s="1"/>
  <c r="F64" i="21" s="1"/>
  <c r="F62" i="21"/>
  <c r="F61" i="21" s="1"/>
  <c r="F60" i="21" s="1"/>
  <c r="F59" i="21"/>
  <c r="F58" i="21" s="1"/>
  <c r="F57" i="21" s="1"/>
  <c r="F54" i="21"/>
  <c r="F53" i="21" s="1"/>
  <c r="H46" i="21"/>
  <c r="F44" i="21"/>
  <c r="G44" i="21" s="1"/>
  <c r="F43" i="21"/>
  <c r="G43" i="21" s="1"/>
  <c r="F42" i="21"/>
  <c r="G42" i="21" s="1"/>
  <c r="F41" i="21"/>
  <c r="F40" i="21" s="1"/>
  <c r="F39" i="21"/>
  <c r="F38" i="21" s="1"/>
  <c r="F36" i="21"/>
  <c r="F35" i="21" s="1"/>
  <c r="F34" i="21"/>
  <c r="F33" i="21" s="1"/>
  <c r="G28" i="21"/>
  <c r="G27" i="21" s="1"/>
  <c r="G26" i="21" s="1"/>
  <c r="F28" i="21"/>
  <c r="F27" i="21" s="1"/>
  <c r="F26" i="21" s="1"/>
  <c r="F17" i="21"/>
  <c r="F16" i="21" s="1"/>
  <c r="F15" i="21"/>
  <c r="F14" i="21" s="1"/>
  <c r="G8" i="21"/>
  <c r="E19" i="20"/>
  <c r="D19" i="20"/>
  <c r="E18" i="20"/>
  <c r="D18" i="20"/>
  <c r="D151" i="19"/>
  <c r="D150" i="19" s="1"/>
  <c r="D149" i="19" s="1"/>
  <c r="C151" i="19"/>
  <c r="C150" i="19" s="1"/>
  <c r="C149" i="19" s="1"/>
  <c r="C148" i="19"/>
  <c r="D148" i="19" s="1"/>
  <c r="C147" i="19"/>
  <c r="D147" i="19" s="1"/>
  <c r="C146" i="19"/>
  <c r="D146" i="19" s="1"/>
  <c r="F143" i="19"/>
  <c r="E143" i="19"/>
  <c r="D142" i="19"/>
  <c r="D141" i="19" s="1"/>
  <c r="C142" i="19"/>
  <c r="C141" i="19" s="1"/>
  <c r="D139" i="19"/>
  <c r="C139" i="19"/>
  <c r="F138" i="19"/>
  <c r="E138" i="19"/>
  <c r="D137" i="19"/>
  <c r="C137" i="19"/>
  <c r="D136" i="19"/>
  <c r="E135" i="19"/>
  <c r="D135" i="19"/>
  <c r="E134" i="19"/>
  <c r="D134" i="19"/>
  <c r="C133" i="19"/>
  <c r="F132" i="19"/>
  <c r="E132" i="19"/>
  <c r="F131" i="19"/>
  <c r="E131" i="19"/>
  <c r="F130" i="19"/>
  <c r="E130" i="19"/>
  <c r="C129" i="19"/>
  <c r="D129" i="19" s="1"/>
  <c r="F128" i="19"/>
  <c r="E128" i="19"/>
  <c r="E127" i="19"/>
  <c r="C127" i="19"/>
  <c r="D127" i="19" s="1"/>
  <c r="C125" i="19"/>
  <c r="C124" i="19" s="1"/>
  <c r="D124" i="19"/>
  <c r="E121" i="19"/>
  <c r="C121" i="19"/>
  <c r="D121" i="19" s="1"/>
  <c r="D120" i="19"/>
  <c r="F119" i="19"/>
  <c r="E119" i="19"/>
  <c r="F118" i="19"/>
  <c r="E118" i="19"/>
  <c r="F113" i="19"/>
  <c r="E113" i="19"/>
  <c r="F112" i="19"/>
  <c r="E112" i="19"/>
  <c r="F110" i="19"/>
  <c r="E110" i="19"/>
  <c r="F109" i="19"/>
  <c r="E109" i="19"/>
  <c r="F108" i="19"/>
  <c r="E108" i="19"/>
  <c r="F107" i="19"/>
  <c r="E107" i="19"/>
  <c r="F104" i="19"/>
  <c r="E104" i="19"/>
  <c r="D103" i="19"/>
  <c r="D99" i="19" s="1"/>
  <c r="D98" i="19" s="1"/>
  <c r="F102" i="19"/>
  <c r="E102" i="19"/>
  <c r="F101" i="19"/>
  <c r="F100" i="19"/>
  <c r="E100" i="19"/>
  <c r="C99" i="19"/>
  <c r="C98" i="19" s="1"/>
  <c r="D96" i="19"/>
  <c r="C96" i="19"/>
  <c r="D94" i="19"/>
  <c r="C94" i="19"/>
  <c r="D92" i="19"/>
  <c r="C92" i="19"/>
  <c r="D90" i="19"/>
  <c r="C90" i="19"/>
  <c r="E89" i="19"/>
  <c r="D88" i="19"/>
  <c r="C88" i="19"/>
  <c r="D86" i="19"/>
  <c r="C86" i="19"/>
  <c r="D84" i="19"/>
  <c r="C84" i="19"/>
  <c r="D82" i="19"/>
  <c r="C82" i="19"/>
  <c r="D79" i="19"/>
  <c r="C79" i="19"/>
  <c r="D77" i="19"/>
  <c r="C77" i="19"/>
  <c r="D72" i="19"/>
  <c r="D71" i="19" s="1"/>
  <c r="C72" i="19"/>
  <c r="C71" i="19" s="1"/>
  <c r="D69" i="19"/>
  <c r="C69" i="19"/>
  <c r="D67" i="19"/>
  <c r="C67" i="19"/>
  <c r="D65" i="19"/>
  <c r="C65" i="19"/>
  <c r="D61" i="19"/>
  <c r="C61" i="19"/>
  <c r="D59" i="19"/>
  <c r="C59" i="19"/>
  <c r="D56" i="19"/>
  <c r="C56" i="19"/>
  <c r="D55" i="19"/>
  <c r="C55" i="19"/>
  <c r="D53" i="19"/>
  <c r="D52" i="19" s="1"/>
  <c r="D49" i="19" s="1"/>
  <c r="D48" i="19" s="1"/>
  <c r="K48" i="19" s="1"/>
  <c r="C53" i="19"/>
  <c r="C52" i="19" s="1"/>
  <c r="C49" i="19" s="1"/>
  <c r="C48" i="19" s="1"/>
  <c r="I48" i="19" s="1"/>
  <c r="D46" i="19"/>
  <c r="C46" i="19"/>
  <c r="D44" i="19"/>
  <c r="C44" i="19"/>
  <c r="D40" i="19"/>
  <c r="D39" i="19" s="1"/>
  <c r="C40" i="19"/>
  <c r="C39" i="19" s="1"/>
  <c r="D37" i="19"/>
  <c r="C37" i="19"/>
  <c r="D35" i="19"/>
  <c r="C35" i="19"/>
  <c r="D32" i="19"/>
  <c r="C32" i="19"/>
  <c r="D29" i="19"/>
  <c r="C29" i="19"/>
  <c r="D27" i="19"/>
  <c r="C27" i="19"/>
  <c r="D26" i="19"/>
  <c r="D25" i="19" s="1"/>
  <c r="C26" i="19"/>
  <c r="C25" i="19" s="1"/>
  <c r="D23" i="19"/>
  <c r="C23" i="19"/>
  <c r="D20" i="19"/>
  <c r="C20" i="19"/>
  <c r="D18" i="19"/>
  <c r="C18" i="19"/>
  <c r="D11" i="19"/>
  <c r="D10" i="19" s="1"/>
  <c r="C11" i="19"/>
  <c r="C10" i="19" s="1"/>
  <c r="G144" i="21" l="1"/>
  <c r="G143" i="21" s="1"/>
  <c r="G472" i="21"/>
  <c r="G471" i="21" s="1"/>
  <c r="G470" i="21" s="1"/>
  <c r="G467" i="21"/>
  <c r="G466" i="21" s="1"/>
  <c r="G339" i="21"/>
  <c r="G338" i="21" s="1"/>
  <c r="G337" i="21" s="1"/>
  <c r="G39" i="21"/>
  <c r="G38" i="21" s="1"/>
  <c r="G747" i="21"/>
  <c r="G746" i="21" s="1"/>
  <c r="F236" i="21"/>
  <c r="F235" i="21" s="1"/>
  <c r="F234" i="21" s="1"/>
  <c r="G152" i="21"/>
  <c r="G151" i="21" s="1"/>
  <c r="G150" i="21" s="1"/>
  <c r="G149" i="21" s="1"/>
  <c r="G398" i="21"/>
  <c r="G397" i="21" s="1"/>
  <c r="G396" i="21" s="1"/>
  <c r="G395" i="21" s="1"/>
  <c r="G394" i="21" s="1"/>
  <c r="F814" i="21"/>
  <c r="F813" i="21" s="1"/>
  <c r="G116" i="21"/>
  <c r="G115" i="21" s="1"/>
  <c r="G114" i="21" s="1"/>
  <c r="E101" i="19"/>
  <c r="D44" i="20"/>
  <c r="F25" i="21"/>
  <c r="F24" i="21" s="1"/>
  <c r="F23" i="21" s="1"/>
  <c r="F22" i="21" s="1"/>
  <c r="F21" i="21" s="1"/>
  <c r="G455" i="21"/>
  <c r="G454" i="21" s="1"/>
  <c r="G453" i="21" s="1"/>
  <c r="G469" i="21"/>
  <c r="G468" i="21" s="1"/>
  <c r="G560" i="21"/>
  <c r="G559" i="21" s="1"/>
  <c r="G558" i="21" s="1"/>
  <c r="G805" i="21"/>
  <c r="G804" i="21" s="1"/>
  <c r="G803" i="21" s="1"/>
  <c r="G842" i="21"/>
  <c r="G841" i="21" s="1"/>
  <c r="G840" i="21" s="1"/>
  <c r="G839" i="21" s="1"/>
  <c r="G838" i="21" s="1"/>
  <c r="H14" i="23"/>
  <c r="H13" i="23" s="1"/>
  <c r="H12" i="23" s="1"/>
  <c r="H11" i="23" s="1"/>
  <c r="F290" i="21"/>
  <c r="F289" i="21" s="1"/>
  <c r="F427" i="21"/>
  <c r="F426" i="21" s="1"/>
  <c r="F425" i="21" s="1"/>
  <c r="F452" i="21"/>
  <c r="F451" i="21" s="1"/>
  <c r="G460" i="21"/>
  <c r="G459" i="21" s="1"/>
  <c r="G458" i="21" s="1"/>
  <c r="G457" i="21" s="1"/>
  <c r="G629" i="21"/>
  <c r="G628" i="21" s="1"/>
  <c r="G627" i="21" s="1"/>
  <c r="H62" i="21"/>
  <c r="E97" i="19"/>
  <c r="G313" i="21"/>
  <c r="G312" i="21" s="1"/>
  <c r="G311" i="21" s="1"/>
  <c r="G310" i="21" s="1"/>
  <c r="G309" i="21" s="1"/>
  <c r="G484" i="21"/>
  <c r="G483" i="21" s="1"/>
  <c r="G482" i="21" s="1"/>
  <c r="G481" i="21" s="1"/>
  <c r="G761" i="21"/>
  <c r="G760" i="21" s="1"/>
  <c r="G759" i="21" s="1"/>
  <c r="G758" i="21" s="1"/>
  <c r="F950" i="21"/>
  <c r="F949" i="21" s="1"/>
  <c r="F946" i="21" s="1"/>
  <c r="F945" i="21" s="1"/>
  <c r="F944" i="21" s="1"/>
  <c r="H1007" i="22"/>
  <c r="G693" i="23"/>
  <c r="G692" i="23" s="1"/>
  <c r="D17" i="19"/>
  <c r="D16" i="19" s="1"/>
  <c r="K16" i="19" s="1"/>
  <c r="F127" i="19"/>
  <c r="F74" i="21"/>
  <c r="F73" i="21" s="1"/>
  <c r="F659" i="21"/>
  <c r="F658" i="21" s="1"/>
  <c r="F657" i="21" s="1"/>
  <c r="G665" i="21"/>
  <c r="G664" i="21" s="1"/>
  <c r="G663" i="21" s="1"/>
  <c r="G662" i="21" s="1"/>
  <c r="G835" i="21"/>
  <c r="G834" i="21" s="1"/>
  <c r="G833" i="21" s="1"/>
  <c r="G832" i="21" s="1"/>
  <c r="G831" i="21" s="1"/>
  <c r="G830" i="21" s="1"/>
  <c r="E42" i="20" s="1"/>
  <c r="F67" i="21"/>
  <c r="G15" i="21"/>
  <c r="G14" i="21" s="1"/>
  <c r="F280" i="21"/>
  <c r="F279" i="21" s="1"/>
  <c r="F276" i="21" s="1"/>
  <c r="F275" i="21" s="1"/>
  <c r="F270" i="21" s="1"/>
  <c r="F269" i="21" s="1"/>
  <c r="D25" i="20" s="1"/>
  <c r="F735" i="21"/>
  <c r="F734" i="21" s="1"/>
  <c r="G768" i="21"/>
  <c r="G767" i="21" s="1"/>
  <c r="G766" i="21" s="1"/>
  <c r="F901" i="21"/>
  <c r="F900" i="21" s="1"/>
  <c r="F899" i="21" s="1"/>
  <c r="F892" i="21" s="1"/>
  <c r="G780" i="22"/>
  <c r="G779" i="22" s="1"/>
  <c r="G778" i="22" s="1"/>
  <c r="G641" i="23"/>
  <c r="G640" i="23" s="1"/>
  <c r="G639" i="23" s="1"/>
  <c r="G638" i="23" s="1"/>
  <c r="E85" i="19"/>
  <c r="G17" i="21"/>
  <c r="G16" i="21" s="1"/>
  <c r="G89" i="21"/>
  <c r="G88" i="21" s="1"/>
  <c r="G87" i="21" s="1"/>
  <c r="G86" i="21" s="1"/>
  <c r="F398" i="21"/>
  <c r="F397" i="21" s="1"/>
  <c r="F396" i="21" s="1"/>
  <c r="F395" i="21" s="1"/>
  <c r="F394" i="21" s="1"/>
  <c r="G491" i="21"/>
  <c r="G490" i="21" s="1"/>
  <c r="G489" i="21" s="1"/>
  <c r="F501" i="21"/>
  <c r="F500" i="21" s="1"/>
  <c r="F499" i="21" s="1"/>
  <c r="H1051" i="22"/>
  <c r="H1050" i="22" s="1"/>
  <c r="H1049" i="22" s="1"/>
  <c r="G519" i="23"/>
  <c r="H811" i="23"/>
  <c r="H810" i="23" s="1"/>
  <c r="H809" i="23" s="1"/>
  <c r="F20" i="21"/>
  <c r="F19" i="21" s="1"/>
  <c r="F18" i="21" s="1"/>
  <c r="G18" i="21" s="1"/>
  <c r="F531" i="21"/>
  <c r="F530" i="21" s="1"/>
  <c r="F529" i="21" s="1"/>
  <c r="F525" i="21" s="1"/>
  <c r="G898" i="21"/>
  <c r="G897" i="21" s="1"/>
  <c r="G896" i="21" s="1"/>
  <c r="H85" i="22"/>
  <c r="H84" i="22" s="1"/>
  <c r="F129" i="19" s="1"/>
  <c r="H160" i="22"/>
  <c r="H1149" i="22" s="1"/>
  <c r="G237" i="22"/>
  <c r="G306" i="22"/>
  <c r="G305" i="22" s="1"/>
  <c r="G667" i="23"/>
  <c r="G666" i="23" s="1"/>
  <c r="G67" i="21"/>
  <c r="D22" i="19"/>
  <c r="D21" i="19" s="1"/>
  <c r="D64" i="19"/>
  <c r="D63" i="19" s="1"/>
  <c r="D76" i="19"/>
  <c r="G13" i="21"/>
  <c r="G12" i="21" s="1"/>
  <c r="G11" i="21" s="1"/>
  <c r="F95" i="21"/>
  <c r="F94" i="21" s="1"/>
  <c r="G111" i="21"/>
  <c r="G110" i="21" s="1"/>
  <c r="H1025" i="22"/>
  <c r="H1024" i="22" s="1"/>
  <c r="H199" i="23"/>
  <c r="H198" i="23" s="1"/>
  <c r="G81" i="21"/>
  <c r="G80" i="21" s="1"/>
  <c r="G77" i="21" s="1"/>
  <c r="E44" i="20"/>
  <c r="F50" i="21"/>
  <c r="F49" i="21" s="1"/>
  <c r="F579" i="21"/>
  <c r="F578" i="21" s="1"/>
  <c r="F577" i="21" s="1"/>
  <c r="F762" i="21"/>
  <c r="H776" i="22"/>
  <c r="H775" i="22" s="1"/>
  <c r="G127" i="21"/>
  <c r="G126" i="21" s="1"/>
  <c r="G125" i="21" s="1"/>
  <c r="G961" i="21"/>
  <c r="G960" i="21" s="1"/>
  <c r="H230" i="22"/>
  <c r="H404" i="23" s="1"/>
  <c r="C17" i="19"/>
  <c r="C16" i="19" s="1"/>
  <c r="I16" i="19" s="1"/>
  <c r="C22" i="19"/>
  <c r="I22" i="19" s="1"/>
  <c r="F134" i="19"/>
  <c r="G36" i="21"/>
  <c r="G35" i="21" s="1"/>
  <c r="G41" i="21"/>
  <c r="G40" i="21" s="1"/>
  <c r="G54" i="21"/>
  <c r="G53" i="21" s="1"/>
  <c r="G59" i="21"/>
  <c r="G58" i="21" s="1"/>
  <c r="G57" i="21" s="1"/>
  <c r="G120" i="21"/>
  <c r="G119" i="21" s="1"/>
  <c r="G164" i="21"/>
  <c r="G163" i="21" s="1"/>
  <c r="G198" i="21"/>
  <c r="G197" i="21" s="1"/>
  <c r="G196" i="21" s="1"/>
  <c r="F293" i="21"/>
  <c r="G488" i="21"/>
  <c r="G487" i="21" s="1"/>
  <c r="G486" i="21" s="1"/>
  <c r="G547" i="21"/>
  <c r="G546" i="21" s="1"/>
  <c r="G545" i="21" s="1"/>
  <c r="G544" i="21" s="1"/>
  <c r="F656" i="21"/>
  <c r="F655" i="21" s="1"/>
  <c r="F654" i="21" s="1"/>
  <c r="G853" i="21"/>
  <c r="G852" i="21" s="1"/>
  <c r="F862" i="21"/>
  <c r="F861" i="21" s="1"/>
  <c r="F860" i="21" s="1"/>
  <c r="F859" i="21" s="1"/>
  <c r="F858" i="21" s="1"/>
  <c r="G931" i="21"/>
  <c r="G930" i="21" s="1"/>
  <c r="G929" i="21" s="1"/>
  <c r="G957" i="21"/>
  <c r="G956" i="21" s="1"/>
  <c r="H125" i="22"/>
  <c r="H124" i="22" s="1"/>
  <c r="H123" i="22" s="1"/>
  <c r="H122" i="22" s="1"/>
  <c r="H307" i="22"/>
  <c r="G656" i="21" s="1"/>
  <c r="G655" i="21" s="1"/>
  <c r="G654" i="21" s="1"/>
  <c r="H626" i="22"/>
  <c r="H625" i="22" s="1"/>
  <c r="F121" i="19"/>
  <c r="F239" i="21"/>
  <c r="F238" i="21" s="1"/>
  <c r="F237" i="21" s="1"/>
  <c r="H871" i="22"/>
  <c r="G280" i="21" s="1"/>
  <c r="G279" i="21" s="1"/>
  <c r="G1075" i="22"/>
  <c r="H682" i="23"/>
  <c r="H681" i="23" s="1"/>
  <c r="G825" i="23"/>
  <c r="G824" i="23" s="1"/>
  <c r="G819" i="23" s="1"/>
  <c r="F85" i="19"/>
  <c r="G122" i="21"/>
  <c r="G121" i="21" s="1"/>
  <c r="F248" i="21"/>
  <c r="F247" i="21" s="1"/>
  <c r="F246" i="21" s="1"/>
  <c r="F56" i="21"/>
  <c r="F55" i="21" s="1"/>
  <c r="F148" i="21"/>
  <c r="F147" i="21" s="1"/>
  <c r="F142" i="21" s="1"/>
  <c r="F138" i="21" s="1"/>
  <c r="F203" i="21"/>
  <c r="F202" i="21" s="1"/>
  <c r="G202" i="21" s="1"/>
  <c r="G201" i="21" s="1"/>
  <c r="G200" i="21" s="1"/>
  <c r="G278" i="21"/>
  <c r="G277" i="21" s="1"/>
  <c r="F288" i="21"/>
  <c r="F287" i="21" s="1"/>
  <c r="F339" i="21"/>
  <c r="F338" i="21" s="1"/>
  <c r="F337" i="21" s="1"/>
  <c r="F465" i="21"/>
  <c r="F464" i="21" s="1"/>
  <c r="G514" i="21"/>
  <c r="G513" i="21" s="1"/>
  <c r="G512" i="21" s="1"/>
  <c r="G554" i="21"/>
  <c r="G553" i="21" s="1"/>
  <c r="G552" i="21" s="1"/>
  <c r="F570" i="21"/>
  <c r="F569" i="21" s="1"/>
  <c r="F568" i="21" s="1"/>
  <c r="G677" i="21"/>
  <c r="F721" i="21"/>
  <c r="F720" i="21" s="1"/>
  <c r="F717" i="21" s="1"/>
  <c r="F716" i="21" s="1"/>
  <c r="F715" i="21" s="1"/>
  <c r="G847" i="21"/>
  <c r="G846" i="21" s="1"/>
  <c r="G845" i="21" s="1"/>
  <c r="G844" i="21" s="1"/>
  <c r="G229" i="22"/>
  <c r="G228" i="22" s="1"/>
  <c r="G227" i="22" s="1"/>
  <c r="G226" i="22" s="1"/>
  <c r="G297" i="22"/>
  <c r="G296" i="22" s="1"/>
  <c r="G749" i="22"/>
  <c r="H749" i="22" s="1"/>
  <c r="G191" i="23"/>
  <c r="G190" i="23" s="1"/>
  <c r="H594" i="23"/>
  <c r="H593" i="23" s="1"/>
  <c r="H592" i="23" s="1"/>
  <c r="H591" i="23" s="1"/>
  <c r="H590" i="23" s="1"/>
  <c r="G772" i="23"/>
  <c r="G837" i="23"/>
  <c r="G836" i="23" s="1"/>
  <c r="G835" i="23" s="1"/>
  <c r="G834" i="23" s="1"/>
  <c r="F77" i="21"/>
  <c r="F925" i="21"/>
  <c r="F924" i="21" s="1"/>
  <c r="G115" i="22"/>
  <c r="G114" i="22" s="1"/>
  <c r="G113" i="22" s="1"/>
  <c r="G476" i="23"/>
  <c r="G475" i="23" s="1"/>
  <c r="F652" i="21"/>
  <c r="F651" i="21" s="1"/>
  <c r="F646" i="21" s="1"/>
  <c r="F645" i="21" s="1"/>
  <c r="G48" i="23"/>
  <c r="G49" i="23" s="1"/>
  <c r="H350" i="22"/>
  <c r="H349" i="22" s="1"/>
  <c r="H348" i="22" s="1"/>
  <c r="H347" i="22" s="1"/>
  <c r="F702" i="21"/>
  <c r="F701" i="21" s="1"/>
  <c r="F700" i="21" s="1"/>
  <c r="F699" i="21" s="1"/>
  <c r="H485" i="23"/>
  <c r="H484" i="23" s="1"/>
  <c r="H364" i="22"/>
  <c r="G378" i="22"/>
  <c r="G268" i="23"/>
  <c r="G269" i="23" s="1"/>
  <c r="F517" i="21"/>
  <c r="F516" i="21" s="1"/>
  <c r="F515" i="21" s="1"/>
  <c r="F508" i="21" s="1"/>
  <c r="H662" i="22"/>
  <c r="H1090" i="22"/>
  <c r="F113" i="21"/>
  <c r="F112" i="21" s="1"/>
  <c r="F109" i="21" s="1"/>
  <c r="F108" i="21" s="1"/>
  <c r="G1089" i="22"/>
  <c r="G1086" i="22" s="1"/>
  <c r="G1085" i="22" s="1"/>
  <c r="G1084" i="22" s="1"/>
  <c r="G1083" i="22" s="1"/>
  <c r="H94" i="23"/>
  <c r="H93" i="23" s="1"/>
  <c r="H92" i="23" s="1"/>
  <c r="H91" i="23" s="1"/>
  <c r="H90" i="23" s="1"/>
  <c r="H137" i="23"/>
  <c r="H136" i="23" s="1"/>
  <c r="H135" i="23" s="1"/>
  <c r="H134" i="23" s="1"/>
  <c r="H630" i="23"/>
  <c r="H629" i="23" s="1"/>
  <c r="H628" i="23" s="1"/>
  <c r="H716" i="23"/>
  <c r="H715" i="23" s="1"/>
  <c r="H714" i="23" s="1"/>
  <c r="H713" i="23" s="1"/>
  <c r="H712" i="23" s="1"/>
  <c r="D43" i="19"/>
  <c r="D42" i="19" s="1"/>
  <c r="K42" i="19" s="1"/>
  <c r="G146" i="21"/>
  <c r="G145" i="21" s="1"/>
  <c r="F336" i="21"/>
  <c r="G336" i="21" s="1"/>
  <c r="F677" i="21"/>
  <c r="F875" i="21"/>
  <c r="F874" i="21" s="1"/>
  <c r="F873" i="21" s="1"/>
  <c r="F872" i="21" s="1"/>
  <c r="D45" i="20" s="1"/>
  <c r="G936" i="21"/>
  <c r="G935" i="21" s="1"/>
  <c r="G74" i="22"/>
  <c r="E140" i="19" s="1"/>
  <c r="G177" i="22"/>
  <c r="G176" i="22" s="1"/>
  <c r="G175" i="22" s="1"/>
  <c r="H702" i="23"/>
  <c r="H703" i="23" s="1"/>
  <c r="G255" i="21"/>
  <c r="G254" i="21" s="1"/>
  <c r="G253" i="21" s="1"/>
  <c r="G252" i="21" s="1"/>
  <c r="G251" i="21" s="1"/>
  <c r="G250" i="21" s="1"/>
  <c r="E23" i="20" s="1"/>
  <c r="H553" i="23"/>
  <c r="H554" i="23" s="1"/>
  <c r="G672" i="21"/>
  <c r="G671" i="21" s="1"/>
  <c r="G670" i="21" s="1"/>
  <c r="G351" i="22"/>
  <c r="G348" i="22" s="1"/>
  <c r="G347" i="22" s="1"/>
  <c r="H563" i="23"/>
  <c r="H564" i="23" s="1"/>
  <c r="G765" i="21"/>
  <c r="G764" i="21" s="1"/>
  <c r="G763" i="21" s="1"/>
  <c r="H739" i="22"/>
  <c r="G738" i="22"/>
  <c r="G737" i="22" s="1"/>
  <c r="G108" i="23"/>
  <c r="G106" i="23"/>
  <c r="G105" i="23" s="1"/>
  <c r="G157" i="23"/>
  <c r="G155" i="23"/>
  <c r="G154" i="23" s="1"/>
  <c r="G153" i="23" s="1"/>
  <c r="G185" i="23"/>
  <c r="G183" i="23"/>
  <c r="G182" i="23" s="1"/>
  <c r="H295" i="23"/>
  <c r="H294" i="23" s="1"/>
  <c r="H293" i="23" s="1"/>
  <c r="H292" i="23" s="1"/>
  <c r="H291" i="23" s="1"/>
  <c r="G833" i="23"/>
  <c r="G831" i="23"/>
  <c r="G830" i="23" s="1"/>
  <c r="G829" i="23" s="1"/>
  <c r="G828" i="23" s="1"/>
  <c r="C34" i="19"/>
  <c r="C31" i="19" s="1"/>
  <c r="C76" i="19"/>
  <c r="G180" i="21"/>
  <c r="G179" i="21" s="1"/>
  <c r="G177" i="21" s="1"/>
  <c r="F902" i="21"/>
  <c r="H134" i="22"/>
  <c r="H133" i="22" s="1"/>
  <c r="G162" i="21"/>
  <c r="G161" i="21" s="1"/>
  <c r="H139" i="22"/>
  <c r="H138" i="22" s="1"/>
  <c r="G167" i="21"/>
  <c r="G166" i="21" s="1"/>
  <c r="G165" i="21" s="1"/>
  <c r="H488" i="23"/>
  <c r="H489" i="23" s="1"/>
  <c r="G751" i="21"/>
  <c r="G750" i="21" s="1"/>
  <c r="G526" i="22"/>
  <c r="G525" i="22" s="1"/>
  <c r="G524" i="22" s="1"/>
  <c r="G523" i="22" s="1"/>
  <c r="G522" i="22" s="1"/>
  <c r="G521" i="22" s="1"/>
  <c r="F325" i="21"/>
  <c r="F324" i="21" s="1"/>
  <c r="F323" i="21" s="1"/>
  <c r="H807" i="22"/>
  <c r="H806" i="22" s="1"/>
  <c r="H805" i="22" s="1"/>
  <c r="H804" i="22" s="1"/>
  <c r="G928" i="21"/>
  <c r="G927" i="21" s="1"/>
  <c r="G926" i="21" s="1"/>
  <c r="H131" i="23"/>
  <c r="H130" i="23" s="1"/>
  <c r="H129" i="23" s="1"/>
  <c r="H128" i="23" s="1"/>
  <c r="H133" i="23"/>
  <c r="G189" i="23"/>
  <c r="G187" i="23"/>
  <c r="G186" i="23" s="1"/>
  <c r="G311" i="23"/>
  <c r="G309" i="23"/>
  <c r="G308" i="23" s="1"/>
  <c r="G307" i="23" s="1"/>
  <c r="G306" i="23" s="1"/>
  <c r="G305" i="23" s="1"/>
  <c r="G655" i="23"/>
  <c r="G653" i="23"/>
  <c r="G268" i="21"/>
  <c r="G267" i="21" s="1"/>
  <c r="G266" i="21" s="1"/>
  <c r="G265" i="21" s="1"/>
  <c r="G264" i="21" s="1"/>
  <c r="G263" i="21" s="1"/>
  <c r="E24" i="20" s="1"/>
  <c r="F328" i="21"/>
  <c r="F327" i="21" s="1"/>
  <c r="F326" i="21" s="1"/>
  <c r="F745" i="21"/>
  <c r="F744" i="21" s="1"/>
  <c r="G749" i="21"/>
  <c r="G748" i="21" s="1"/>
  <c r="G810" i="21"/>
  <c r="G809" i="21" s="1"/>
  <c r="G938" i="21"/>
  <c r="G937" i="21" s="1"/>
  <c r="H240" i="22"/>
  <c r="H237" i="22" s="1"/>
  <c r="G879" i="21"/>
  <c r="G878" i="21" s="1"/>
  <c r="G875" i="21" s="1"/>
  <c r="G874" i="21" s="1"/>
  <c r="G873" i="21" s="1"/>
  <c r="H549" i="23"/>
  <c r="H548" i="23" s="1"/>
  <c r="H547" i="23" s="1"/>
  <c r="G669" i="21"/>
  <c r="G668" i="21" s="1"/>
  <c r="G667" i="21" s="1"/>
  <c r="H66" i="23"/>
  <c r="H67" i="23" s="1"/>
  <c r="H451" i="22"/>
  <c r="H450" i="22" s="1"/>
  <c r="H449" i="22" s="1"/>
  <c r="H448" i="22" s="1"/>
  <c r="G1044" i="22"/>
  <c r="G1043" i="22" s="1"/>
  <c r="G1042" i="22" s="1"/>
  <c r="G1041" i="22" s="1"/>
  <c r="G1040" i="22" s="1"/>
  <c r="G1039" i="22" s="1"/>
  <c r="G1038" i="22" s="1"/>
  <c r="H1045" i="22"/>
  <c r="G283" i="23"/>
  <c r="G281" i="23"/>
  <c r="G280" i="23" s="1"/>
  <c r="G279" i="23" s="1"/>
  <c r="F595" i="21"/>
  <c r="G729" i="21"/>
  <c r="G728" i="21" s="1"/>
  <c r="G727" i="21" s="1"/>
  <c r="G726" i="21" s="1"/>
  <c r="F940" i="21"/>
  <c r="F939" i="21" s="1"/>
  <c r="F934" i="21" s="1"/>
  <c r="F933" i="21" s="1"/>
  <c r="F932" i="21" s="1"/>
  <c r="H74" i="22"/>
  <c r="F140" i="19" s="1"/>
  <c r="G1051" i="22"/>
  <c r="G1050" i="22" s="1"/>
  <c r="G1049" i="22" s="1"/>
  <c r="H1060" i="22"/>
  <c r="H1059" i="22" s="1"/>
  <c r="H1075" i="22"/>
  <c r="G94" i="23"/>
  <c r="G93" i="23" s="1"/>
  <c r="G92" i="23" s="1"/>
  <c r="G91" i="23" s="1"/>
  <c r="G90" i="23" s="1"/>
  <c r="G137" i="23"/>
  <c r="G136" i="23" s="1"/>
  <c r="G135" i="23" s="1"/>
  <c r="G134" i="23" s="1"/>
  <c r="H614" i="23"/>
  <c r="H613" i="23" s="1"/>
  <c r="H612" i="23" s="1"/>
  <c r="H708" i="23"/>
  <c r="H707" i="23" s="1"/>
  <c r="H706" i="23" s="1"/>
  <c r="H705" i="23" s="1"/>
  <c r="H704" i="23" s="1"/>
  <c r="G716" i="23"/>
  <c r="G715" i="23" s="1"/>
  <c r="G714" i="23" s="1"/>
  <c r="G713" i="23" s="1"/>
  <c r="G712" i="23" s="1"/>
  <c r="H772" i="23"/>
  <c r="H68" i="22"/>
  <c r="H67" i="22" s="1"/>
  <c r="G62" i="21"/>
  <c r="G61" i="21" s="1"/>
  <c r="G60" i="21" s="1"/>
  <c r="H328" i="23"/>
  <c r="H327" i="23" s="1"/>
  <c r="H326" i="23" s="1"/>
  <c r="H325" i="23" s="1"/>
  <c r="H324" i="23" s="1"/>
  <c r="H323" i="23" s="1"/>
  <c r="H329" i="23" s="1"/>
  <c r="G605" i="21"/>
  <c r="G604" i="21" s="1"/>
  <c r="G603" i="21" s="1"/>
  <c r="G602" i="21" s="1"/>
  <c r="H671" i="22"/>
  <c r="H670" i="22" s="1"/>
  <c r="H669" i="22" s="1"/>
  <c r="F97" i="19"/>
  <c r="H604" i="23"/>
  <c r="H602" i="23"/>
  <c r="H601" i="23" s="1"/>
  <c r="H600" i="23" s="1"/>
  <c r="H599" i="23" s="1"/>
  <c r="G682" i="21"/>
  <c r="G681" i="21" s="1"/>
  <c r="G891" i="21"/>
  <c r="G890" i="21" s="1"/>
  <c r="G889" i="21" s="1"/>
  <c r="G888" i="21" s="1"/>
  <c r="G702" i="23"/>
  <c r="G703" i="23" s="1"/>
  <c r="F255" i="21"/>
  <c r="F254" i="21" s="1"/>
  <c r="F253" i="21" s="1"/>
  <c r="F252" i="21" s="1"/>
  <c r="F251" i="21" s="1"/>
  <c r="F250" i="21" s="1"/>
  <c r="D23" i="20" s="1"/>
  <c r="G132" i="23"/>
  <c r="G133" i="23" s="1"/>
  <c r="F823" i="21"/>
  <c r="F822" i="21" s="1"/>
  <c r="F821" i="21" s="1"/>
  <c r="F820" i="21" s="1"/>
  <c r="F819" i="21" s="1"/>
  <c r="F818" i="21" s="1"/>
  <c r="G438" i="22"/>
  <c r="G437" i="22" s="1"/>
  <c r="G436" i="22" s="1"/>
  <c r="G435" i="22" s="1"/>
  <c r="G434" i="22" s="1"/>
  <c r="H733" i="22"/>
  <c r="G719" i="21"/>
  <c r="G718" i="21" s="1"/>
  <c r="H752" i="22"/>
  <c r="G737" i="21" s="1"/>
  <c r="G736" i="21" s="1"/>
  <c r="G731" i="21" s="1"/>
  <c r="G730" i="21" s="1"/>
  <c r="F737" i="21"/>
  <c r="F736" i="21" s="1"/>
  <c r="F76" i="21"/>
  <c r="F75" i="21" s="1"/>
  <c r="G196" i="23"/>
  <c r="G195" i="23" s="1"/>
  <c r="G194" i="23" s="1"/>
  <c r="E120" i="19"/>
  <c r="G273" i="23"/>
  <c r="G274" i="23" s="1"/>
  <c r="F583" i="21"/>
  <c r="F582" i="21" s="1"/>
  <c r="F581" i="21" s="1"/>
  <c r="F580" i="21" s="1"/>
  <c r="G675" i="23"/>
  <c r="G676" i="23" s="1"/>
  <c r="F424" i="21"/>
  <c r="F423" i="21" s="1"/>
  <c r="G983" i="22"/>
  <c r="G980" i="22" s="1"/>
  <c r="G964" i="22" s="1"/>
  <c r="G1009" i="22"/>
  <c r="G1006" i="22" s="1"/>
  <c r="G1005" i="22" s="1"/>
  <c r="G1004" i="22" s="1"/>
  <c r="F450" i="21"/>
  <c r="F449" i="21" s="1"/>
  <c r="H108" i="23"/>
  <c r="H106" i="23"/>
  <c r="H105" i="23" s="1"/>
  <c r="G201" i="23"/>
  <c r="G199" i="23"/>
  <c r="G198" i="23" s="1"/>
  <c r="G813" i="23"/>
  <c r="G811" i="23"/>
  <c r="G810" i="23" s="1"/>
  <c r="G809" i="23" s="1"/>
  <c r="G374" i="23"/>
  <c r="G373" i="23" s="1"/>
  <c r="F93" i="21"/>
  <c r="F92" i="21" s="1"/>
  <c r="G851" i="23"/>
  <c r="G852" i="23" s="1"/>
  <c r="G153" i="22"/>
  <c r="G152" i="22" s="1"/>
  <c r="G151" i="22" s="1"/>
  <c r="G146" i="22" s="1"/>
  <c r="F207" i="21"/>
  <c r="F206" i="21" s="1"/>
  <c r="F205" i="21" s="1"/>
  <c r="F204" i="21" s="1"/>
  <c r="G767" i="23"/>
  <c r="G766" i="23" s="1"/>
  <c r="F186" i="21"/>
  <c r="F185" i="21" s="1"/>
  <c r="F184" i="21" s="1"/>
  <c r="G333" i="22"/>
  <c r="G332" i="22"/>
  <c r="G16" i="23"/>
  <c r="G14" i="23"/>
  <c r="G13" i="23" s="1"/>
  <c r="G355" i="23"/>
  <c r="G353" i="23"/>
  <c r="G352" i="23" s="1"/>
  <c r="H1071" i="22"/>
  <c r="H1070" i="22" s="1"/>
  <c r="G34" i="21"/>
  <c r="G33" i="21" s="1"/>
  <c r="G424" i="23"/>
  <c r="G422" i="23"/>
  <c r="G421" i="23" s="1"/>
  <c r="C64" i="19"/>
  <c r="C63" i="19" s="1"/>
  <c r="F131" i="21"/>
  <c r="F130" i="21" s="1"/>
  <c r="F129" i="21" s="1"/>
  <c r="F128" i="21" s="1"/>
  <c r="D16" i="20" s="1"/>
  <c r="G800" i="21"/>
  <c r="G799" i="21" s="1"/>
  <c r="G798" i="21" s="1"/>
  <c r="G392" i="23"/>
  <c r="G391" i="23" s="1"/>
  <c r="G390" i="23" s="1"/>
  <c r="G389" i="23" s="1"/>
  <c r="G388" i="23" s="1"/>
  <c r="G387" i="23" s="1"/>
  <c r="F105" i="21"/>
  <c r="F104" i="21" s="1"/>
  <c r="F103" i="21" s="1"/>
  <c r="F102" i="21" s="1"/>
  <c r="G81" i="23"/>
  <c r="G80" i="23" s="1"/>
  <c r="G79" i="23" s="1"/>
  <c r="G78" i="23" s="1"/>
  <c r="G77" i="23" s="1"/>
  <c r="G76" i="23" s="1"/>
  <c r="F300" i="21"/>
  <c r="F299" i="21" s="1"/>
  <c r="F298" i="21" s="1"/>
  <c r="F297" i="21" s="1"/>
  <c r="H470" i="23"/>
  <c r="H469" i="23" s="1"/>
  <c r="G648" i="21"/>
  <c r="G647" i="21" s="1"/>
  <c r="G523" i="23"/>
  <c r="G522" i="23" s="1"/>
  <c r="G372" i="22"/>
  <c r="G369" i="22" s="1"/>
  <c r="G368" i="22" s="1"/>
  <c r="F757" i="21"/>
  <c r="F756" i="21" s="1"/>
  <c r="F753" i="21" s="1"/>
  <c r="F752" i="21" s="1"/>
  <c r="H122" i="23"/>
  <c r="H123" i="23" s="1"/>
  <c r="H460" i="22"/>
  <c r="H459" i="22" s="1"/>
  <c r="G851" i="21"/>
  <c r="G850" i="21" s="1"/>
  <c r="G849" i="21" s="1"/>
  <c r="H497" i="23"/>
  <c r="H498" i="23" s="1"/>
  <c r="G959" i="21"/>
  <c r="G958" i="21" s="1"/>
  <c r="H542" i="23"/>
  <c r="H541" i="23" s="1"/>
  <c r="H540" i="23" s="1"/>
  <c r="H539" i="23" s="1"/>
  <c r="H538" i="23" s="1"/>
  <c r="G964" i="21"/>
  <c r="G963" i="21" s="1"/>
  <c r="G962" i="21" s="1"/>
  <c r="H494" i="22"/>
  <c r="G50" i="21"/>
  <c r="G49" i="21" s="1"/>
  <c r="G228" i="23"/>
  <c r="G227" i="23" s="1"/>
  <c r="G226" i="23" s="1"/>
  <c r="G576" i="22"/>
  <c r="G575" i="22" s="1"/>
  <c r="G568" i="22" s="1"/>
  <c r="G289" i="23"/>
  <c r="G288" i="23" s="1"/>
  <c r="G287" i="23" s="1"/>
  <c r="G286" i="23" s="1"/>
  <c r="G285" i="23" s="1"/>
  <c r="G284" i="23" s="1"/>
  <c r="F521" i="21"/>
  <c r="F520" i="21" s="1"/>
  <c r="F519" i="21" s="1"/>
  <c r="F518" i="21" s="1"/>
  <c r="G445" i="23"/>
  <c r="G446" i="23" s="1"/>
  <c r="G791" i="22"/>
  <c r="G790" i="22" s="1"/>
  <c r="G789" i="22" s="1"/>
  <c r="G1124" i="22" s="1"/>
  <c r="H792" i="22"/>
  <c r="H791" i="22" s="1"/>
  <c r="H790" i="22" s="1"/>
  <c r="H789" i="22" s="1"/>
  <c r="H1124" i="22" s="1"/>
  <c r="E136" i="19"/>
  <c r="H837" i="22"/>
  <c r="H836" i="22" s="1"/>
  <c r="G141" i="21"/>
  <c r="G140" i="21" s="1"/>
  <c r="G139" i="21" s="1"/>
  <c r="H104" i="23"/>
  <c r="H102" i="23"/>
  <c r="H101" i="23" s="1"/>
  <c r="H100" i="23" s="1"/>
  <c r="H99" i="23" s="1"/>
  <c r="H98" i="23" s="1"/>
  <c r="H97" i="23" s="1"/>
  <c r="H768" i="23"/>
  <c r="H766" i="23"/>
  <c r="C43" i="19"/>
  <c r="C42" i="19" s="1"/>
  <c r="I42" i="19" s="1"/>
  <c r="D58" i="19"/>
  <c r="G125" i="22"/>
  <c r="G124" i="22" s="1"/>
  <c r="G123" i="22" s="1"/>
  <c r="G122" i="22" s="1"/>
  <c r="G133" i="22"/>
  <c r="G132" i="22" s="1"/>
  <c r="G131" i="22" s="1"/>
  <c r="G208" i="22"/>
  <c r="H473" i="23"/>
  <c r="H472" i="23" s="1"/>
  <c r="G650" i="21"/>
  <c r="G649" i="21" s="1"/>
  <c r="G557" i="23"/>
  <c r="G556" i="23" s="1"/>
  <c r="G555" i="23" s="1"/>
  <c r="H326" i="22"/>
  <c r="F675" i="21"/>
  <c r="F674" i="21" s="1"/>
  <c r="F673" i="21" s="1"/>
  <c r="F666" i="21" s="1"/>
  <c r="G37" i="23"/>
  <c r="G38" i="23" s="1"/>
  <c r="F695" i="21"/>
  <c r="F694" i="21" s="1"/>
  <c r="F693" i="21" s="1"/>
  <c r="F692" i="21" s="1"/>
  <c r="H343" i="22"/>
  <c r="H342" i="22" s="1"/>
  <c r="H341" i="22" s="1"/>
  <c r="H340" i="22" s="1"/>
  <c r="G427" i="22"/>
  <c r="G424" i="22" s="1"/>
  <c r="G423" i="22" s="1"/>
  <c r="G422" i="22" s="1"/>
  <c r="F812" i="21"/>
  <c r="F811" i="21" s="1"/>
  <c r="G66" i="23"/>
  <c r="G65" i="23" s="1"/>
  <c r="G64" i="23" s="1"/>
  <c r="G63" i="23" s="1"/>
  <c r="G62" i="23" s="1"/>
  <c r="G61" i="23" s="1"/>
  <c r="G60" i="23" s="1"/>
  <c r="F842" i="21"/>
  <c r="F841" i="21" s="1"/>
  <c r="F840" i="21" s="1"/>
  <c r="F839" i="21" s="1"/>
  <c r="F838" i="21" s="1"/>
  <c r="G171" i="23"/>
  <c r="G172" i="23" s="1"/>
  <c r="F494" i="21"/>
  <c r="F493" i="21" s="1"/>
  <c r="F492" i="21" s="1"/>
  <c r="F485" i="21" s="1"/>
  <c r="G563" i="22"/>
  <c r="G562" i="22" s="1"/>
  <c r="G555" i="22" s="1"/>
  <c r="H438" i="23"/>
  <c r="H439" i="23" s="1"/>
  <c r="G908" i="21"/>
  <c r="G907" i="21" s="1"/>
  <c r="G906" i="21" s="1"/>
  <c r="G902" i="21" s="1"/>
  <c r="H852" i="22"/>
  <c r="H851" i="22" s="1"/>
  <c r="H850" i="22" s="1"/>
  <c r="H849" i="22" s="1"/>
  <c r="H848" i="22" s="1"/>
  <c r="H847" i="22" s="1"/>
  <c r="H846" i="22" s="1"/>
  <c r="G851" i="22"/>
  <c r="G850" i="22" s="1"/>
  <c r="G849" i="22" s="1"/>
  <c r="G848" i="22" s="1"/>
  <c r="G847" i="22" s="1"/>
  <c r="G846" i="22" s="1"/>
  <c r="G672" i="23"/>
  <c r="G673" i="23" s="1"/>
  <c r="F422" i="21"/>
  <c r="F421" i="21" s="1"/>
  <c r="H52" i="23"/>
  <c r="H50" i="23"/>
  <c r="G543" i="23"/>
  <c r="G541" i="23"/>
  <c r="G540" i="23" s="1"/>
  <c r="G539" i="23" s="1"/>
  <c r="G538" i="23" s="1"/>
  <c r="G665" i="23"/>
  <c r="G663" i="23"/>
  <c r="G662" i="23" s="1"/>
  <c r="C58" i="19"/>
  <c r="F118" i="21"/>
  <c r="F117" i="21" s="1"/>
  <c r="G525" i="21"/>
  <c r="G36" i="22"/>
  <c r="G55" i="22"/>
  <c r="G54" i="22" s="1"/>
  <c r="H187" i="22"/>
  <c r="G186" i="22"/>
  <c r="G183" i="22" s="1"/>
  <c r="G182" i="22" s="1"/>
  <c r="G58" i="23"/>
  <c r="G57" i="23" s="1"/>
  <c r="G56" i="23" s="1"/>
  <c r="F708" i="21"/>
  <c r="F707" i="21" s="1"/>
  <c r="F706" i="21" s="1"/>
  <c r="F705" i="21" s="1"/>
  <c r="G581" i="23"/>
  <c r="G580" i="23" s="1"/>
  <c r="G579" i="23" s="1"/>
  <c r="G578" i="23" s="1"/>
  <c r="G577" i="23" s="1"/>
  <c r="G576" i="23" s="1"/>
  <c r="H392" i="22"/>
  <c r="G391" i="22"/>
  <c r="G390" i="22" s="1"/>
  <c r="G389" i="22" s="1"/>
  <c r="F776" i="21"/>
  <c r="F775" i="21" s="1"/>
  <c r="F774" i="21" s="1"/>
  <c r="F773" i="21" s="1"/>
  <c r="H433" i="22"/>
  <c r="F817" i="21"/>
  <c r="F816" i="21" s="1"/>
  <c r="F815" i="21" s="1"/>
  <c r="H497" i="22"/>
  <c r="G496" i="22"/>
  <c r="G805" i="22"/>
  <c r="G804" i="22" s="1"/>
  <c r="H822" i="22"/>
  <c r="H821" i="22" s="1"/>
  <c r="G943" i="21"/>
  <c r="G942" i="21" s="1"/>
  <c r="G941" i="21" s="1"/>
  <c r="G1025" i="22"/>
  <c r="G1024" i="22" s="1"/>
  <c r="G349" i="23"/>
  <c r="G348" i="23" s="1"/>
  <c r="G347" i="23" s="1"/>
  <c r="G346" i="23" s="1"/>
  <c r="G344" i="23" s="1"/>
  <c r="G351" i="23"/>
  <c r="G651" i="23"/>
  <c r="G649" i="23"/>
  <c r="G648" i="23" s="1"/>
  <c r="G595" i="21"/>
  <c r="F797" i="21"/>
  <c r="F796" i="21" s="1"/>
  <c r="H36" i="22"/>
  <c r="G160" i="22"/>
  <c r="G1149" i="22" s="1"/>
  <c r="G361" i="22"/>
  <c r="G360" i="22" s="1"/>
  <c r="G413" i="22"/>
  <c r="G412" i="22" s="1"/>
  <c r="G102" i="23"/>
  <c r="G101" i="23" s="1"/>
  <c r="G100" i="23" s="1"/>
  <c r="G99" i="23" s="1"/>
  <c r="G98" i="23" s="1"/>
  <c r="G97" i="23" s="1"/>
  <c r="F955" i="21"/>
  <c r="F954" i="21" s="1"/>
  <c r="F953" i="21" s="1"/>
  <c r="F952" i="21" s="1"/>
  <c r="H15" i="22"/>
  <c r="H14" i="22" s="1"/>
  <c r="H13" i="22" s="1"/>
  <c r="H12" i="22" s="1"/>
  <c r="H11" i="22" s="1"/>
  <c r="H10" i="22" s="1"/>
  <c r="G84" i="22"/>
  <c r="E129" i="19" s="1"/>
  <c r="H115" i="22"/>
  <c r="H114" i="22" s="1"/>
  <c r="H113" i="22" s="1"/>
  <c r="H332" i="22"/>
  <c r="G662" i="22"/>
  <c r="H722" i="22"/>
  <c r="H721" i="22" s="1"/>
  <c r="H720" i="22" s="1"/>
  <c r="G722" i="22"/>
  <c r="G721" i="22" s="1"/>
  <c r="G720" i="22" s="1"/>
  <c r="H187" i="23"/>
  <c r="H186" i="23" s="1"/>
  <c r="H281" i="23"/>
  <c r="H280" i="23" s="1"/>
  <c r="H279" i="23" s="1"/>
  <c r="G295" i="23"/>
  <c r="G294" i="23" s="1"/>
  <c r="G293" i="23" s="1"/>
  <c r="G292" i="23" s="1"/>
  <c r="G291" i="23" s="1"/>
  <c r="H309" i="23"/>
  <c r="H308" i="23" s="1"/>
  <c r="H307" i="23" s="1"/>
  <c r="H306" i="23" s="1"/>
  <c r="H305" i="23" s="1"/>
  <c r="H353" i="23"/>
  <c r="H352" i="23" s="1"/>
  <c r="H608" i="23"/>
  <c r="H607" i="23" s="1"/>
  <c r="H606" i="23" s="1"/>
  <c r="H605" i="23" s="1"/>
  <c r="H825" i="23"/>
  <c r="H824" i="23" s="1"/>
  <c r="H819" i="23" s="1"/>
  <c r="H831" i="23"/>
  <c r="H830" i="23" s="1"/>
  <c r="H829" i="23" s="1"/>
  <c r="H828" i="23" s="1"/>
  <c r="H837" i="23"/>
  <c r="H836" i="23" s="1"/>
  <c r="H835" i="23" s="1"/>
  <c r="H834" i="23" s="1"/>
  <c r="D34" i="19"/>
  <c r="K34" i="19" s="1"/>
  <c r="D133" i="19"/>
  <c r="D117" i="19" s="1"/>
  <c r="D116" i="19" s="1"/>
  <c r="D115" i="19" s="1"/>
  <c r="H498" i="22"/>
  <c r="G56" i="21"/>
  <c r="G55" i="21" s="1"/>
  <c r="F439" i="21"/>
  <c r="F438" i="21"/>
  <c r="G236" i="21"/>
  <c r="G235" i="21" s="1"/>
  <c r="G234" i="21" s="1"/>
  <c r="H177" i="22"/>
  <c r="H176" i="22" s="1"/>
  <c r="G22" i="21"/>
  <c r="G21" i="21" s="1"/>
  <c r="F32" i="21"/>
  <c r="F149" i="21"/>
  <c r="H81" i="22"/>
  <c r="H83" i="22"/>
  <c r="H181" i="22"/>
  <c r="H216" i="22"/>
  <c r="H215" i="22" s="1"/>
  <c r="H214" i="22" s="1"/>
  <c r="H213" i="22" s="1"/>
  <c r="H1134" i="22" s="1"/>
  <c r="G302" i="22"/>
  <c r="H303" i="22"/>
  <c r="H302" i="22" s="1"/>
  <c r="H373" i="22"/>
  <c r="H376" i="22"/>
  <c r="H375" i="22" s="1"/>
  <c r="H374" i="22" s="1"/>
  <c r="H383" i="22"/>
  <c r="H382" i="22" s="1"/>
  <c r="G458" i="22"/>
  <c r="G453" i="22" s="1"/>
  <c r="H477" i="22"/>
  <c r="G498" i="22"/>
  <c r="G509" i="22"/>
  <c r="G508" i="22" s="1"/>
  <c r="H564" i="22"/>
  <c r="H577" i="22"/>
  <c r="F37" i="21"/>
  <c r="F160" i="21"/>
  <c r="F159" i="21" s="1"/>
  <c r="F333" i="21"/>
  <c r="G333" i="21" s="1"/>
  <c r="F626" i="21"/>
  <c r="F621" i="21" s="1"/>
  <c r="G15" i="22"/>
  <c r="G14" i="22" s="1"/>
  <c r="G13" i="22" s="1"/>
  <c r="G12" i="22" s="1"/>
  <c r="G11" i="22" s="1"/>
  <c r="G10" i="22" s="1"/>
  <c r="G47" i="22"/>
  <c r="G46" i="22" s="1"/>
  <c r="G45" i="22" s="1"/>
  <c r="G44" i="22" s="1"/>
  <c r="H92" i="22"/>
  <c r="H91" i="22" s="1"/>
  <c r="H90" i="22" s="1"/>
  <c r="H154" i="22"/>
  <c r="G196" i="22"/>
  <c r="G195" i="22" s="1"/>
  <c r="G194" i="22" s="1"/>
  <c r="G193" i="22" s="1"/>
  <c r="G1142" i="22" s="1"/>
  <c r="G317" i="22"/>
  <c r="H346" i="22"/>
  <c r="H41" i="23" s="1"/>
  <c r="H40" i="23" s="1"/>
  <c r="H39" i="23" s="1"/>
  <c r="H428" i="22"/>
  <c r="H430" i="22"/>
  <c r="G472" i="22"/>
  <c r="G471" i="22" s="1"/>
  <c r="G470" i="22" s="1"/>
  <c r="G260" i="23"/>
  <c r="G259" i="23" s="1"/>
  <c r="G258" i="23" s="1"/>
  <c r="H581" i="22"/>
  <c r="H260" i="23" s="1"/>
  <c r="H259" i="23" s="1"/>
  <c r="H258" i="23" s="1"/>
  <c r="G716" i="22"/>
  <c r="G715" i="22"/>
  <c r="G1140" i="22"/>
  <c r="H630" i="22"/>
  <c r="G563" i="21" s="1"/>
  <c r="G562" i="21" s="1"/>
  <c r="G561" i="21" s="1"/>
  <c r="G732" i="22"/>
  <c r="H820" i="22"/>
  <c r="H845" i="22"/>
  <c r="G877" i="22"/>
  <c r="G876" i="22" s="1"/>
  <c r="G875" i="22" s="1"/>
  <c r="G1060" i="22"/>
  <c r="G1059" i="22" s="1"/>
  <c r="G493" i="23"/>
  <c r="G499" i="23"/>
  <c r="G529" i="23"/>
  <c r="G528" i="23" s="1"/>
  <c r="G527" i="23" s="1"/>
  <c r="G526" i="23" s="1"/>
  <c r="G535" i="23"/>
  <c r="G534" i="23" s="1"/>
  <c r="G533" i="23" s="1"/>
  <c r="G532" i="23" s="1"/>
  <c r="G573" i="23"/>
  <c r="G572" i="23" s="1"/>
  <c r="G621" i="23"/>
  <c r="F614" i="21" s="1"/>
  <c r="F613" i="21" s="1"/>
  <c r="F612" i="21" s="1"/>
  <c r="F611" i="21" s="1"/>
  <c r="F610" i="21" s="1"/>
  <c r="G868" i="23"/>
  <c r="H736" i="22"/>
  <c r="H769" i="22"/>
  <c r="H768" i="22" s="1"/>
  <c r="H767" i="22" s="1"/>
  <c r="H984" i="22"/>
  <c r="H1010" i="22"/>
  <c r="G114" i="23"/>
  <c r="G113" i="23" s="1"/>
  <c r="G112" i="23" s="1"/>
  <c r="G111" i="23" s="1"/>
  <c r="G110" i="23" s="1"/>
  <c r="G124" i="23"/>
  <c r="G145" i="23"/>
  <c r="G144" i="23" s="1"/>
  <c r="G143" i="23" s="1"/>
  <c r="G263" i="23"/>
  <c r="G262" i="23" s="1"/>
  <c r="G361" i="23"/>
  <c r="G360" i="23" s="1"/>
  <c r="G359" i="23" s="1"/>
  <c r="G357" i="23" s="1"/>
  <c r="G469" i="23"/>
  <c r="G481" i="23"/>
  <c r="G487" i="23"/>
  <c r="G637" i="23"/>
  <c r="H678" i="23"/>
  <c r="H677" i="23" s="1"/>
  <c r="F364" i="21"/>
  <c r="H571" i="22"/>
  <c r="H220" i="23" s="1"/>
  <c r="H219" i="23" s="1"/>
  <c r="H218" i="23" s="1"/>
  <c r="H933" i="22"/>
  <c r="H932" i="22" s="1"/>
  <c r="G302" i="21"/>
  <c r="G301" i="21" s="1"/>
  <c r="F576" i="21"/>
  <c r="F575" i="21" s="1"/>
  <c r="F574" i="21" s="1"/>
  <c r="H643" i="22"/>
  <c r="H242" i="23" s="1"/>
  <c r="H243" i="23" s="1"/>
  <c r="H169" i="22"/>
  <c r="H168" i="22" s="1"/>
  <c r="H167" i="22" s="1"/>
  <c r="H166" i="22" s="1"/>
  <c r="H165" i="22" s="1"/>
  <c r="H1105" i="22" s="1"/>
  <c r="H939" i="22"/>
  <c r="H745" i="23" s="1"/>
  <c r="H746" i="23" s="1"/>
  <c r="G991" i="22"/>
  <c r="H902" i="22"/>
  <c r="H509" i="22"/>
  <c r="H508" i="22" s="1"/>
  <c r="H507" i="22" s="1"/>
  <c r="H927" i="22"/>
  <c r="H724" i="23" s="1"/>
  <c r="H725" i="23" s="1"/>
  <c r="H943" i="22"/>
  <c r="H752" i="23" s="1"/>
  <c r="H753" i="23" s="1"/>
  <c r="C117" i="19"/>
  <c r="C116" i="19" s="1"/>
  <c r="C115" i="19" s="1"/>
  <c r="F457" i="21"/>
  <c r="G252" i="22"/>
  <c r="G251" i="22" s="1"/>
  <c r="G1144" i="22" s="1"/>
  <c r="H574" i="22"/>
  <c r="H873" i="22"/>
  <c r="H28" i="23" s="1"/>
  <c r="H29" i="23" s="1"/>
  <c r="H896" i="22"/>
  <c r="G902" i="22"/>
  <c r="H925" i="22"/>
  <c r="H924" i="22" s="1"/>
  <c r="H931" i="22"/>
  <c r="H731" i="23" s="1"/>
  <c r="H732" i="23" s="1"/>
  <c r="H941" i="22"/>
  <c r="H940" i="22" s="1"/>
  <c r="H947" i="22"/>
  <c r="H759" i="23" s="1"/>
  <c r="H760" i="23" s="1"/>
  <c r="G1017" i="22"/>
  <c r="F195" i="21"/>
  <c r="F194" i="21" s="1"/>
  <c r="F193" i="21" s="1"/>
  <c r="G342" i="21"/>
  <c r="H261" i="22"/>
  <c r="G634" i="22"/>
  <c r="H937" i="22"/>
  <c r="H936" i="22" s="1"/>
  <c r="C145" i="19"/>
  <c r="C144" i="19" s="1"/>
  <c r="F368" i="21"/>
  <c r="F372" i="21"/>
  <c r="F376" i="21"/>
  <c r="F380" i="21"/>
  <c r="F384" i="21"/>
  <c r="F504" i="21"/>
  <c r="F503" i="21" s="1"/>
  <c r="F502" i="21" s="1"/>
  <c r="G647" i="22"/>
  <c r="G782" i="22"/>
  <c r="G919" i="22"/>
  <c r="G1143" i="22" s="1"/>
  <c r="H929" i="22"/>
  <c r="H928" i="22" s="1"/>
  <c r="H935" i="22"/>
  <c r="H738" i="23" s="1"/>
  <c r="H739" i="23" s="1"/>
  <c r="H945" i="22"/>
  <c r="H944" i="22" s="1"/>
  <c r="H972" i="22"/>
  <c r="H657" i="23" s="1"/>
  <c r="H658" i="23" s="1"/>
  <c r="H994" i="22"/>
  <c r="H690" i="23" s="1"/>
  <c r="H689" i="23" s="1"/>
  <c r="H688" i="23" s="1"/>
  <c r="D81" i="19"/>
  <c r="C81" i="19"/>
  <c r="D145" i="19"/>
  <c r="D144" i="19" s="1"/>
  <c r="G209" i="21"/>
  <c r="G208" i="21"/>
  <c r="F13" i="21"/>
  <c r="G131" i="21"/>
  <c r="G130" i="21" s="1"/>
  <c r="G129" i="21" s="1"/>
  <c r="G128" i="21" s="1"/>
  <c r="E16" i="20" s="1"/>
  <c r="F209" i="21"/>
  <c r="F208" i="21"/>
  <c r="F241" i="21"/>
  <c r="D24" i="20"/>
  <c r="G359" i="21"/>
  <c r="F178" i="21"/>
  <c r="F226" i="21"/>
  <c r="F225" i="21" s="1"/>
  <c r="F224" i="21" s="1"/>
  <c r="F223" i="21" s="1"/>
  <c r="F342" i="21"/>
  <c r="F848" i="21"/>
  <c r="F843" i="21" s="1"/>
  <c r="G434" i="21"/>
  <c r="F433" i="21"/>
  <c r="F682" i="21"/>
  <c r="F681" i="21" s="1"/>
  <c r="F844" i="21"/>
  <c r="F548" i="21"/>
  <c r="F636" i="21"/>
  <c r="F825" i="21"/>
  <c r="G79" i="22"/>
  <c r="E122" i="19" s="1"/>
  <c r="H484" i="22"/>
  <c r="H483" i="22"/>
  <c r="G516" i="22"/>
  <c r="G1147" i="22" s="1"/>
  <c r="H592" i="22"/>
  <c r="H1140" i="22"/>
  <c r="G41" i="22"/>
  <c r="H41" i="22" s="1"/>
  <c r="H42" i="22"/>
  <c r="H55" i="22"/>
  <c r="G605" i="22"/>
  <c r="G604" i="22"/>
  <c r="G454" i="22"/>
  <c r="H605" i="22"/>
  <c r="H604" i="22"/>
  <c r="H370" i="23"/>
  <c r="H369" i="23" s="1"/>
  <c r="H368" i="23" s="1"/>
  <c r="H367" i="23" s="1"/>
  <c r="H366" i="23" s="1"/>
  <c r="H47" i="22"/>
  <c r="H46" i="22" s="1"/>
  <c r="H45" i="22" s="1"/>
  <c r="H44" i="22" s="1"/>
  <c r="G484" i="22"/>
  <c r="G483" i="22"/>
  <c r="H43" i="22"/>
  <c r="G20" i="21" s="1"/>
  <c r="G19" i="21" s="1"/>
  <c r="H361" i="23"/>
  <c r="H360" i="23" s="1"/>
  <c r="H359" i="23" s="1"/>
  <c r="H363" i="23"/>
  <c r="H97" i="22"/>
  <c r="H99" i="22"/>
  <c r="H109" i="22"/>
  <c r="H190" i="22"/>
  <c r="H196" i="22"/>
  <c r="H195" i="22" s="1"/>
  <c r="H194" i="22" s="1"/>
  <c r="H193" i="22" s="1"/>
  <c r="H210" i="22"/>
  <c r="H351" i="23"/>
  <c r="H349" i="23"/>
  <c r="H348" i="23" s="1"/>
  <c r="H347" i="23" s="1"/>
  <c r="H346" i="23" s="1"/>
  <c r="G405" i="23"/>
  <c r="G403" i="23"/>
  <c r="G402" i="23" s="1"/>
  <c r="G401" i="23" s="1"/>
  <c r="G400" i="23" s="1"/>
  <c r="G790" i="23"/>
  <c r="G788" i="23"/>
  <c r="G787" i="23" s="1"/>
  <c r="H272" i="22"/>
  <c r="H278" i="22"/>
  <c r="H277" i="22" s="1"/>
  <c r="H280" i="22"/>
  <c r="H74" i="23" s="1"/>
  <c r="H284" i="22"/>
  <c r="H286" i="22"/>
  <c r="H285" i="22" s="1"/>
  <c r="H288" i="22"/>
  <c r="H88" i="23" s="1"/>
  <c r="H310" i="22"/>
  <c r="H312" i="22"/>
  <c r="H514" i="23" s="1"/>
  <c r="G342" i="22"/>
  <c r="G341" i="22" s="1"/>
  <c r="G340" i="22" s="1"/>
  <c r="G42" i="23"/>
  <c r="G40" i="23"/>
  <c r="G39" i="23" s="1"/>
  <c r="G52" i="23"/>
  <c r="G50" i="23"/>
  <c r="H356" i="22"/>
  <c r="H362" i="22"/>
  <c r="H537" i="23"/>
  <c r="H535" i="23"/>
  <c r="H534" i="23" s="1"/>
  <c r="H533" i="23" s="1"/>
  <c r="H532" i="23" s="1"/>
  <c r="H566" i="23"/>
  <c r="H565" i="23" s="1"/>
  <c r="H568" i="23"/>
  <c r="H456" i="22"/>
  <c r="H455" i="22" s="1"/>
  <c r="H475" i="22"/>
  <c r="H501" i="23"/>
  <c r="H499" i="23"/>
  <c r="H527" i="22"/>
  <c r="G219" i="23"/>
  <c r="G218" i="23" s="1"/>
  <c r="G221" i="23"/>
  <c r="H587" i="22"/>
  <c r="H591" i="22"/>
  <c r="H620" i="22"/>
  <c r="H619" i="22" s="1"/>
  <c r="H637" i="22"/>
  <c r="G238" i="23"/>
  <c r="H640" i="22"/>
  <c r="G243" i="23"/>
  <c r="G241" i="23"/>
  <c r="G240" i="23" s="1"/>
  <c r="H342" i="23"/>
  <c r="H679" i="22"/>
  <c r="H678" i="22" s="1"/>
  <c r="H677" i="22" s="1"/>
  <c r="H716" i="22"/>
  <c r="H772" i="22"/>
  <c r="G96" i="22"/>
  <c r="G98" i="22"/>
  <c r="G108" i="22"/>
  <c r="G107" i="22" s="1"/>
  <c r="G106" i="22" s="1"/>
  <c r="G397" i="23"/>
  <c r="G395" i="23"/>
  <c r="G394" i="23" s="1"/>
  <c r="H266" i="22"/>
  <c r="H265" i="22" s="1"/>
  <c r="H252" i="22" s="1"/>
  <c r="H251" i="22" s="1"/>
  <c r="G271" i="22"/>
  <c r="G270" i="22" s="1"/>
  <c r="G283" i="22"/>
  <c r="G282" i="22" s="1"/>
  <c r="G281" i="22" s="1"/>
  <c r="G276" i="22" s="1"/>
  <c r="G275" i="22" s="1"/>
  <c r="H300" i="22"/>
  <c r="G508" i="23"/>
  <c r="G506" i="23"/>
  <c r="G505" i="23" s="1"/>
  <c r="G309" i="22"/>
  <c r="G308" i="22" s="1"/>
  <c r="H319" i="22"/>
  <c r="H318" i="22" s="1"/>
  <c r="G355" i="22"/>
  <c r="G354" i="22" s="1"/>
  <c r="G353" i="22" s="1"/>
  <c r="H483" i="23"/>
  <c r="H481" i="23"/>
  <c r="G451" i="22"/>
  <c r="G450" i="22" s="1"/>
  <c r="G449" i="22" s="1"/>
  <c r="G448" i="22" s="1"/>
  <c r="H114" i="23"/>
  <c r="H113" i="23" s="1"/>
  <c r="H112" i="23" s="1"/>
  <c r="H111" i="23" s="1"/>
  <c r="H110" i="23" s="1"/>
  <c r="H116" i="23"/>
  <c r="H473" i="22"/>
  <c r="H557" i="22"/>
  <c r="H556" i="22" s="1"/>
  <c r="H583" i="22"/>
  <c r="H582" i="22" s="1"/>
  <c r="G586" i="22"/>
  <c r="G585" i="22" s="1"/>
  <c r="G578" i="22" s="1"/>
  <c r="G590" i="22"/>
  <c r="G589" i="22" s="1"/>
  <c r="G588" i="22" s="1"/>
  <c r="G597" i="22"/>
  <c r="G596" i="22" s="1"/>
  <c r="G592" i="22" s="1"/>
  <c r="H613" i="22"/>
  <c r="H612" i="22" s="1"/>
  <c r="H611" i="22" s="1"/>
  <c r="H183" i="23"/>
  <c r="H182" i="23" s="1"/>
  <c r="H185" i="23"/>
  <c r="G629" i="22"/>
  <c r="G628" i="22" s="1"/>
  <c r="G615" i="22" s="1"/>
  <c r="G246" i="23"/>
  <c r="H646" i="22"/>
  <c r="G213" i="23"/>
  <c r="G705" i="22"/>
  <c r="G704" i="22" s="1"/>
  <c r="G697" i="22" s="1"/>
  <c r="G692" i="22" s="1"/>
  <c r="H706" i="22"/>
  <c r="G814" i="22"/>
  <c r="G813" i="22" s="1"/>
  <c r="G812" i="22" s="1"/>
  <c r="G839" i="22"/>
  <c r="G835" i="22" s="1"/>
  <c r="G834" i="22" s="1"/>
  <c r="G833" i="22" s="1"/>
  <c r="G832" i="22" s="1"/>
  <c r="G29" i="23"/>
  <c r="G27" i="23"/>
  <c r="G892" i="22"/>
  <c r="H895" i="22"/>
  <c r="H112" i="22"/>
  <c r="H396" i="23" s="1"/>
  <c r="H794" i="23"/>
  <c r="H792" i="23"/>
  <c r="H791" i="23" s="1"/>
  <c r="H298" i="22"/>
  <c r="H315" i="22"/>
  <c r="H314" i="22" s="1"/>
  <c r="H313" i="22" s="1"/>
  <c r="H322" i="22"/>
  <c r="H321" i="22" s="1"/>
  <c r="H366" i="22"/>
  <c r="H380" i="22"/>
  <c r="H379" i="22" s="1"/>
  <c r="H462" i="22"/>
  <c r="H495" i="23"/>
  <c r="H493" i="23"/>
  <c r="H481" i="22"/>
  <c r="H480" i="22" s="1"/>
  <c r="H479" i="22" s="1"/>
  <c r="H553" i="22"/>
  <c r="H552" i="22" s="1"/>
  <c r="H551" i="22" s="1"/>
  <c r="H164" i="23"/>
  <c r="H162" i="23"/>
  <c r="H161" i="23" s="1"/>
  <c r="H560" i="22"/>
  <c r="H559" i="22" s="1"/>
  <c r="G223" i="23"/>
  <c r="G222" i="23" s="1"/>
  <c r="G225" i="23"/>
  <c r="H263" i="23"/>
  <c r="H262" i="23" s="1"/>
  <c r="H265" i="23"/>
  <c r="H152" i="23"/>
  <c r="H150" i="23"/>
  <c r="H149" i="23" s="1"/>
  <c r="H148" i="23" s="1"/>
  <c r="G328" i="23"/>
  <c r="G327" i="23" s="1"/>
  <c r="G326" i="23" s="1"/>
  <c r="G325" i="23" s="1"/>
  <c r="G324" i="23" s="1"/>
  <c r="G323" i="23" s="1"/>
  <c r="G329" i="23" s="1"/>
  <c r="G671" i="22"/>
  <c r="G670" i="22" s="1"/>
  <c r="G669" i="22" s="1"/>
  <c r="H156" i="23"/>
  <c r="H695" i="22"/>
  <c r="H694" i="22" s="1"/>
  <c r="H693" i="22" s="1"/>
  <c r="H209" i="23"/>
  <c r="H702" i="22"/>
  <c r="H701" i="22" s="1"/>
  <c r="H747" i="22"/>
  <c r="G378" i="23"/>
  <c r="G376" i="23"/>
  <c r="G806" i="23"/>
  <c r="G804" i="23"/>
  <c r="G803" i="23" s="1"/>
  <c r="G75" i="23"/>
  <c r="G73" i="23"/>
  <c r="G72" i="23" s="1"/>
  <c r="G71" i="23" s="1"/>
  <c r="G70" i="23" s="1"/>
  <c r="G69" i="23" s="1"/>
  <c r="G89" i="23"/>
  <c r="G87" i="23"/>
  <c r="G86" i="23" s="1"/>
  <c r="G85" i="23" s="1"/>
  <c r="G84" i="23" s="1"/>
  <c r="G83" i="23" s="1"/>
  <c r="G512" i="23"/>
  <c r="G510" i="23"/>
  <c r="G515" i="23"/>
  <c r="G513" i="23"/>
  <c r="H531" i="23"/>
  <c r="H529" i="23"/>
  <c r="H528" i="23" s="1"/>
  <c r="H527" i="23" s="1"/>
  <c r="H526" i="23" s="1"/>
  <c r="H126" i="23"/>
  <c r="H124" i="23"/>
  <c r="H147" i="23"/>
  <c r="H145" i="23"/>
  <c r="H144" i="23" s="1"/>
  <c r="H143" i="23" s="1"/>
  <c r="H168" i="23"/>
  <c r="H166" i="23"/>
  <c r="H165" i="23" s="1"/>
  <c r="G235" i="23"/>
  <c r="G233" i="23"/>
  <c r="G232" i="23" s="1"/>
  <c r="H277" i="23"/>
  <c r="H652" i="22"/>
  <c r="H651" i="22" s="1"/>
  <c r="H647" i="22" s="1"/>
  <c r="H335" i="23"/>
  <c r="H674" i="22"/>
  <c r="H673" i="22" s="1"/>
  <c r="G342" i="23"/>
  <c r="G679" i="22"/>
  <c r="G678" i="22" s="1"/>
  <c r="G677" i="22" s="1"/>
  <c r="G707" i="22"/>
  <c r="H708" i="22"/>
  <c r="H707" i="22" s="1"/>
  <c r="G419" i="23"/>
  <c r="H774" i="22"/>
  <c r="H419" i="23" s="1"/>
  <c r="H699" i="22"/>
  <c r="H698" i="22" s="1"/>
  <c r="H413" i="23"/>
  <c r="H411" i="23"/>
  <c r="H410" i="23" s="1"/>
  <c r="H409" i="23" s="1"/>
  <c r="H408" i="23" s="1"/>
  <c r="H407" i="23" s="1"/>
  <c r="G428" i="23"/>
  <c r="G426" i="23"/>
  <c r="G425" i="23" s="1"/>
  <c r="G435" i="23"/>
  <c r="G433" i="23"/>
  <c r="G432" i="23" s="1"/>
  <c r="H830" i="22"/>
  <c r="G870" i="22"/>
  <c r="G867" i="22" s="1"/>
  <c r="H888" i="22"/>
  <c r="G957" i="22"/>
  <c r="G956" i="22" s="1"/>
  <c r="G955" i="22" s="1"/>
  <c r="G954" i="22" s="1"/>
  <c r="G680" i="23"/>
  <c r="G678" i="23"/>
  <c r="G677" i="23" s="1"/>
  <c r="H1012" i="22"/>
  <c r="G1070" i="22"/>
  <c r="H22" i="23"/>
  <c r="G318" i="23"/>
  <c r="G314" i="23"/>
  <c r="G313" i="23" s="1"/>
  <c r="G312" i="23" s="1"/>
  <c r="H193" i="23"/>
  <c r="H191" i="23"/>
  <c r="H190" i="23" s="1"/>
  <c r="H650" i="22"/>
  <c r="H206" i="23"/>
  <c r="H204" i="23"/>
  <c r="H203" i="23" s="1"/>
  <c r="H424" i="23"/>
  <c r="H422" i="23"/>
  <c r="H421" i="23" s="1"/>
  <c r="H781" i="22"/>
  <c r="H785" i="22"/>
  <c r="H434" i="23" s="1"/>
  <c r="H787" i="22"/>
  <c r="H786" i="22" s="1"/>
  <c r="H782" i="22" s="1"/>
  <c r="G829" i="22"/>
  <c r="G826" i="22" s="1"/>
  <c r="G825" i="22" s="1"/>
  <c r="G824" i="22" s="1"/>
  <c r="G660" i="23"/>
  <c r="H973" i="22"/>
  <c r="H660" i="23" s="1"/>
  <c r="G859" i="23"/>
  <c r="G1001" i="22"/>
  <c r="G1000" i="22" s="1"/>
  <c r="G999" i="22" s="1"/>
  <c r="G998" i="22" s="1"/>
  <c r="G1146" i="22" s="1"/>
  <c r="H1002" i="22"/>
  <c r="G24" i="23"/>
  <c r="G725" i="23"/>
  <c r="G723" i="23"/>
  <c r="G722" i="23" s="1"/>
  <c r="G721" i="23" s="1"/>
  <c r="G720" i="23" s="1"/>
  <c r="G719" i="23" s="1"/>
  <c r="G732" i="23"/>
  <c r="G730" i="23"/>
  <c r="G729" i="23" s="1"/>
  <c r="G728" i="23" s="1"/>
  <c r="G727" i="23" s="1"/>
  <c r="G726" i="23" s="1"/>
  <c r="G739" i="23"/>
  <c r="G737" i="23"/>
  <c r="G736" i="23" s="1"/>
  <c r="G735" i="23" s="1"/>
  <c r="G734" i="23" s="1"/>
  <c r="G733" i="23" s="1"/>
  <c r="G746" i="23"/>
  <c r="G744" i="23"/>
  <c r="G743" i="23" s="1"/>
  <c r="G742" i="23" s="1"/>
  <c r="G741" i="23" s="1"/>
  <c r="G740" i="23" s="1"/>
  <c r="G753" i="23"/>
  <c r="G751" i="23"/>
  <c r="G750" i="23" s="1"/>
  <c r="G749" i="23" s="1"/>
  <c r="G748" i="23" s="1"/>
  <c r="G747" i="23" s="1"/>
  <c r="G760" i="23"/>
  <c r="G758" i="23"/>
  <c r="G757" i="23" s="1"/>
  <c r="G756" i="23" s="1"/>
  <c r="G755" i="23" s="1"/>
  <c r="G754" i="23" s="1"/>
  <c r="H1017" i="22"/>
  <c r="G456" i="23"/>
  <c r="G454" i="23"/>
  <c r="G658" i="23"/>
  <c r="G656" i="23"/>
  <c r="G23" i="23"/>
  <c r="G21" i="23"/>
  <c r="G121" i="23"/>
  <c r="G206" i="23"/>
  <c r="G204" i="23"/>
  <c r="G203" i="23" s="1"/>
  <c r="G210" i="23"/>
  <c r="G208" i="23"/>
  <c r="G207" i="23" s="1"/>
  <c r="G254" i="23"/>
  <c r="G252" i="23"/>
  <c r="G251" i="23" s="1"/>
  <c r="G250" i="23" s="1"/>
  <c r="G249" i="23" s="1"/>
  <c r="G248" i="23" s="1"/>
  <c r="H304" i="23"/>
  <c r="H302" i="23"/>
  <c r="H301" i="23" s="1"/>
  <c r="H300" i="23" s="1"/>
  <c r="H299" i="23" s="1"/>
  <c r="H298" i="23" s="1"/>
  <c r="G689" i="23"/>
  <c r="G688" i="23" s="1"/>
  <c r="G691" i="23"/>
  <c r="G152" i="23"/>
  <c r="G150" i="23"/>
  <c r="G149" i="23" s="1"/>
  <c r="G148" i="23" s="1"/>
  <c r="H254" i="23"/>
  <c r="H252" i="23"/>
  <c r="H251" i="23" s="1"/>
  <c r="H250" i="23" s="1"/>
  <c r="H249" i="23" s="1"/>
  <c r="H248" i="23" s="1"/>
  <c r="G278" i="23"/>
  <c r="G276" i="23"/>
  <c r="G275" i="23" s="1"/>
  <c r="G164" i="23"/>
  <c r="G162" i="23"/>
  <c r="G161" i="23" s="1"/>
  <c r="G168" i="23"/>
  <c r="G166" i="23"/>
  <c r="G165" i="23" s="1"/>
  <c r="G176" i="23"/>
  <c r="G174" i="23"/>
  <c r="G173" i="23" s="1"/>
  <c r="H318" i="23"/>
  <c r="H314" i="23"/>
  <c r="H313" i="23" s="1"/>
  <c r="H312" i="23" s="1"/>
  <c r="H386" i="23"/>
  <c r="H384" i="23"/>
  <c r="H383" i="23" s="1"/>
  <c r="H176" i="23"/>
  <c r="H174" i="23"/>
  <c r="H173" i="23" s="1"/>
  <c r="G304" i="23"/>
  <c r="G302" i="23"/>
  <c r="G301" i="23" s="1"/>
  <c r="G300" i="23" s="1"/>
  <c r="G299" i="23" s="1"/>
  <c r="G298" i="23" s="1"/>
  <c r="G370" i="23"/>
  <c r="G366" i="23"/>
  <c r="H382" i="23"/>
  <c r="H380" i="23"/>
  <c r="H379" i="23" s="1"/>
  <c r="G380" i="23"/>
  <c r="G379" i="23" s="1"/>
  <c r="G384" i="23"/>
  <c r="G383" i="23" s="1"/>
  <c r="G439" i="23"/>
  <c r="G437" i="23"/>
  <c r="G436" i="23" s="1"/>
  <c r="G474" i="23"/>
  <c r="G472" i="23"/>
  <c r="H521" i="23"/>
  <c r="H519" i="23"/>
  <c r="G568" i="23"/>
  <c r="G566" i="23"/>
  <c r="G565" i="23" s="1"/>
  <c r="G626" i="23"/>
  <c r="G624" i="23"/>
  <c r="G623" i="23" s="1"/>
  <c r="G622" i="23" s="1"/>
  <c r="H637" i="23"/>
  <c r="H633" i="23"/>
  <c r="H655" i="23"/>
  <c r="H653" i="23"/>
  <c r="H669" i="23"/>
  <c r="H667" i="23"/>
  <c r="H666" i="23" s="1"/>
  <c r="G710" i="23"/>
  <c r="G708" i="23"/>
  <c r="G707" i="23" s="1"/>
  <c r="G706" i="23" s="1"/>
  <c r="G705" i="23" s="1"/>
  <c r="G704" i="23" s="1"/>
  <c r="G413" i="23"/>
  <c r="G411" i="23"/>
  <c r="G410" i="23" s="1"/>
  <c r="G409" i="23" s="1"/>
  <c r="G408" i="23" s="1"/>
  <c r="G407" i="23" s="1"/>
  <c r="G486" i="23"/>
  <c r="G484" i="23"/>
  <c r="H621" i="23"/>
  <c r="G614" i="21" s="1"/>
  <c r="G613" i="21" s="1"/>
  <c r="G612" i="21" s="1"/>
  <c r="G611" i="21" s="1"/>
  <c r="G610" i="21" s="1"/>
  <c r="H619" i="23"/>
  <c r="H618" i="23" s="1"/>
  <c r="H617" i="23" s="1"/>
  <c r="G632" i="23"/>
  <c r="G630" i="23"/>
  <c r="G629" i="23" s="1"/>
  <c r="G628" i="23" s="1"/>
  <c r="G627" i="23" s="1"/>
  <c r="G453" i="23"/>
  <c r="G451" i="23"/>
  <c r="G564" i="23"/>
  <c r="G562" i="23"/>
  <c r="G561" i="23" s="1"/>
  <c r="G616" i="23"/>
  <c r="G614" i="23"/>
  <c r="G613" i="23" s="1"/>
  <c r="G612" i="23" s="1"/>
  <c r="H673" i="23"/>
  <c r="H671" i="23"/>
  <c r="G684" i="23"/>
  <c r="G682" i="23"/>
  <c r="G681" i="23" s="1"/>
  <c r="G878" i="23"/>
  <c r="G877" i="23"/>
  <c r="H453" i="23"/>
  <c r="H451" i="23"/>
  <c r="G498" i="23"/>
  <c r="G496" i="23"/>
  <c r="H575" i="23"/>
  <c r="H573" i="23"/>
  <c r="H572" i="23" s="1"/>
  <c r="H626" i="23"/>
  <c r="H622" i="23"/>
  <c r="H695" i="23"/>
  <c r="H693" i="23"/>
  <c r="H692" i="23" s="1"/>
  <c r="G862" i="23"/>
  <c r="G861" i="23"/>
  <c r="G870" i="23"/>
  <c r="G869" i="23"/>
  <c r="G876" i="23" s="1"/>
  <c r="G550" i="23"/>
  <c r="G548" i="23"/>
  <c r="G547" i="23" s="1"/>
  <c r="G554" i="23"/>
  <c r="G552" i="23"/>
  <c r="G551" i="23" s="1"/>
  <c r="G596" i="23"/>
  <c r="G594" i="23"/>
  <c r="G593" i="23" s="1"/>
  <c r="G592" i="23" s="1"/>
  <c r="G591" i="23" s="1"/>
  <c r="G590" i="23" s="1"/>
  <c r="G610" i="23"/>
  <c r="G608" i="23"/>
  <c r="G607" i="23" s="1"/>
  <c r="G606" i="23" s="1"/>
  <c r="G605" i="23" s="1"/>
  <c r="H643" i="23"/>
  <c r="H641" i="23"/>
  <c r="H640" i="23" s="1"/>
  <c r="H639" i="23" s="1"/>
  <c r="H638" i="23" s="1"/>
  <c r="G604" i="23"/>
  <c r="G602" i="23"/>
  <c r="G601" i="23" s="1"/>
  <c r="G600" i="23" s="1"/>
  <c r="G599" i="23" s="1"/>
  <c r="H651" i="23"/>
  <c r="H649" i="23"/>
  <c r="H648" i="23" s="1"/>
  <c r="H665" i="23"/>
  <c r="H663" i="23"/>
  <c r="H662" i="23" s="1"/>
  <c r="H878" i="23"/>
  <c r="H877" i="23"/>
  <c r="H870" i="23"/>
  <c r="H869" i="23"/>
  <c r="H876" i="23" s="1"/>
  <c r="G769" i="23"/>
  <c r="G780" i="23"/>
  <c r="G779" i="23" s="1"/>
  <c r="G784" i="23"/>
  <c r="G783" i="23" s="1"/>
  <c r="G792" i="23"/>
  <c r="G791" i="23" s="1"/>
  <c r="G800" i="23"/>
  <c r="G799" i="23" s="1"/>
  <c r="G816" i="23"/>
  <c r="G815" i="23" s="1"/>
  <c r="G814" i="23" s="1"/>
  <c r="H769" i="23"/>
  <c r="H780" i="23"/>
  <c r="H779" i="23" s="1"/>
  <c r="H784" i="23"/>
  <c r="H783" i="23" s="1"/>
  <c r="H800" i="23"/>
  <c r="H799" i="23" s="1"/>
  <c r="H816" i="23"/>
  <c r="H815" i="23" s="1"/>
  <c r="H814" i="23" s="1"/>
  <c r="H866" i="23"/>
  <c r="H865" i="23" s="1"/>
  <c r="H864" i="23" s="1"/>
  <c r="H863" i="23" s="1"/>
  <c r="G309" i="4"/>
  <c r="G827" i="4"/>
  <c r="F529" i="3"/>
  <c r="F528" i="3" s="1"/>
  <c r="F1037" i="3"/>
  <c r="F1036" i="3" s="1"/>
  <c r="F1035" i="3" s="1"/>
  <c r="G474" i="5"/>
  <c r="G475" i="5" s="1"/>
  <c r="F72" i="21" l="1"/>
  <c r="F63" i="21" s="1"/>
  <c r="H229" i="22"/>
  <c r="H228" i="22" s="1"/>
  <c r="H227" i="22" s="1"/>
  <c r="H226" i="22" s="1"/>
  <c r="H1136" i="22" s="1"/>
  <c r="G762" i="21"/>
  <c r="H10" i="23"/>
  <c r="G465" i="21"/>
  <c r="G464" i="21" s="1"/>
  <c r="G37" i="21"/>
  <c r="F446" i="21"/>
  <c r="F445" i="21" s="1"/>
  <c r="F444" i="21" s="1"/>
  <c r="F233" i="21"/>
  <c r="G558" i="23"/>
  <c r="F286" i="21"/>
  <c r="F285" i="21" s="1"/>
  <c r="F284" i="21" s="1"/>
  <c r="G375" i="23"/>
  <c r="G771" i="22"/>
  <c r="C21" i="19"/>
  <c r="E9" i="19" s="1"/>
  <c r="H132" i="22"/>
  <c r="H131" i="22" s="1"/>
  <c r="K22" i="19"/>
  <c r="K10" i="19" s="1"/>
  <c r="F808" i="21"/>
  <c r="F807" i="21" s="1"/>
  <c r="F806" i="21" s="1"/>
  <c r="F795" i="21" s="1"/>
  <c r="G67" i="23"/>
  <c r="H27" i="23"/>
  <c r="G272" i="23"/>
  <c r="G271" i="23" s="1"/>
  <c r="G270" i="23" s="1"/>
  <c r="G768" i="23"/>
  <c r="G197" i="23"/>
  <c r="H471" i="23"/>
  <c r="G229" i="23"/>
  <c r="G524" i="23"/>
  <c r="G469" i="22"/>
  <c r="G468" i="22" s="1"/>
  <c r="G1125" i="22" s="1"/>
  <c r="F201" i="21"/>
  <c r="F200" i="21" s="1"/>
  <c r="F199" i="21" s="1"/>
  <c r="G702" i="21"/>
  <c r="G701" i="21" s="1"/>
  <c r="G700" i="21" s="1"/>
  <c r="G699" i="21" s="1"/>
  <c r="F48" i="21"/>
  <c r="F47" i="21" s="1"/>
  <c r="G290" i="23"/>
  <c r="G582" i="23"/>
  <c r="F837" i="21"/>
  <c r="F836" i="21" s="1"/>
  <c r="H543" i="23"/>
  <c r="G59" i="23"/>
  <c r="H458" i="22"/>
  <c r="H453" i="22" s="1"/>
  <c r="H447" i="22" s="1"/>
  <c r="H446" i="22" s="1"/>
  <c r="H445" i="22" s="1"/>
  <c r="G691" i="22"/>
  <c r="H261" i="23"/>
  <c r="F335" i="21"/>
  <c r="G335" i="21" s="1"/>
  <c r="G444" i="23"/>
  <c r="G443" i="23" s="1"/>
  <c r="G442" i="23" s="1"/>
  <c r="G441" i="23" s="1"/>
  <c r="G440" i="23" s="1"/>
  <c r="H196" i="23"/>
  <c r="H195" i="23" s="1"/>
  <c r="H194" i="23" s="1"/>
  <c r="H177" i="23" s="1"/>
  <c r="H496" i="23"/>
  <c r="H492" i="23" s="1"/>
  <c r="H491" i="23" s="1"/>
  <c r="H490" i="23" s="1"/>
  <c r="H54" i="22"/>
  <c r="G731" i="22"/>
  <c r="G730" i="22" s="1"/>
  <c r="G797" i="21"/>
  <c r="G796" i="21" s="1"/>
  <c r="F91" i="21"/>
  <c r="F90" i="21" s="1"/>
  <c r="F85" i="21" s="1"/>
  <c r="H730" i="23"/>
  <c r="H729" i="23" s="1"/>
  <c r="H728" i="23" s="1"/>
  <c r="H727" i="23" s="1"/>
  <c r="H726" i="23" s="1"/>
  <c r="H121" i="23"/>
  <c r="H120" i="23" s="1"/>
  <c r="H119" i="23" s="1"/>
  <c r="H118" i="23" s="1"/>
  <c r="H117" i="23" s="1"/>
  <c r="G955" i="21"/>
  <c r="G954" i="21" s="1"/>
  <c r="G953" i="21" s="1"/>
  <c r="G952" i="21" s="1"/>
  <c r="F653" i="21"/>
  <c r="F644" i="21" s="1"/>
  <c r="F620" i="21" s="1"/>
  <c r="D35" i="20" s="1"/>
  <c r="F887" i="21"/>
  <c r="F886" i="21" s="1"/>
  <c r="D47" i="20" s="1"/>
  <c r="G687" i="23"/>
  <c r="G686" i="23" s="1"/>
  <c r="G685" i="23" s="1"/>
  <c r="G1069" i="22"/>
  <c r="G1068" i="22" s="1"/>
  <c r="G1067" i="22" s="1"/>
  <c r="H562" i="23"/>
  <c r="H561" i="23" s="1"/>
  <c r="H560" i="23" s="1"/>
  <c r="H559" i="23" s="1"/>
  <c r="H42" i="23"/>
  <c r="H65" i="23"/>
  <c r="H64" i="23" s="1"/>
  <c r="H63" i="23" s="1"/>
  <c r="H62" i="23" s="1"/>
  <c r="H61" i="23" s="1"/>
  <c r="H60" i="23" s="1"/>
  <c r="F456" i="21"/>
  <c r="F443" i="21" s="1"/>
  <c r="D31" i="20" s="1"/>
  <c r="H758" i="23"/>
  <c r="H757" i="23" s="1"/>
  <c r="H756" i="23" s="1"/>
  <c r="H755" i="23" s="1"/>
  <c r="H754" i="23" s="1"/>
  <c r="H737" i="23"/>
  <c r="H736" i="23" s="1"/>
  <c r="H735" i="23" s="1"/>
  <c r="H734" i="23" s="1"/>
  <c r="H733" i="23" s="1"/>
  <c r="H656" i="23"/>
  <c r="G170" i="23"/>
  <c r="G169" i="23" s="1"/>
  <c r="G160" i="23" s="1"/>
  <c r="G131" i="23"/>
  <c r="G130" i="23" s="1"/>
  <c r="G129" i="23" s="1"/>
  <c r="G128" i="23" s="1"/>
  <c r="G127" i="23" s="1"/>
  <c r="G456" i="21"/>
  <c r="H507" i="23"/>
  <c r="G925" i="21"/>
  <c r="G924" i="21" s="1"/>
  <c r="G477" i="23"/>
  <c r="F240" i="21"/>
  <c r="G518" i="23"/>
  <c r="G517" i="23" s="1"/>
  <c r="G516" i="23" s="1"/>
  <c r="H25" i="23"/>
  <c r="H24" i="23" s="1"/>
  <c r="F317" i="21"/>
  <c r="F316" i="21" s="1"/>
  <c r="F315" i="21" s="1"/>
  <c r="D28" i="20" s="1"/>
  <c r="G225" i="22"/>
  <c r="G1136" i="22"/>
  <c r="H317" i="22"/>
  <c r="H437" i="23"/>
  <c r="H436" i="23" s="1"/>
  <c r="G803" i="22"/>
  <c r="H1048" i="22"/>
  <c r="G267" i="23"/>
  <c r="G266" i="23" s="1"/>
  <c r="G257" i="23" s="1"/>
  <c r="H552" i="23"/>
  <c r="H551" i="23" s="1"/>
  <c r="G393" i="23"/>
  <c r="G261" i="23"/>
  <c r="F923" i="21"/>
  <c r="D48" i="20" s="1"/>
  <c r="H744" i="23"/>
  <c r="H743" i="23" s="1"/>
  <c r="H742" i="23" s="1"/>
  <c r="H741" i="23" s="1"/>
  <c r="H740" i="23" s="1"/>
  <c r="G82" i="23"/>
  <c r="G746" i="22"/>
  <c r="G745" i="22" s="1"/>
  <c r="G740" i="22" s="1"/>
  <c r="G729" i="22" s="1"/>
  <c r="G36" i="23"/>
  <c r="G35" i="23" s="1"/>
  <c r="G34" i="23" s="1"/>
  <c r="G33" i="23" s="1"/>
  <c r="H474" i="23"/>
  <c r="H701" i="23"/>
  <c r="H700" i="23" s="1"/>
  <c r="H699" i="23" s="1"/>
  <c r="H698" i="23" s="1"/>
  <c r="H697" i="23" s="1"/>
  <c r="H696" i="23" s="1"/>
  <c r="G304" i="22"/>
  <c r="G295" i="22" s="1"/>
  <c r="G47" i="23"/>
  <c r="G46" i="23" s="1"/>
  <c r="G45" i="23" s="1"/>
  <c r="G44" i="23" s="1"/>
  <c r="G43" i="23" s="1"/>
  <c r="G411" i="22"/>
  <c r="G493" i="22"/>
  <c r="H48" i="21" s="1"/>
  <c r="F743" i="21"/>
  <c r="F742" i="21" s="1"/>
  <c r="D39" i="20" s="1"/>
  <c r="F731" i="21"/>
  <c r="F730" i="21" s="1"/>
  <c r="F725" i="21" s="1"/>
  <c r="F714" i="21" s="1"/>
  <c r="D37" i="20" s="1"/>
  <c r="G118" i="21"/>
  <c r="G117" i="21" s="1"/>
  <c r="H405" i="23"/>
  <c r="H403" i="23"/>
  <c r="H402" i="23" s="1"/>
  <c r="H401" i="23" s="1"/>
  <c r="H400" i="23" s="1"/>
  <c r="H398" i="23" s="1"/>
  <c r="G450" i="23"/>
  <c r="G449" i="23" s="1"/>
  <c r="G448" i="23" s="1"/>
  <c r="G447" i="23" s="1"/>
  <c r="G358" i="23"/>
  <c r="H550" i="23"/>
  <c r="H297" i="22"/>
  <c r="H296" i="22" s="1"/>
  <c r="G701" i="23"/>
  <c r="G700" i="23" s="1"/>
  <c r="G699" i="23" s="1"/>
  <c r="G698" i="23" s="1"/>
  <c r="G697" i="23" s="1"/>
  <c r="G696" i="23" s="1"/>
  <c r="H35" i="22"/>
  <c r="H34" i="22" s="1"/>
  <c r="H33" i="22" s="1"/>
  <c r="G548" i="21"/>
  <c r="G359" i="22"/>
  <c r="G358" i="22" s="1"/>
  <c r="G177" i="23"/>
  <c r="G862" i="21"/>
  <c r="G861" i="21" s="1"/>
  <c r="G860" i="21" s="1"/>
  <c r="G859" i="21" s="1"/>
  <c r="G858" i="21" s="1"/>
  <c r="F107" i="21"/>
  <c r="F106" i="21" s="1"/>
  <c r="D15" i="20" s="1"/>
  <c r="G1048" i="22"/>
  <c r="H487" i="23"/>
  <c r="H480" i="23" s="1"/>
  <c r="H479" i="23" s="1"/>
  <c r="H478" i="23" s="1"/>
  <c r="H486" i="23"/>
  <c r="G192" i="22"/>
  <c r="G32" i="21"/>
  <c r="G236" i="22"/>
  <c r="G235" i="22" s="1"/>
  <c r="G234" i="22" s="1"/>
  <c r="E124" i="19"/>
  <c r="G674" i="23"/>
  <c r="G447" i="22"/>
  <c r="G446" i="22" s="1"/>
  <c r="G445" i="22" s="1"/>
  <c r="H1069" i="22"/>
  <c r="H1068" i="22" s="1"/>
  <c r="H1067" i="22" s="1"/>
  <c r="G745" i="21"/>
  <c r="G744" i="21" s="1"/>
  <c r="F567" i="21"/>
  <c r="F543" i="21" s="1"/>
  <c r="F542" i="21" s="1"/>
  <c r="D34" i="20" s="1"/>
  <c r="G276" i="21"/>
  <c r="G275" i="21" s="1"/>
  <c r="G270" i="21" s="1"/>
  <c r="G269" i="21" s="1"/>
  <c r="E25" i="20" s="1"/>
  <c r="G160" i="21"/>
  <c r="G159" i="21" s="1"/>
  <c r="G345" i="23"/>
  <c r="H751" i="23"/>
  <c r="H750" i="23" s="1"/>
  <c r="H749" i="23" s="1"/>
  <c r="H748" i="23" s="1"/>
  <c r="H747" i="23" s="1"/>
  <c r="H691" i="23"/>
  <c r="H870" i="22"/>
  <c r="H867" i="22" s="1"/>
  <c r="H861" i="22" s="1"/>
  <c r="H746" i="22"/>
  <c r="H745" i="22" s="1"/>
  <c r="H740" i="22" s="1"/>
  <c r="H378" i="22"/>
  <c r="H221" i="23"/>
  <c r="H472" i="22"/>
  <c r="H471" i="22" s="1"/>
  <c r="H470" i="22" s="1"/>
  <c r="H469" i="22" s="1"/>
  <c r="H468" i="22" s="1"/>
  <c r="H1125" i="22" s="1"/>
  <c r="H306" i="22"/>
  <c r="H305" i="22" s="1"/>
  <c r="H627" i="23"/>
  <c r="H160" i="21"/>
  <c r="G1016" i="22"/>
  <c r="G1003" i="22" s="1"/>
  <c r="G174" i="22"/>
  <c r="G173" i="22" s="1"/>
  <c r="G172" i="22" s="1"/>
  <c r="G1106" i="22" s="1"/>
  <c r="G848" i="21"/>
  <c r="G843" i="21" s="1"/>
  <c r="G837" i="21" s="1"/>
  <c r="F292" i="21"/>
  <c r="F291" i="21" s="1"/>
  <c r="F183" i="21"/>
  <c r="F182" i="21" s="1"/>
  <c r="H127" i="23"/>
  <c r="G1118" i="22"/>
  <c r="F691" i="21"/>
  <c r="F690" i="21" s="1"/>
  <c r="F689" i="21" s="1"/>
  <c r="D36" i="20" s="1"/>
  <c r="F480" i="21"/>
  <c r="F479" i="21" s="1"/>
  <c r="D33" i="20" s="1"/>
  <c r="I10" i="19"/>
  <c r="H1044" i="22"/>
  <c r="H1043" i="22" s="1"/>
  <c r="H1042" i="22" s="1"/>
  <c r="H1041" i="22" s="1"/>
  <c r="H1040" i="22" s="1"/>
  <c r="H1039" i="22" s="1"/>
  <c r="H1038" i="22" s="1"/>
  <c r="G884" i="21"/>
  <c r="G883" i="21" s="1"/>
  <c r="G882" i="21" s="1"/>
  <c r="G881" i="21" s="1"/>
  <c r="G880" i="21" s="1"/>
  <c r="G872" i="21" s="1"/>
  <c r="H1089" i="22"/>
  <c r="H1086" i="22" s="1"/>
  <c r="H1085" i="22" s="1"/>
  <c r="H1084" i="22" s="1"/>
  <c r="H1083" i="22" s="1"/>
  <c r="H106" i="21" s="1"/>
  <c r="G113" i="21"/>
  <c r="G112" i="21" s="1"/>
  <c r="G109" i="21" s="1"/>
  <c r="G108" i="21" s="1"/>
  <c r="G10" i="21"/>
  <c r="E12" i="20" s="1"/>
  <c r="G725" i="21"/>
  <c r="C75" i="19"/>
  <c r="C74" i="19" s="1"/>
  <c r="C156" i="19" s="1"/>
  <c r="G1098" i="22" s="1"/>
  <c r="G576" i="21"/>
  <c r="G575" i="21" s="1"/>
  <c r="G574" i="21" s="1"/>
  <c r="F31" i="21"/>
  <c r="F30" i="21" s="1"/>
  <c r="F29" i="21" s="1"/>
  <c r="D13" i="20" s="1"/>
  <c r="H738" i="22"/>
  <c r="H737" i="22" s="1"/>
  <c r="G724" i="21"/>
  <c r="G723" i="21" s="1"/>
  <c r="G722" i="21" s="1"/>
  <c r="F137" i="21"/>
  <c r="G798" i="23"/>
  <c r="G797" i="23" s="1"/>
  <c r="G796" i="23" s="1"/>
  <c r="G560" i="23"/>
  <c r="G559" i="23" s="1"/>
  <c r="G142" i="23"/>
  <c r="G141" i="23" s="1"/>
  <c r="G671" i="23"/>
  <c r="H1016" i="22"/>
  <c r="G766" i="22"/>
  <c r="G1138" i="22" s="1"/>
  <c r="G850" i="23"/>
  <c r="G849" i="23" s="1"/>
  <c r="G848" i="23" s="1"/>
  <c r="G847" i="23" s="1"/>
  <c r="G846" i="23" s="1"/>
  <c r="H139" i="21"/>
  <c r="G468" i="23"/>
  <c r="G467" i="23" s="1"/>
  <c r="G466" i="23" s="1"/>
  <c r="D75" i="19"/>
  <c r="D74" i="19" s="1"/>
  <c r="F74" i="19" s="1"/>
  <c r="G130" i="22"/>
  <c r="H48" i="23"/>
  <c r="H581" i="23"/>
  <c r="G776" i="21"/>
  <c r="G775" i="21" s="1"/>
  <c r="G774" i="21" s="1"/>
  <c r="G773" i="21" s="1"/>
  <c r="H37" i="23"/>
  <c r="G695" i="21"/>
  <c r="G694" i="21" s="1"/>
  <c r="G693" i="21" s="1"/>
  <c r="G692" i="21" s="1"/>
  <c r="H557" i="23"/>
  <c r="H325" i="22"/>
  <c r="G675" i="21"/>
  <c r="G674" i="21" s="1"/>
  <c r="G673" i="21" s="1"/>
  <c r="G666" i="21" s="1"/>
  <c r="G12" i="23"/>
  <c r="G11" i="23" s="1"/>
  <c r="G10" i="23"/>
  <c r="G492" i="23"/>
  <c r="G491" i="23" s="1"/>
  <c r="G490" i="23" s="1"/>
  <c r="G959" i="22"/>
  <c r="G1141" i="22" s="1"/>
  <c r="H629" i="22"/>
  <c r="H628" i="22" s="1"/>
  <c r="H615" i="22" s="1"/>
  <c r="G70" i="22"/>
  <c r="G1104" i="22" s="1"/>
  <c r="H432" i="22"/>
  <c r="H431" i="22" s="1"/>
  <c r="G817" i="21"/>
  <c r="G816" i="21" s="1"/>
  <c r="G815" i="21" s="1"/>
  <c r="G1115" i="22"/>
  <c r="G501" i="21"/>
  <c r="G500" i="21" s="1"/>
  <c r="G499" i="21" s="1"/>
  <c r="H236" i="22"/>
  <c r="F124" i="19"/>
  <c r="H765" i="23"/>
  <c r="G480" i="23"/>
  <c r="G479" i="23" s="1"/>
  <c r="G478" i="23" s="1"/>
  <c r="G120" i="23"/>
  <c r="G119" i="23" s="1"/>
  <c r="G118" i="23" s="1"/>
  <c r="G117" i="23" s="1"/>
  <c r="H391" i="22"/>
  <c r="H390" i="22" s="1"/>
  <c r="H389" i="22" s="1"/>
  <c r="G511" i="21"/>
  <c r="G510" i="21" s="1"/>
  <c r="G509" i="21" s="1"/>
  <c r="H496" i="22"/>
  <c r="H493" i="22" s="1"/>
  <c r="H492" i="22" s="1"/>
  <c r="H491" i="22" s="1"/>
  <c r="H490" i="22" s="1"/>
  <c r="H489" i="22" s="1"/>
  <c r="G52" i="21"/>
  <c r="G51" i="21" s="1"/>
  <c r="G48" i="21" s="1"/>
  <c r="G47" i="21" s="1"/>
  <c r="H186" i="22"/>
  <c r="H183" i="22" s="1"/>
  <c r="G245" i="21"/>
  <c r="G244" i="21" s="1"/>
  <c r="G241" i="21" s="1"/>
  <c r="F420" i="21"/>
  <c r="F404" i="21" s="1"/>
  <c r="G207" i="22"/>
  <c r="G206" i="22" s="1"/>
  <c r="G205" i="22" s="1"/>
  <c r="E123" i="19"/>
  <c r="H445" i="23"/>
  <c r="G912" i="21"/>
  <c r="G911" i="21" s="1"/>
  <c r="G910" i="21" s="1"/>
  <c r="G909" i="21" s="1"/>
  <c r="F136" i="19"/>
  <c r="H808" i="23"/>
  <c r="H807" i="23" s="1"/>
  <c r="H675" i="23"/>
  <c r="H983" i="22"/>
  <c r="H980" i="22" s="1"/>
  <c r="H964" i="22" s="1"/>
  <c r="H959" i="22" s="1"/>
  <c r="H1141" i="22" s="1"/>
  <c r="G424" i="21"/>
  <c r="G423" i="21" s="1"/>
  <c r="G420" i="21" s="1"/>
  <c r="G404" i="21" s="1"/>
  <c r="G571" i="23"/>
  <c r="G570" i="23" s="1"/>
  <c r="G569" i="23"/>
  <c r="G525" i="23"/>
  <c r="H844" i="22"/>
  <c r="H839" i="22" s="1"/>
  <c r="H835" i="22" s="1"/>
  <c r="H834" i="22" s="1"/>
  <c r="H833" i="22" s="1"/>
  <c r="H832" i="22" s="1"/>
  <c r="G148" i="21"/>
  <c r="G147" i="21" s="1"/>
  <c r="G142" i="21" s="1"/>
  <c r="G138" i="21" s="1"/>
  <c r="H427" i="22"/>
  <c r="G812" i="21"/>
  <c r="G811" i="21" s="1"/>
  <c r="H851" i="23"/>
  <c r="H153" i="22"/>
  <c r="H152" i="22" s="1"/>
  <c r="H151" i="22" s="1"/>
  <c r="H146" i="22" s="1"/>
  <c r="G207" i="21"/>
  <c r="G206" i="21" s="1"/>
  <c r="G205" i="21" s="1"/>
  <c r="G204" i="21" s="1"/>
  <c r="G199" i="21" s="1"/>
  <c r="H171" i="23"/>
  <c r="H563" i="22"/>
  <c r="H562" i="22" s="1"/>
  <c r="H555" i="22" s="1"/>
  <c r="G494" i="21"/>
  <c r="G493" i="21" s="1"/>
  <c r="G492" i="21" s="1"/>
  <c r="G485" i="21" s="1"/>
  <c r="H523" i="23"/>
  <c r="H372" i="22"/>
  <c r="H369" i="22" s="1"/>
  <c r="H368" i="22" s="1"/>
  <c r="G757" i="21"/>
  <c r="G756" i="21" s="1"/>
  <c r="G753" i="21" s="1"/>
  <c r="G752" i="21" s="1"/>
  <c r="H82" i="22"/>
  <c r="G76" i="21"/>
  <c r="G75" i="21" s="1"/>
  <c r="H611" i="23"/>
  <c r="G431" i="23"/>
  <c r="G430" i="23" s="1"/>
  <c r="G429" i="23" s="1"/>
  <c r="H525" i="23"/>
  <c r="G509" i="23"/>
  <c r="G504" i="23" s="1"/>
  <c r="G503" i="23" s="1"/>
  <c r="G35" i="22"/>
  <c r="G34" i="22" s="1"/>
  <c r="G33" i="22" s="1"/>
  <c r="H1009" i="22"/>
  <c r="G450" i="21"/>
  <c r="G449" i="21" s="1"/>
  <c r="H735" i="22"/>
  <c r="H732" i="22" s="1"/>
  <c r="G721" i="21"/>
  <c r="G720" i="21" s="1"/>
  <c r="G717" i="21" s="1"/>
  <c r="H819" i="22"/>
  <c r="H814" i="22" s="1"/>
  <c r="H813" i="22" s="1"/>
  <c r="H812" i="22" s="1"/>
  <c r="G940" i="21"/>
  <c r="G939" i="21" s="1"/>
  <c r="G934" i="21" s="1"/>
  <c r="G933" i="21" s="1"/>
  <c r="G932" i="21" s="1"/>
  <c r="H429" i="22"/>
  <c r="G814" i="21"/>
  <c r="G813" i="21" s="1"/>
  <c r="H228" i="23"/>
  <c r="G507" i="21"/>
  <c r="G506" i="21" s="1"/>
  <c r="G505" i="21" s="1"/>
  <c r="G498" i="21" s="1"/>
  <c r="H576" i="22"/>
  <c r="H575" i="22" s="1"/>
  <c r="H568" i="22" s="1"/>
  <c r="H476" i="23"/>
  <c r="G652" i="21"/>
  <c r="G651" i="21" s="1"/>
  <c r="G646" i="21" s="1"/>
  <c r="G645" i="21" s="1"/>
  <c r="H180" i="22"/>
  <c r="H179" i="22" s="1"/>
  <c r="H175" i="22" s="1"/>
  <c r="G239" i="21"/>
  <c r="G238" i="21" s="1"/>
  <c r="G237" i="21" s="1"/>
  <c r="G233" i="21" s="1"/>
  <c r="H80" i="22"/>
  <c r="G74" i="21"/>
  <c r="G73" i="21" s="1"/>
  <c r="H32" i="21"/>
  <c r="D31" i="19"/>
  <c r="D9" i="19" s="1"/>
  <c r="G68" i="23"/>
  <c r="H919" i="22"/>
  <c r="H1143" i="22" s="1"/>
  <c r="H723" i="23"/>
  <c r="H722" i="23" s="1"/>
  <c r="H721" i="23" s="1"/>
  <c r="H720" i="23" s="1"/>
  <c r="H719" i="23" s="1"/>
  <c r="H241" i="23"/>
  <c r="H240" i="23" s="1"/>
  <c r="F359" i="21"/>
  <c r="G711" i="23"/>
  <c r="H224" i="23"/>
  <c r="G504" i="21"/>
  <c r="G503" i="21" s="1"/>
  <c r="G502" i="21" s="1"/>
  <c r="G610" i="22"/>
  <c r="G609" i="22" s="1"/>
  <c r="H789" i="23"/>
  <c r="G195" i="21"/>
  <c r="G194" i="21" s="1"/>
  <c r="G193" i="21" s="1"/>
  <c r="G183" i="21" s="1"/>
  <c r="G182" i="21" s="1"/>
  <c r="G550" i="22"/>
  <c r="G473" i="5"/>
  <c r="G472" i="5" s="1"/>
  <c r="H1144" i="22"/>
  <c r="G274" i="22"/>
  <c r="G273" i="22" s="1"/>
  <c r="H571" i="23"/>
  <c r="H570" i="23" s="1"/>
  <c r="H569" i="23"/>
  <c r="H887" i="22"/>
  <c r="H886" i="22" s="1"/>
  <c r="H877" i="22" s="1"/>
  <c r="H876" i="22" s="1"/>
  <c r="H875" i="22" s="1"/>
  <c r="G328" i="21"/>
  <c r="G327" i="21" s="1"/>
  <c r="G326" i="21" s="1"/>
  <c r="G418" i="23"/>
  <c r="G417" i="23" s="1"/>
  <c r="G416" i="23" s="1"/>
  <c r="G415" i="23" s="1"/>
  <c r="G414" i="23" s="1"/>
  <c r="G420" i="23"/>
  <c r="H687" i="23"/>
  <c r="H686" i="23" s="1"/>
  <c r="H685" i="23" s="1"/>
  <c r="G661" i="23"/>
  <c r="G659" i="23"/>
  <c r="G652" i="23" s="1"/>
  <c r="H273" i="23"/>
  <c r="G583" i="21"/>
  <c r="G582" i="21" s="1"/>
  <c r="G581" i="21" s="1"/>
  <c r="G580" i="21" s="1"/>
  <c r="H23" i="23"/>
  <c r="H21" i="23"/>
  <c r="H1011" i="22"/>
  <c r="G452" i="21"/>
  <c r="G451" i="21" s="1"/>
  <c r="H455" i="23"/>
  <c r="H829" i="22"/>
  <c r="H826" i="22" s="1"/>
  <c r="H825" i="22" s="1"/>
  <c r="H824" i="22" s="1"/>
  <c r="G950" i="21"/>
  <c r="G949" i="21" s="1"/>
  <c r="G946" i="21" s="1"/>
  <c r="G945" i="21" s="1"/>
  <c r="G944" i="21" s="1"/>
  <c r="G55" i="23"/>
  <c r="G54" i="23" s="1"/>
  <c r="G53" i="23"/>
  <c r="G372" i="23"/>
  <c r="G371" i="23" s="1"/>
  <c r="G365" i="23" s="1"/>
  <c r="G364" i="23" s="1"/>
  <c r="G356" i="23" s="1"/>
  <c r="G1112" i="22"/>
  <c r="H155" i="23"/>
  <c r="H154" i="23" s="1"/>
  <c r="H153" i="23" s="1"/>
  <c r="H142" i="23" s="1"/>
  <c r="H141" i="23" s="1"/>
  <c r="H157" i="23"/>
  <c r="H395" i="23"/>
  <c r="H394" i="23" s="1"/>
  <c r="H397" i="23"/>
  <c r="H213" i="23"/>
  <c r="H705" i="22"/>
  <c r="H704" i="22" s="1"/>
  <c r="H697" i="22" s="1"/>
  <c r="H692" i="22" s="1"/>
  <c r="H691" i="22" s="1"/>
  <c r="G635" i="21"/>
  <c r="G634" i="21" s="1"/>
  <c r="G633" i="21" s="1"/>
  <c r="G626" i="21" s="1"/>
  <c r="G621" i="21" s="1"/>
  <c r="F120" i="19"/>
  <c r="G247" i="23"/>
  <c r="G245" i="23"/>
  <c r="G244" i="23" s="1"/>
  <c r="H234" i="23"/>
  <c r="G570" i="21"/>
  <c r="G569" i="21" s="1"/>
  <c r="G568" i="21" s="1"/>
  <c r="H526" i="22"/>
  <c r="H525" i="22" s="1"/>
  <c r="H524" i="22" s="1"/>
  <c r="H523" i="22" s="1"/>
  <c r="H522" i="22" s="1"/>
  <c r="H521" i="22" s="1"/>
  <c r="G325" i="21"/>
  <c r="G324" i="21" s="1"/>
  <c r="G323" i="21" s="1"/>
  <c r="H361" i="22"/>
  <c r="H360" i="22" s="1"/>
  <c r="G339" i="22"/>
  <c r="G338" i="22" s="1"/>
  <c r="G337" i="22" s="1"/>
  <c r="H511" i="23"/>
  <c r="H309" i="22"/>
  <c r="H308" i="22" s="1"/>
  <c r="G659" i="21"/>
  <c r="G658" i="21" s="1"/>
  <c r="G657" i="21" s="1"/>
  <c r="G653" i="21" s="1"/>
  <c r="H805" i="23"/>
  <c r="H271" i="22"/>
  <c r="H270" i="22" s="1"/>
  <c r="G203" i="21"/>
  <c r="H1142" i="22"/>
  <c r="H192" i="22"/>
  <c r="H392" i="23"/>
  <c r="H108" i="22"/>
  <c r="H107" i="22" s="1"/>
  <c r="G105" i="21"/>
  <c r="G104" i="21" s="1"/>
  <c r="G103" i="21" s="1"/>
  <c r="G102" i="21" s="1"/>
  <c r="H358" i="23"/>
  <c r="H357" i="23"/>
  <c r="F12" i="21"/>
  <c r="F11" i="21" s="1"/>
  <c r="F10" i="21" s="1"/>
  <c r="H435" i="23"/>
  <c r="H433" i="23"/>
  <c r="H432" i="23" s="1"/>
  <c r="G884" i="23"/>
  <c r="H859" i="23"/>
  <c r="H1001" i="22"/>
  <c r="H1000" i="22" s="1"/>
  <c r="G442" i="21"/>
  <c r="G441" i="21" s="1"/>
  <c r="G440" i="21" s="1"/>
  <c r="H420" i="23"/>
  <c r="H418" i="23"/>
  <c r="H417" i="23" s="1"/>
  <c r="H336" i="23"/>
  <c r="H334" i="23"/>
  <c r="H333" i="23" s="1"/>
  <c r="H332" i="23" s="1"/>
  <c r="H331" i="23" s="1"/>
  <c r="H330" i="23" s="1"/>
  <c r="G891" i="22"/>
  <c r="G890" i="22" s="1"/>
  <c r="G889" i="22" s="1"/>
  <c r="H892" i="22"/>
  <c r="H891" i="22" s="1"/>
  <c r="H890" i="22" s="1"/>
  <c r="G268" i="22"/>
  <c r="G244" i="22" s="1"/>
  <c r="G243" i="22" s="1"/>
  <c r="G269" i="22"/>
  <c r="G217" i="23"/>
  <c r="G216" i="23" s="1"/>
  <c r="H58" i="23"/>
  <c r="H355" i="22"/>
  <c r="H354" i="22" s="1"/>
  <c r="H353" i="22" s="1"/>
  <c r="H339" i="22" s="1"/>
  <c r="H338" i="22" s="1"/>
  <c r="H337" i="22" s="1"/>
  <c r="G708" i="21"/>
  <c r="G707" i="21" s="1"/>
  <c r="G706" i="21" s="1"/>
  <c r="G705" i="21" s="1"/>
  <c r="H81" i="23"/>
  <c r="H283" i="22"/>
  <c r="H282" i="22" s="1"/>
  <c r="H281" i="22" s="1"/>
  <c r="H276" i="22" s="1"/>
  <c r="H275" i="22" s="1"/>
  <c r="G300" i="21"/>
  <c r="G299" i="21" s="1"/>
  <c r="G298" i="21" s="1"/>
  <c r="G297" i="21" s="1"/>
  <c r="G292" i="21" s="1"/>
  <c r="G291" i="21" s="1"/>
  <c r="H344" i="23"/>
  <c r="H345" i="23"/>
  <c r="H189" i="22"/>
  <c r="H188" i="22" s="1"/>
  <c r="G248" i="21"/>
  <c r="G247" i="21" s="1"/>
  <c r="G246" i="21" s="1"/>
  <c r="H377" i="23"/>
  <c r="H98" i="22"/>
  <c r="G95" i="21"/>
  <c r="G94" i="21" s="1"/>
  <c r="F951" i="21"/>
  <c r="D50" i="20"/>
  <c r="D49" i="20" s="1"/>
  <c r="G433" i="21"/>
  <c r="F432" i="21"/>
  <c r="G214" i="23"/>
  <c r="G212" i="23"/>
  <c r="G211" i="23" s="1"/>
  <c r="G202" i="23" s="1"/>
  <c r="H238" i="23"/>
  <c r="G573" i="21"/>
  <c r="G572" i="21" s="1"/>
  <c r="G571" i="21" s="1"/>
  <c r="H289" i="23"/>
  <c r="H590" i="22"/>
  <c r="H589" i="22" s="1"/>
  <c r="H588" i="22" s="1"/>
  <c r="G521" i="21"/>
  <c r="G520" i="21" s="1"/>
  <c r="G519" i="21" s="1"/>
  <c r="G518" i="21" s="1"/>
  <c r="H454" i="22"/>
  <c r="H75" i="23"/>
  <c r="H73" i="23"/>
  <c r="H72" i="23" s="1"/>
  <c r="H71" i="23" s="1"/>
  <c r="H70" i="23" s="1"/>
  <c r="H69" i="23" s="1"/>
  <c r="H374" i="23"/>
  <c r="H96" i="22"/>
  <c r="G93" i="21"/>
  <c r="G92" i="21" s="1"/>
  <c r="G765" i="23"/>
  <c r="G764" i="23" s="1"/>
  <c r="G763" i="23" s="1"/>
  <c r="G762" i="23" s="1"/>
  <c r="G761" i="23" s="1"/>
  <c r="H210" i="23"/>
  <c r="H208" i="23"/>
  <c r="H207" i="23" s="1"/>
  <c r="H862" i="23"/>
  <c r="H861" i="23"/>
  <c r="H884" i="23"/>
  <c r="G546" i="23"/>
  <c r="G545" i="23" s="1"/>
  <c r="G808" i="23"/>
  <c r="G807" i="23" s="1"/>
  <c r="G611" i="23"/>
  <c r="G598" i="23" s="1"/>
  <c r="G597" i="23" s="1"/>
  <c r="G20" i="23"/>
  <c r="G19" i="23" s="1"/>
  <c r="G18" i="23" s="1"/>
  <c r="G17" i="23" s="1"/>
  <c r="G860" i="23"/>
  <c r="G858" i="23"/>
  <c r="G857" i="23" s="1"/>
  <c r="G856" i="23" s="1"/>
  <c r="G855" i="23" s="1"/>
  <c r="G854" i="23" s="1"/>
  <c r="G853" i="23" s="1"/>
  <c r="H661" i="23"/>
  <c r="H659" i="23"/>
  <c r="H427" i="23"/>
  <c r="H780" i="22"/>
  <c r="H779" i="22" s="1"/>
  <c r="H778" i="22" s="1"/>
  <c r="H766" i="22" s="1"/>
  <c r="G901" i="21"/>
  <c r="G900" i="21" s="1"/>
  <c r="G899" i="21" s="1"/>
  <c r="G892" i="21" s="1"/>
  <c r="G866" i="22"/>
  <c r="G861" i="22"/>
  <c r="G343" i="23"/>
  <c r="G341" i="23"/>
  <c r="G340" i="23" s="1"/>
  <c r="G339" i="23" s="1"/>
  <c r="G338" i="23" s="1"/>
  <c r="G337" i="23" s="1"/>
  <c r="H278" i="23"/>
  <c r="H276" i="23"/>
  <c r="H275" i="23" s="1"/>
  <c r="H246" i="23"/>
  <c r="H645" i="22"/>
  <c r="H644" i="22" s="1"/>
  <c r="H634" i="22" s="1"/>
  <c r="G579" i="21"/>
  <c r="G578" i="21" s="1"/>
  <c r="G577" i="21" s="1"/>
  <c r="G95" i="22"/>
  <c r="G94" i="22" s="1"/>
  <c r="G89" i="22" s="1"/>
  <c r="G1135" i="22" s="1"/>
  <c r="H341" i="23"/>
  <c r="H340" i="23" s="1"/>
  <c r="H339" i="23" s="1"/>
  <c r="H338" i="23" s="1"/>
  <c r="H337" i="23" s="1"/>
  <c r="H343" i="23"/>
  <c r="G239" i="23"/>
  <c r="G237" i="23"/>
  <c r="G236" i="23" s="1"/>
  <c r="H268" i="23"/>
  <c r="H267" i="23" s="1"/>
  <c r="H266" i="23" s="1"/>
  <c r="H257" i="23" s="1"/>
  <c r="H269" i="23"/>
  <c r="H586" i="22"/>
  <c r="H585" i="22" s="1"/>
  <c r="H578" i="22" s="1"/>
  <c r="G517" i="21"/>
  <c r="G516" i="21" s="1"/>
  <c r="G515" i="21" s="1"/>
  <c r="G508" i="21" s="1"/>
  <c r="H515" i="23"/>
  <c r="H513" i="23"/>
  <c r="H89" i="23"/>
  <c r="H87" i="23"/>
  <c r="H86" i="23" s="1"/>
  <c r="H85" i="23" s="1"/>
  <c r="H84" i="23" s="1"/>
  <c r="H83" i="23" s="1"/>
  <c r="G399" i="23"/>
  <c r="G398" i="23"/>
  <c r="H209" i="22"/>
  <c r="H208" i="22" s="1"/>
  <c r="G288" i="21"/>
  <c r="G287" i="21" s="1"/>
  <c r="G286" i="21" s="1"/>
  <c r="G507" i="22"/>
  <c r="C107" i="1"/>
  <c r="G1047" i="22" l="1"/>
  <c r="G1046" i="22" s="1"/>
  <c r="H225" i="22"/>
  <c r="G31" i="21"/>
  <c r="G30" i="21" s="1"/>
  <c r="G29" i="21" s="1"/>
  <c r="E13" i="20" s="1"/>
  <c r="F232" i="21"/>
  <c r="F231" i="21" s="1"/>
  <c r="D21" i="20" s="1"/>
  <c r="D20" i="20" s="1"/>
  <c r="H399" i="23"/>
  <c r="F283" i="21"/>
  <c r="F249" i="21" s="1"/>
  <c r="H652" i="23"/>
  <c r="H130" i="22"/>
  <c r="H64" i="21"/>
  <c r="G765" i="22"/>
  <c r="G764" i="22" s="1"/>
  <c r="G1122" i="22" s="1"/>
  <c r="G1123" i="22" s="1"/>
  <c r="G544" i="23"/>
  <c r="H731" i="22"/>
  <c r="H730" i="22" s="1"/>
  <c r="H729" i="22" s="1"/>
  <c r="G887" i="21"/>
  <c r="G886" i="21" s="1"/>
  <c r="E47" i="20" s="1"/>
  <c r="G137" i="21"/>
  <c r="G136" i="21" s="1"/>
  <c r="E17" i="20" s="1"/>
  <c r="C9" i="19"/>
  <c r="C157" i="19" s="1"/>
  <c r="G1095" i="22" s="1"/>
  <c r="G716" i="21"/>
  <c r="G715" i="21" s="1"/>
  <c r="G714" i="21" s="1"/>
  <c r="E37" i="20" s="1"/>
  <c r="H598" i="23"/>
  <c r="H597" i="23" s="1"/>
  <c r="H866" i="22"/>
  <c r="H197" i="23"/>
  <c r="F332" i="21"/>
  <c r="F331" i="21" s="1"/>
  <c r="F330" i="21" s="1"/>
  <c r="F329" i="21" s="1"/>
  <c r="D29" i="20" s="1"/>
  <c r="H13" i="21"/>
  <c r="F46" i="21"/>
  <c r="F45" i="21" s="1"/>
  <c r="D43" i="20"/>
  <c r="D41" i="20" s="1"/>
  <c r="F829" i="21"/>
  <c r="H830" i="21" s="1"/>
  <c r="G670" i="23"/>
  <c r="G647" i="23" s="1"/>
  <c r="G646" i="23" s="1"/>
  <c r="G645" i="23" s="1"/>
  <c r="G644" i="23" s="1"/>
  <c r="G836" i="21"/>
  <c r="E43" i="20" s="1"/>
  <c r="H711" i="23"/>
  <c r="E50" i="20"/>
  <c r="E49" i="20" s="1"/>
  <c r="G951" i="21"/>
  <c r="G1139" i="22"/>
  <c r="G109" i="23"/>
  <c r="G107" i="21"/>
  <c r="G106" i="21" s="1"/>
  <c r="E15" i="20" s="1"/>
  <c r="H803" i="22"/>
  <c r="H26" i="23"/>
  <c r="H508" i="23"/>
  <c r="H506" i="23"/>
  <c r="H505" i="23" s="1"/>
  <c r="D46" i="20"/>
  <c r="G644" i="21"/>
  <c r="G620" i="21" s="1"/>
  <c r="E35" i="20" s="1"/>
  <c r="G502" i="23"/>
  <c r="G218" i="22"/>
  <c r="G1119" i="22" s="1"/>
  <c r="H20" i="23"/>
  <c r="H19" i="23" s="1"/>
  <c r="H18" i="23" s="1"/>
  <c r="H17" i="23" s="1"/>
  <c r="H9" i="23" s="1"/>
  <c r="E74" i="19"/>
  <c r="E76" i="19" s="1"/>
  <c r="F885" i="21"/>
  <c r="H1047" i="22"/>
  <c r="H1046" i="22" s="1"/>
  <c r="G357" i="22"/>
  <c r="G1116" i="22" s="1"/>
  <c r="G1117" i="22" s="1"/>
  <c r="H304" i="22"/>
  <c r="H295" i="22" s="1"/>
  <c r="H294" i="22" s="1"/>
  <c r="H293" i="22" s="1"/>
  <c r="G191" i="22"/>
  <c r="H431" i="23"/>
  <c r="H430" i="23" s="1"/>
  <c r="H429" i="23" s="1"/>
  <c r="H109" i="23"/>
  <c r="G294" i="22"/>
  <c r="G293" i="22" s="1"/>
  <c r="G492" i="22"/>
  <c r="G491" i="22" s="1"/>
  <c r="G490" i="22" s="1"/>
  <c r="G489" i="22" s="1"/>
  <c r="G488" i="22" s="1"/>
  <c r="G1121" i="22"/>
  <c r="H889" i="22"/>
  <c r="G953" i="22"/>
  <c r="G874" i="22" s="1"/>
  <c r="G1110" i="22" s="1"/>
  <c r="G1111" i="22" s="1"/>
  <c r="H182" i="22"/>
  <c r="H174" i="22" s="1"/>
  <c r="H173" i="22" s="1"/>
  <c r="H172" i="22" s="1"/>
  <c r="H1106" i="22" s="1"/>
  <c r="H610" i="22"/>
  <c r="H609" i="22" s="1"/>
  <c r="G691" i="21"/>
  <c r="G690" i="21" s="1"/>
  <c r="G689" i="21" s="1"/>
  <c r="E36" i="20" s="1"/>
  <c r="G446" i="21"/>
  <c r="G445" i="21" s="1"/>
  <c r="G444" i="21" s="1"/>
  <c r="G443" i="21" s="1"/>
  <c r="E31" i="20" s="1"/>
  <c r="H79" i="22"/>
  <c r="H70" i="22" s="1"/>
  <c r="H53" i="22" s="1"/>
  <c r="G406" i="23"/>
  <c r="G1097" i="22"/>
  <c r="I1098" i="22" s="1"/>
  <c r="I32" i="21"/>
  <c r="G231" i="23"/>
  <c r="G230" i="23" s="1"/>
  <c r="G215" i="23" s="1"/>
  <c r="G9" i="23"/>
  <c r="D156" i="19"/>
  <c r="H1098" i="22" s="1"/>
  <c r="D32" i="20"/>
  <c r="G72" i="21"/>
  <c r="G63" i="21" s="1"/>
  <c r="G46" i="21" s="1"/>
  <c r="F136" i="21"/>
  <c r="D17" i="20" s="1"/>
  <c r="D40" i="20"/>
  <c r="D38" i="20" s="1"/>
  <c r="F741" i="21"/>
  <c r="H742" i="21" s="1"/>
  <c r="E45" i="20"/>
  <c r="G53" i="22"/>
  <c r="G52" i="22" s="1"/>
  <c r="G32" i="22" s="1"/>
  <c r="G795" i="23"/>
  <c r="H95" i="22"/>
  <c r="H94" i="22" s="1"/>
  <c r="F9" i="19"/>
  <c r="H1006" i="22"/>
  <c r="H1005" i="22" s="1"/>
  <c r="H1004" i="22" s="1"/>
  <c r="H1003" i="22" s="1"/>
  <c r="G923" i="21"/>
  <c r="E48" i="20" s="1"/>
  <c r="H47" i="23"/>
  <c r="H46" i="23" s="1"/>
  <c r="H45" i="23" s="1"/>
  <c r="H44" i="23" s="1"/>
  <c r="H43" i="23" s="1"/>
  <c r="H49" i="23"/>
  <c r="H550" i="22"/>
  <c r="G1109" i="22"/>
  <c r="G465" i="23"/>
  <c r="H444" i="23"/>
  <c r="H443" i="23" s="1"/>
  <c r="H442" i="23" s="1"/>
  <c r="H441" i="23" s="1"/>
  <c r="H440" i="23" s="1"/>
  <c r="H446" i="23"/>
  <c r="H1121" i="22"/>
  <c r="H235" i="22"/>
  <c r="H234" i="22" s="1"/>
  <c r="H218" i="22" s="1"/>
  <c r="H1119" i="22" s="1"/>
  <c r="G91" i="21"/>
  <c r="G90" i="21" s="1"/>
  <c r="G85" i="21" s="1"/>
  <c r="G317" i="21"/>
  <c r="G316" i="21" s="1"/>
  <c r="G315" i="21" s="1"/>
  <c r="E28" i="20" s="1"/>
  <c r="H558" i="23"/>
  <c r="H556" i="23"/>
  <c r="H555" i="23" s="1"/>
  <c r="H546" i="23" s="1"/>
  <c r="H545" i="23" s="1"/>
  <c r="H544" i="23" s="1"/>
  <c r="H580" i="23"/>
  <c r="H579" i="23" s="1"/>
  <c r="H578" i="23" s="1"/>
  <c r="H577" i="23" s="1"/>
  <c r="H576" i="23" s="1"/>
  <c r="H582" i="23"/>
  <c r="H488" i="22"/>
  <c r="H359" i="22"/>
  <c r="H358" i="22" s="1"/>
  <c r="G743" i="21"/>
  <c r="G742" i="21" s="1"/>
  <c r="E39" i="20" s="1"/>
  <c r="H1118" i="22"/>
  <c r="H38" i="23"/>
  <c r="H36" i="23"/>
  <c r="H35" i="23" s="1"/>
  <c r="H34" i="23" s="1"/>
  <c r="H33" i="23" s="1"/>
  <c r="H32" i="23" s="1"/>
  <c r="D157" i="19"/>
  <c r="H1095" i="22" s="1"/>
  <c r="F10" i="19"/>
  <c r="D155" i="19"/>
  <c r="D17" i="24" s="1"/>
  <c r="H477" i="23"/>
  <c r="H475" i="23"/>
  <c r="H468" i="23" s="1"/>
  <c r="H467" i="23" s="1"/>
  <c r="H466" i="23" s="1"/>
  <c r="H465" i="23" s="1"/>
  <c r="H524" i="23"/>
  <c r="H522" i="23"/>
  <c r="H518" i="23" s="1"/>
  <c r="H517" i="23" s="1"/>
  <c r="H516" i="23" s="1"/>
  <c r="H850" i="23"/>
  <c r="H849" i="23" s="1"/>
  <c r="H848" i="23" s="1"/>
  <c r="H847" i="23" s="1"/>
  <c r="H846" i="23" s="1"/>
  <c r="H852" i="23"/>
  <c r="H424" i="22"/>
  <c r="H423" i="22" s="1"/>
  <c r="H422" i="22" s="1"/>
  <c r="H411" i="22" s="1"/>
  <c r="H676" i="23"/>
  <c r="H674" i="23"/>
  <c r="H670" i="23" s="1"/>
  <c r="H227" i="23"/>
  <c r="H226" i="23" s="1"/>
  <c r="H229" i="23"/>
  <c r="H172" i="23"/>
  <c r="H170" i="23"/>
  <c r="H169" i="23" s="1"/>
  <c r="H160" i="23" s="1"/>
  <c r="G808" i="21"/>
  <c r="G807" i="21" s="1"/>
  <c r="G806" i="21" s="1"/>
  <c r="G795" i="21" s="1"/>
  <c r="G1133" i="22"/>
  <c r="F478" i="21"/>
  <c r="G567" i="21"/>
  <c r="G543" i="21" s="1"/>
  <c r="G542" i="21" s="1"/>
  <c r="E34" i="20" s="1"/>
  <c r="H790" i="23"/>
  <c r="H788" i="23"/>
  <c r="H787" i="23" s="1"/>
  <c r="H764" i="23" s="1"/>
  <c r="H763" i="23" s="1"/>
  <c r="H762" i="23" s="1"/>
  <c r="H761" i="23" s="1"/>
  <c r="G549" i="22"/>
  <c r="G548" i="22" s="1"/>
  <c r="G537" i="22" s="1"/>
  <c r="H223" i="23"/>
  <c r="H222" i="23" s="1"/>
  <c r="H225" i="23"/>
  <c r="G256" i="23"/>
  <c r="G255" i="23" s="1"/>
  <c r="H274" i="22"/>
  <c r="H273" i="22" s="1"/>
  <c r="H1132" i="22"/>
  <c r="H428" i="23"/>
  <c r="H426" i="23"/>
  <c r="H425" i="23" s="1"/>
  <c r="H416" i="23" s="1"/>
  <c r="H415" i="23" s="1"/>
  <c r="H414" i="23" s="1"/>
  <c r="G240" i="21"/>
  <c r="G232" i="21" s="1"/>
  <c r="G231" i="21" s="1"/>
  <c r="H247" i="23"/>
  <c r="H245" i="23"/>
  <c r="H244" i="23" s="1"/>
  <c r="G1131" i="22"/>
  <c r="G860" i="22"/>
  <c r="G853" i="22" s="1"/>
  <c r="H1138" i="22"/>
  <c r="H765" i="22"/>
  <c r="H375" i="23"/>
  <c r="H373" i="23"/>
  <c r="H378" i="23"/>
  <c r="H376" i="23"/>
  <c r="H1115" i="22"/>
  <c r="D12" i="20"/>
  <c r="G285" i="21"/>
  <c r="G284" i="21" s="1"/>
  <c r="G283" i="21" s="1"/>
  <c r="H214" i="23"/>
  <c r="H212" i="23"/>
  <c r="H211" i="23" s="1"/>
  <c r="H202" i="23" s="1"/>
  <c r="H456" i="23"/>
  <c r="H454" i="23"/>
  <c r="H450" i="23" s="1"/>
  <c r="H449" i="23" s="1"/>
  <c r="H448" i="23" s="1"/>
  <c r="H447" i="23" s="1"/>
  <c r="H207" i="22"/>
  <c r="F123" i="19"/>
  <c r="G480" i="21"/>
  <c r="G479" i="21" s="1"/>
  <c r="H771" i="22"/>
  <c r="G31" i="23"/>
  <c r="G32" i="23"/>
  <c r="H999" i="22"/>
  <c r="H998" i="22" s="1"/>
  <c r="H1112" i="22"/>
  <c r="H393" i="23"/>
  <c r="H391" i="23"/>
  <c r="H390" i="23" s="1"/>
  <c r="H389" i="23" s="1"/>
  <c r="H388" i="23" s="1"/>
  <c r="H387" i="23" s="1"/>
  <c r="H269" i="22"/>
  <c r="H268" i="22"/>
  <c r="H512" i="23"/>
  <c r="H510" i="23"/>
  <c r="H509" i="23" s="1"/>
  <c r="H235" i="23"/>
  <c r="H233" i="23"/>
  <c r="H232" i="23" s="1"/>
  <c r="G1145" i="22"/>
  <c r="H239" i="23"/>
  <c r="H237" i="23"/>
  <c r="H236" i="23" s="1"/>
  <c r="G438" i="21"/>
  <c r="G439" i="21"/>
  <c r="H106" i="22"/>
  <c r="H290" i="23"/>
  <c r="H288" i="23"/>
  <c r="H287" i="23" s="1"/>
  <c r="H286" i="23" s="1"/>
  <c r="H285" i="23" s="1"/>
  <c r="H284" i="23" s="1"/>
  <c r="G432" i="21"/>
  <c r="G431" i="21" s="1"/>
  <c r="G399" i="21" s="1"/>
  <c r="F431" i="21"/>
  <c r="F399" i="21" s="1"/>
  <c r="F393" i="21" s="1"/>
  <c r="D30" i="20" s="1"/>
  <c r="H82" i="23"/>
  <c r="H80" i="23"/>
  <c r="H79" i="23" s="1"/>
  <c r="H78" i="23" s="1"/>
  <c r="H77" i="23" s="1"/>
  <c r="H76" i="23" s="1"/>
  <c r="H68" i="23" s="1"/>
  <c r="H59" i="23"/>
  <c r="H57" i="23"/>
  <c r="H56" i="23" s="1"/>
  <c r="H1131" i="22"/>
  <c r="H860" i="22"/>
  <c r="H853" i="22" s="1"/>
  <c r="H860" i="23"/>
  <c r="H858" i="23"/>
  <c r="H857" i="23" s="1"/>
  <c r="H856" i="23" s="1"/>
  <c r="H855" i="23" s="1"/>
  <c r="H854" i="23" s="1"/>
  <c r="H853" i="23" s="1"/>
  <c r="H806" i="23"/>
  <c r="H804" i="23"/>
  <c r="H803" i="23" s="1"/>
  <c r="H798" i="23" s="1"/>
  <c r="H797" i="23" s="1"/>
  <c r="H796" i="23" s="1"/>
  <c r="H274" i="23"/>
  <c r="H272" i="23"/>
  <c r="H271" i="23" s="1"/>
  <c r="H270" i="23" s="1"/>
  <c r="H256" i="23" s="1"/>
  <c r="H255" i="23" s="1"/>
  <c r="G159" i="23"/>
  <c r="G158" i="23" s="1"/>
  <c r="G1132" i="22"/>
  <c r="H647" i="23" l="1"/>
  <c r="H646" i="23" s="1"/>
  <c r="H645" i="23" s="1"/>
  <c r="H644" i="23" s="1"/>
  <c r="F230" i="21"/>
  <c r="D26" i="20"/>
  <c r="D22" i="20" s="1"/>
  <c r="E10" i="19"/>
  <c r="D10" i="20"/>
  <c r="F8" i="21" s="1"/>
  <c r="C155" i="19"/>
  <c r="C17" i="24" s="1"/>
  <c r="G756" i="22"/>
  <c r="G332" i="21"/>
  <c r="G331" i="21" s="1"/>
  <c r="G330" i="21" s="1"/>
  <c r="G329" i="21" s="1"/>
  <c r="E29" i="20" s="1"/>
  <c r="F9" i="21"/>
  <c r="E41" i="20"/>
  <c r="G242" i="22"/>
  <c r="H7" i="21"/>
  <c r="I64" i="21"/>
  <c r="H1133" i="22"/>
  <c r="I13" i="21"/>
  <c r="G30" i="23"/>
  <c r="H89" i="22"/>
  <c r="H1135" i="22" s="1"/>
  <c r="G829" i="21"/>
  <c r="I830" i="21" s="1"/>
  <c r="H504" i="23"/>
  <c r="H503" i="23" s="1"/>
  <c r="H502" i="23" s="1"/>
  <c r="H464" i="23" s="1"/>
  <c r="L464" i="23" s="1"/>
  <c r="H764" i="22"/>
  <c r="H1122" i="22" s="1"/>
  <c r="H1123" i="22" s="1"/>
  <c r="G1120" i="22"/>
  <c r="D53" i="20"/>
  <c r="F122" i="19"/>
  <c r="H1120" i="22"/>
  <c r="G464" i="23"/>
  <c r="J464" i="23" s="1"/>
  <c r="I45" i="21"/>
  <c r="E53" i="20"/>
  <c r="H217" i="23"/>
  <c r="H216" i="23" s="1"/>
  <c r="D14" i="20"/>
  <c r="D11" i="20" s="1"/>
  <c r="G1099" i="22"/>
  <c r="G885" i="21"/>
  <c r="G1102" i="22"/>
  <c r="G1103" i="22" s="1"/>
  <c r="G31" i="22"/>
  <c r="H549" i="22"/>
  <c r="H548" i="22" s="1"/>
  <c r="H537" i="22" s="1"/>
  <c r="G140" i="23"/>
  <c r="H795" i="23"/>
  <c r="H159" i="23"/>
  <c r="H158" i="23" s="1"/>
  <c r="H357" i="22"/>
  <c r="H1116" i="22" s="1"/>
  <c r="H1117" i="22" s="1"/>
  <c r="G45" i="21"/>
  <c r="E46" i="20"/>
  <c r="H1139" i="22"/>
  <c r="H1104" i="22"/>
  <c r="E40" i="20"/>
  <c r="E38" i="20" s="1"/>
  <c r="G741" i="21"/>
  <c r="I742" i="21" s="1"/>
  <c r="H372" i="23"/>
  <c r="H371" i="23" s="1"/>
  <c r="H365" i="23" s="1"/>
  <c r="H364" i="23" s="1"/>
  <c r="H356" i="23" s="1"/>
  <c r="H406" i="23"/>
  <c r="G1113" i="22"/>
  <c r="G1114" i="22" s="1"/>
  <c r="D27" i="20"/>
  <c r="H231" i="23"/>
  <c r="H230" i="23" s="1"/>
  <c r="H244" i="22"/>
  <c r="H243" i="22" s="1"/>
  <c r="H1145" i="22"/>
  <c r="H1109" i="22"/>
  <c r="H206" i="22"/>
  <c r="H205" i="22" s="1"/>
  <c r="H191" i="22" s="1"/>
  <c r="H1107" i="22" s="1"/>
  <c r="H1097" i="22"/>
  <c r="E26" i="20"/>
  <c r="E22" i="20" s="1"/>
  <c r="G249" i="21"/>
  <c r="G1151" i="22"/>
  <c r="G895" i="23" s="1"/>
  <c r="H55" i="23"/>
  <c r="H54" i="23" s="1"/>
  <c r="H53" i="23"/>
  <c r="H31" i="23" s="1"/>
  <c r="H30" i="23" s="1"/>
  <c r="H1146" i="22"/>
  <c r="H953" i="22"/>
  <c r="H874" i="22" s="1"/>
  <c r="H1110" i="22" s="1"/>
  <c r="H1111" i="22" s="1"/>
  <c r="G478" i="21"/>
  <c r="E33" i="20"/>
  <c r="E32" i="20" s="1"/>
  <c r="G393" i="21"/>
  <c r="F314" i="21"/>
  <c r="G831" i="22"/>
  <c r="G1107" i="22"/>
  <c r="G1108" i="22" s="1"/>
  <c r="G230" i="21"/>
  <c r="E21" i="20"/>
  <c r="E20" i="20" s="1"/>
  <c r="G1230" i="4"/>
  <c r="H52" i="22" l="1"/>
  <c r="H45" i="21" s="1"/>
  <c r="I7" i="21"/>
  <c r="F970" i="21"/>
  <c r="D52" i="20" s="1"/>
  <c r="G893" i="23"/>
  <c r="G897" i="23" s="1"/>
  <c r="H756" i="22"/>
  <c r="H215" i="23"/>
  <c r="H1113" i="22"/>
  <c r="H1114" i="22" s="1"/>
  <c r="H242" i="22"/>
  <c r="G1094" i="22"/>
  <c r="D56" i="20" s="1"/>
  <c r="H140" i="23"/>
  <c r="H893" i="23" s="1"/>
  <c r="E14" i="20"/>
  <c r="E11" i="20" s="1"/>
  <c r="G9" i="21"/>
  <c r="H1108" i="22"/>
  <c r="H1151" i="22"/>
  <c r="H895" i="23" s="1"/>
  <c r="G1128" i="22"/>
  <c r="G1127" i="22"/>
  <c r="G1130" i="22" s="1"/>
  <c r="H831" i="22"/>
  <c r="H1099" i="22"/>
  <c r="J1098" i="22"/>
  <c r="E30" i="20"/>
  <c r="E27" i="20" s="1"/>
  <c r="G314" i="21"/>
  <c r="D51" i="20"/>
  <c r="G897" i="4"/>
  <c r="G898" i="4"/>
  <c r="H32" i="22" l="1"/>
  <c r="H31" i="22" s="1"/>
  <c r="H1094" i="22" s="1"/>
  <c r="G1096" i="22"/>
  <c r="E1095" i="22" s="1"/>
  <c r="E51" i="20"/>
  <c r="H1100" i="22" s="1"/>
  <c r="F971" i="21"/>
  <c r="F972" i="21" s="1"/>
  <c r="H897" i="23"/>
  <c r="C18" i="24"/>
  <c r="C19" i="24" s="1"/>
  <c r="C11" i="24" s="1"/>
  <c r="C10" i="24" s="1"/>
  <c r="G970" i="21"/>
  <c r="E52" i="20" s="1"/>
  <c r="G1129" i="22"/>
  <c r="G1100" i="22"/>
  <c r="D55" i="20"/>
  <c r="D58" i="20"/>
  <c r="H1102" i="22" l="1"/>
  <c r="H1103" i="22" s="1"/>
  <c r="H1128" i="22" s="1"/>
  <c r="L1128" i="22"/>
  <c r="E55" i="20"/>
  <c r="C13" i="24"/>
  <c r="C14" i="24" s="1"/>
  <c r="D18" i="24"/>
  <c r="D19" i="24" s="1"/>
  <c r="D11" i="24" s="1"/>
  <c r="H1096" i="22"/>
  <c r="L1095" i="22" s="1"/>
  <c r="G971" i="21"/>
  <c r="G972" i="21" s="1"/>
  <c r="E56" i="20"/>
  <c r="E58" i="20" s="1"/>
  <c r="G1186" i="4"/>
  <c r="G1185" i="4"/>
  <c r="H1127" i="22" l="1"/>
  <c r="C12" i="24"/>
  <c r="D12" i="24" s="1"/>
  <c r="D13" i="24"/>
  <c r="D14" i="24" s="1"/>
  <c r="M1128" i="22"/>
  <c r="D10" i="24"/>
  <c r="AL1260" i="4"/>
  <c r="T1254" i="4"/>
  <c r="G211" i="4"/>
  <c r="G210" i="4" s="1"/>
  <c r="H1130" i="22" l="1"/>
  <c r="L1130" i="22" s="1"/>
  <c r="H1129" i="22"/>
  <c r="C9" i="24"/>
  <c r="D9" i="24"/>
  <c r="G212" i="4"/>
  <c r="G209" i="4" s="1"/>
  <c r="F288" i="3"/>
  <c r="G944" i="5"/>
  <c r="G1260" i="4"/>
  <c r="G960" i="5"/>
  <c r="G959" i="5" l="1"/>
  <c r="G958" i="5" s="1"/>
  <c r="G957" i="5" s="1"/>
  <c r="G956" i="5" s="1"/>
  <c r="G955" i="5" s="1"/>
  <c r="G954" i="5" s="1"/>
  <c r="G1154" i="4" l="1"/>
  <c r="G1153" i="4" s="1"/>
  <c r="G1152" i="4" s="1"/>
  <c r="AK1260" i="4" l="1"/>
  <c r="G1146" i="4" l="1"/>
  <c r="F490" i="3" s="1"/>
  <c r="F489" i="3" s="1"/>
  <c r="F488" i="3" s="1"/>
  <c r="F487" i="3" s="1"/>
  <c r="G776" i="5" l="1"/>
  <c r="G775" i="5" s="1"/>
  <c r="G774" i="5" s="1"/>
  <c r="G773" i="5" s="1"/>
  <c r="G772" i="5" s="1"/>
  <c r="G771" i="5" s="1"/>
  <c r="G1145" i="4"/>
  <c r="G1144" i="4" s="1"/>
  <c r="G1143" i="4" s="1"/>
  <c r="L1259" i="4"/>
  <c r="AJ1260" i="4"/>
  <c r="G914" i="4"/>
  <c r="G509" i="5" s="1"/>
  <c r="F1052" i="3" l="1"/>
  <c r="F1051" i="3" s="1"/>
  <c r="F1050" i="3" s="1"/>
  <c r="F1049" i="3" s="1"/>
  <c r="G508" i="5" l="1"/>
  <c r="G507" i="5" s="1"/>
  <c r="C13" i="1"/>
  <c r="G913" i="4" l="1"/>
  <c r="G912" i="4" s="1"/>
  <c r="G911" i="4" s="1"/>
  <c r="G41" i="4" l="1"/>
  <c r="G1021" i="4" l="1"/>
  <c r="T1253" i="4" l="1"/>
  <c r="G1180" i="4" l="1"/>
  <c r="G1176" i="4"/>
  <c r="G341" i="4" l="1"/>
  <c r="K1266" i="4" l="1"/>
  <c r="M1259" i="4"/>
  <c r="F933" i="3" l="1"/>
  <c r="F932" i="3" s="1"/>
  <c r="F931" i="3" s="1"/>
  <c r="F930" i="3" s="1"/>
  <c r="F835" i="3"/>
  <c r="F834" i="3" s="1"/>
  <c r="F833" i="3" s="1"/>
  <c r="G438" i="4"/>
  <c r="G394" i="4" l="1"/>
  <c r="G393" i="4" s="1"/>
  <c r="G392" i="4" s="1"/>
  <c r="G391" i="4" s="1"/>
  <c r="G474" i="4"/>
  <c r="G473" i="4" s="1"/>
  <c r="G472" i="4" s="1"/>
  <c r="G852" i="4" l="1"/>
  <c r="G865" i="4" l="1"/>
  <c r="AI1260" i="4" l="1"/>
  <c r="G943" i="5"/>
  <c r="G942" i="5" s="1"/>
  <c r="G208" i="4"/>
  <c r="F287" i="3" l="1"/>
  <c r="F286" i="3" s="1"/>
  <c r="G945" i="5"/>
  <c r="F524" i="3" l="1"/>
  <c r="F523" i="3" l="1"/>
  <c r="C113" i="1" l="1"/>
  <c r="G220" i="4"/>
  <c r="G890" i="4" l="1"/>
  <c r="C149" i="1" l="1"/>
  <c r="G620" i="4"/>
  <c r="F838" i="3" l="1"/>
  <c r="F837" i="3" s="1"/>
  <c r="G851" i="4"/>
  <c r="G1222" i="4" l="1"/>
  <c r="AH1260" i="4" l="1"/>
  <c r="G1141" i="4" l="1"/>
  <c r="G1140" i="4" s="1"/>
  <c r="G1139" i="4" s="1"/>
  <c r="G658" i="5"/>
  <c r="G659" i="5" s="1"/>
  <c r="F897" i="3"/>
  <c r="F896" i="3" s="1"/>
  <c r="F895" i="3" s="1"/>
  <c r="F894" i="3" s="1"/>
  <c r="F486" i="3" l="1"/>
  <c r="F485" i="3" s="1"/>
  <c r="F484" i="3" s="1"/>
  <c r="F483" i="3" s="1"/>
  <c r="G769" i="5"/>
  <c r="G657" i="5"/>
  <c r="G656" i="5" s="1"/>
  <c r="G655" i="5" s="1"/>
  <c r="G654" i="5" s="1"/>
  <c r="G653" i="5" s="1"/>
  <c r="G437" i="4"/>
  <c r="G436" i="4" s="1"/>
  <c r="G435" i="4" s="1"/>
  <c r="G770" i="5" l="1"/>
  <c r="G768" i="5"/>
  <c r="G767" i="5" s="1"/>
  <c r="G766" i="5" s="1"/>
  <c r="G765" i="5" s="1"/>
  <c r="G764" i="5" s="1"/>
  <c r="G687" i="4" l="1"/>
  <c r="G686" i="4" s="1"/>
  <c r="G685" i="4" s="1"/>
  <c r="G684" i="4" s="1"/>
  <c r="AG1260" i="4" l="1"/>
  <c r="G372" i="5"/>
  <c r="G371" i="5" s="1"/>
  <c r="G370" i="5" l="1"/>
  <c r="G369" i="5" s="1"/>
  <c r="G368" i="5" s="1"/>
  <c r="G367" i="5" s="1"/>
  <c r="F602" i="3"/>
  <c r="F601" i="3" s="1"/>
  <c r="G373" i="5"/>
  <c r="F600" i="3" l="1"/>
  <c r="F599" i="3" s="1"/>
  <c r="C120" i="1" l="1"/>
  <c r="G940" i="5" l="1"/>
  <c r="F285" i="3"/>
  <c r="F284" i="3" s="1"/>
  <c r="F283" i="3" s="1"/>
  <c r="F282" i="3" s="1"/>
  <c r="F281" i="3" s="1"/>
  <c r="G207" i="4"/>
  <c r="G206" i="4" s="1"/>
  <c r="G205" i="4" l="1"/>
  <c r="G204" i="4" s="1"/>
  <c r="AF1260" i="4"/>
  <c r="AE1260" i="4"/>
  <c r="G682" i="4"/>
  <c r="G681" i="4" s="1"/>
  <c r="G680" i="4" s="1"/>
  <c r="F685" i="3"/>
  <c r="F684" i="3" s="1"/>
  <c r="F683" i="3" s="1"/>
  <c r="F682" i="3" s="1"/>
  <c r="G360" i="5" l="1"/>
  <c r="G359" i="5" s="1"/>
  <c r="G358" i="5" s="1"/>
  <c r="G357" i="5" s="1"/>
  <c r="F598" i="3"/>
  <c r="F597" i="3" s="1"/>
  <c r="F596" i="3" s="1"/>
  <c r="F595" i="3" s="1"/>
  <c r="G365" i="5"/>
  <c r="G364" i="5" s="1"/>
  <c r="G363" i="5" s="1"/>
  <c r="G362" i="5" s="1"/>
  <c r="G769" i="4"/>
  <c r="G768" i="4" s="1"/>
  <c r="G767" i="4" s="1"/>
  <c r="C162" i="1"/>
  <c r="G356" i="5" l="1"/>
  <c r="G355" i="5" s="1"/>
  <c r="G361" i="5"/>
  <c r="G366" i="5"/>
  <c r="G939" i="5" l="1"/>
  <c r="G938" i="5" s="1"/>
  <c r="G937" i="5" l="1"/>
  <c r="G936" i="5" s="1"/>
  <c r="G935" i="5" s="1"/>
  <c r="G941" i="5"/>
  <c r="G1125" i="4" l="1"/>
  <c r="G292" i="4"/>
  <c r="G197" i="4"/>
  <c r="G1151" i="4" l="1"/>
  <c r="G1150" i="4" s="1"/>
  <c r="G1149" i="4" s="1"/>
  <c r="G1148" i="4" s="1"/>
  <c r="G1147" i="4" s="1"/>
  <c r="C148" i="1" l="1"/>
  <c r="AD1259" i="4" l="1"/>
  <c r="AC1259" i="4"/>
  <c r="AB1260" i="4"/>
  <c r="Z1259" i="4"/>
  <c r="AC1260" i="4" l="1"/>
  <c r="AD1260" i="4"/>
  <c r="K1268" i="4"/>
  <c r="G270" i="4"/>
  <c r="AA1265" i="4"/>
  <c r="Z1265" i="4"/>
  <c r="Y1265" i="4"/>
  <c r="X1265" i="4"/>
  <c r="W1265" i="4"/>
  <c r="V1265" i="4"/>
  <c r="AA1260" i="4"/>
  <c r="Z1260" i="4"/>
  <c r="Y1260" i="4"/>
  <c r="X1260" i="4"/>
  <c r="W1260" i="4"/>
  <c r="R1260" i="4"/>
  <c r="Q1260" i="4"/>
  <c r="P1260" i="4"/>
  <c r="O1260" i="4"/>
  <c r="N1260" i="4"/>
  <c r="M1260" i="4"/>
  <c r="L1260" i="4"/>
  <c r="K1260" i="4"/>
  <c r="P1252" i="4"/>
  <c r="L1252" i="4"/>
  <c r="K1252" i="4"/>
  <c r="S1250" i="4"/>
  <c r="Q1250" i="4"/>
  <c r="P1250" i="4"/>
  <c r="O1250" i="4"/>
  <c r="N1250" i="4"/>
  <c r="M1250" i="4"/>
  <c r="L1250" i="4"/>
  <c r="R1250" i="4"/>
  <c r="T1248" i="4"/>
  <c r="T1250" i="4" s="1"/>
  <c r="K1248" i="4"/>
  <c r="K1250" i="4" s="1"/>
  <c r="U1250" i="4" l="1"/>
  <c r="G111" i="5"/>
  <c r="F210" i="3"/>
  <c r="F209" i="3" s="1"/>
  <c r="F208" i="3" s="1"/>
  <c r="G269" i="4"/>
  <c r="G268" i="4" s="1"/>
  <c r="G112" i="5" l="1"/>
  <c r="G110" i="5"/>
  <c r="G109" i="5" s="1"/>
  <c r="G353" i="5"/>
  <c r="G352" i="5" s="1"/>
  <c r="G351" i="5" s="1"/>
  <c r="F681" i="3"/>
  <c r="F680" i="3" s="1"/>
  <c r="F679" i="3" s="1"/>
  <c r="F678" i="3" s="1"/>
  <c r="G350" i="5" l="1"/>
  <c r="G349" i="5" s="1"/>
  <c r="G348" i="5" s="1"/>
  <c r="G354" i="5" s="1"/>
  <c r="G765" i="4" l="1"/>
  <c r="G764" i="4" s="1"/>
  <c r="G763" i="4" s="1"/>
  <c r="V1259" i="4" l="1"/>
  <c r="AN1259" i="4" l="1"/>
  <c r="AP1259" i="4" s="1"/>
  <c r="V1260" i="4"/>
  <c r="G362" i="4" l="1"/>
  <c r="F368" i="3" l="1"/>
  <c r="F367" i="3" s="1"/>
  <c r="F366" i="3" s="1"/>
  <c r="C176" i="1"/>
  <c r="C175" i="1" s="1"/>
  <c r="G910" i="4"/>
  <c r="G676" i="4"/>
  <c r="G746" i="4"/>
  <c r="G96" i="4"/>
  <c r="G94" i="4"/>
  <c r="G645" i="4"/>
  <c r="G810" i="4"/>
  <c r="G692" i="4"/>
  <c r="G611" i="4"/>
  <c r="G119" i="5"/>
  <c r="G120" i="5" s="1"/>
  <c r="F979" i="3"/>
  <c r="F978" i="3" s="1"/>
  <c r="G514" i="4"/>
  <c r="G521" i="4"/>
  <c r="G107" i="4"/>
  <c r="G188" i="4"/>
  <c r="G101" i="4"/>
  <c r="G1023" i="4" l="1"/>
  <c r="G1022" i="4" s="1"/>
  <c r="G118" i="5"/>
  <c r="C154" i="1" l="1"/>
  <c r="C151" i="1" s="1"/>
  <c r="C112" i="1"/>
  <c r="C104" i="1" s="1"/>
  <c r="D55" i="12" l="1"/>
  <c r="H370" i="15" l="1"/>
  <c r="G370" i="15"/>
  <c r="F313" i="14"/>
  <c r="F312" i="14" s="1"/>
  <c r="F311" i="14" s="1"/>
  <c r="F310" i="14" s="1"/>
  <c r="F309" i="14" s="1"/>
  <c r="G216" i="15"/>
  <c r="G215" i="15" s="1"/>
  <c r="G214" i="15" s="1"/>
  <c r="G213" i="15" s="1"/>
  <c r="F898" i="14"/>
  <c r="F897" i="14" s="1"/>
  <c r="F896" i="14" s="1"/>
  <c r="G776" i="15"/>
  <c r="G775" i="15" s="1"/>
  <c r="G428" i="5" l="1"/>
  <c r="G427" i="5" s="1"/>
  <c r="G426" i="5" s="1"/>
  <c r="G429" i="5" l="1"/>
  <c r="F520" i="3" l="1"/>
  <c r="F519" i="3" s="1"/>
  <c r="G1175" i="4"/>
  <c r="G91" i="4" l="1"/>
  <c r="G89" i="4"/>
  <c r="G232" i="4"/>
  <c r="G230" i="4"/>
  <c r="G258" i="4"/>
  <c r="G256" i="4"/>
  <c r="G918" i="4"/>
  <c r="G550" i="4" l="1"/>
  <c r="G19" i="17" l="1"/>
  <c r="G18" i="17" s="1"/>
  <c r="G17" i="17" s="1"/>
  <c r="G16" i="17" s="1"/>
  <c r="G15" i="17" s="1"/>
  <c r="G20" i="17" s="1"/>
  <c r="G15" i="6"/>
  <c r="G14" i="6" s="1"/>
  <c r="G13" i="6" s="1"/>
  <c r="G12" i="6" s="1"/>
  <c r="G11" i="6" s="1"/>
  <c r="G16" i="6" s="1"/>
  <c r="H672" i="15" l="1"/>
  <c r="G672" i="15"/>
  <c r="G758" i="4" l="1"/>
  <c r="G680" i="15"/>
  <c r="H680" i="15"/>
  <c r="G713" i="14" l="1"/>
  <c r="F713" i="14"/>
  <c r="G598" i="14"/>
  <c r="F598" i="14"/>
  <c r="F594" i="14"/>
  <c r="G590" i="14"/>
  <c r="F590" i="14"/>
  <c r="F715" i="3" l="1"/>
  <c r="F714" i="3" s="1"/>
  <c r="F713" i="3" s="1"/>
  <c r="G171" i="5"/>
  <c r="G170" i="5" s="1"/>
  <c r="G169" i="5" s="1"/>
  <c r="G172" i="5" s="1"/>
  <c r="G799" i="4"/>
  <c r="G798" i="4" s="1"/>
  <c r="S1260" i="4" s="1"/>
  <c r="S1258" i="4" l="1"/>
  <c r="G591" i="15"/>
  <c r="G284" i="15"/>
  <c r="H197" i="15"/>
  <c r="G197" i="15"/>
  <c r="G392" i="15"/>
  <c r="G48" i="15" l="1"/>
  <c r="G754" i="4"/>
  <c r="F594" i="3"/>
  <c r="G672" i="4"/>
  <c r="G750" i="4"/>
  <c r="G434" i="4"/>
  <c r="F677" i="3" l="1"/>
  <c r="F27" i="3"/>
  <c r="F26" i="3" s="1"/>
  <c r="F25" i="3" s="1"/>
  <c r="F24" i="3" s="1"/>
  <c r="F161" i="3"/>
  <c r="H869" i="15" l="1"/>
  <c r="C101" i="12" l="1"/>
  <c r="D105" i="12"/>
  <c r="D101" i="12" s="1"/>
  <c r="G373" i="15" l="1"/>
  <c r="G310" i="15"/>
  <c r="H452" i="15" l="1"/>
  <c r="AA1097" i="15"/>
  <c r="AA1096" i="15" s="1"/>
  <c r="G452" i="15"/>
  <c r="Q1097" i="15"/>
  <c r="Q1096" i="15" s="1"/>
  <c r="AG1097" i="15"/>
  <c r="W1097" i="15"/>
  <c r="AC1097" i="15"/>
  <c r="S1097" i="15"/>
  <c r="AD1097" i="15" l="1"/>
  <c r="F448" i="3" l="1"/>
  <c r="F868" i="3"/>
  <c r="F867" i="3" s="1"/>
  <c r="F866" i="3" s="1"/>
  <c r="F752" i="3"/>
  <c r="F751" i="3" s="1"/>
  <c r="F750" i="3" s="1"/>
  <c r="G554" i="5"/>
  <c r="G553" i="5" s="1"/>
  <c r="G552" i="5" s="1"/>
  <c r="G555" i="5" s="1"/>
  <c r="G538" i="5"/>
  <c r="G537" i="5" s="1"/>
  <c r="G536" i="5" s="1"/>
  <c r="G539" i="5" s="1"/>
  <c r="G333" i="4"/>
  <c r="G332" i="4" s="1"/>
  <c r="G408" i="4"/>
  <c r="G407" i="4" s="1"/>
  <c r="U1260" i="4" s="1"/>
  <c r="U1258" i="4" s="1"/>
  <c r="D158" i="1"/>
  <c r="T1260" i="4" l="1"/>
  <c r="AN1260" i="4" s="1"/>
  <c r="G212" i="15"/>
  <c r="G83" i="15"/>
  <c r="C157" i="1"/>
  <c r="T1258" i="4" l="1"/>
  <c r="H342" i="16"/>
  <c r="H343" i="16" s="1"/>
  <c r="G342" i="16"/>
  <c r="G341" i="16" s="1"/>
  <c r="G340" i="16" s="1"/>
  <c r="G339" i="16" s="1"/>
  <c r="G338" i="16" s="1"/>
  <c r="G337" i="16" s="1"/>
  <c r="G609" i="14"/>
  <c r="G608" i="14" s="1"/>
  <c r="G607" i="14" s="1"/>
  <c r="G606" i="14" s="1"/>
  <c r="F609" i="14"/>
  <c r="F608" i="14" s="1"/>
  <c r="F607" i="14" s="1"/>
  <c r="F606" i="14" s="1"/>
  <c r="H679" i="15"/>
  <c r="H678" i="15" s="1"/>
  <c r="H677" i="15" s="1"/>
  <c r="G679" i="15"/>
  <c r="G678" i="15" s="1"/>
  <c r="G677" i="15" s="1"/>
  <c r="D84" i="12"/>
  <c r="C84" i="12"/>
  <c r="AN1258" i="4" l="1"/>
  <c r="H341" i="16"/>
  <c r="H340" i="16" s="1"/>
  <c r="H339" i="16" s="1"/>
  <c r="H338" i="16" s="1"/>
  <c r="H337" i="16" s="1"/>
  <c r="G343" i="16"/>
  <c r="D94" i="1" l="1"/>
  <c r="F693" i="3" l="1"/>
  <c r="F692" i="3" s="1"/>
  <c r="F691" i="3" s="1"/>
  <c r="F690" i="3" s="1"/>
  <c r="D86" i="1"/>
  <c r="G393" i="5"/>
  <c r="G392" i="5" s="1"/>
  <c r="G391" i="5" s="1"/>
  <c r="G390" i="5" s="1"/>
  <c r="G389" i="5" s="1"/>
  <c r="G388" i="5" s="1"/>
  <c r="G394" i="5" s="1"/>
  <c r="G777" i="4"/>
  <c r="G776" i="4" s="1"/>
  <c r="C85" i="1"/>
  <c r="D84" i="1"/>
  <c r="C83" i="1"/>
  <c r="D79" i="12"/>
  <c r="C79" i="12"/>
  <c r="G775" i="4" l="1"/>
  <c r="D96" i="1"/>
  <c r="C80" i="1" l="1"/>
  <c r="G1093" i="4" l="1"/>
  <c r="G1060" i="4"/>
  <c r="G25" i="16" l="1"/>
  <c r="H26" i="17" l="1"/>
  <c r="G26" i="17"/>
  <c r="G32" i="17"/>
  <c r="G403" i="14" l="1"/>
  <c r="G402" i="14" s="1"/>
  <c r="G401" i="14" s="1"/>
  <c r="G400" i="14" s="1"/>
  <c r="F403" i="14"/>
  <c r="F402" i="14" s="1"/>
  <c r="F401" i="14" s="1"/>
  <c r="F400" i="14" s="1"/>
  <c r="G917" i="14"/>
  <c r="G916" i="14" s="1"/>
  <c r="G915" i="14" s="1"/>
  <c r="G914" i="14" s="1"/>
  <c r="G913" i="14" s="1"/>
  <c r="F917" i="14"/>
  <c r="F916" i="14" s="1"/>
  <c r="F915" i="14" s="1"/>
  <c r="F914" i="14" s="1"/>
  <c r="F913" i="14" s="1"/>
  <c r="G828" i="14"/>
  <c r="G827" i="14" s="1"/>
  <c r="G826" i="14" s="1"/>
  <c r="G825" i="14" s="1"/>
  <c r="G824" i="14" s="1"/>
  <c r="F828" i="14"/>
  <c r="F827" i="14" s="1"/>
  <c r="F826" i="14" s="1"/>
  <c r="F824" i="14" s="1"/>
  <c r="G680" i="14"/>
  <c r="G679" i="14" s="1"/>
  <c r="G678" i="14" s="1"/>
  <c r="G676" i="14" s="1"/>
  <c r="F680" i="14"/>
  <c r="F679" i="14" s="1"/>
  <c r="F678" i="14" s="1"/>
  <c r="F676" i="14" s="1"/>
  <c r="G536" i="14"/>
  <c r="G535" i="14" s="1"/>
  <c r="G534" i="14" s="1"/>
  <c r="G533" i="14" s="1"/>
  <c r="G532" i="14" s="1"/>
  <c r="F536" i="14"/>
  <c r="F535" i="14" s="1"/>
  <c r="F534" i="14" s="1"/>
  <c r="F533" i="14" s="1"/>
  <c r="F532" i="14" s="1"/>
  <c r="G181" i="14"/>
  <c r="G180" i="14" s="1"/>
  <c r="G179" i="14" s="1"/>
  <c r="G177" i="14" s="1"/>
  <c r="F181" i="14"/>
  <c r="F180" i="14" s="1"/>
  <c r="F179" i="14" s="1"/>
  <c r="F177" i="14" s="1"/>
  <c r="F960" i="3"/>
  <c r="F959" i="3" s="1"/>
  <c r="F958" i="3" s="1"/>
  <c r="F956" i="3" s="1"/>
  <c r="F780" i="3"/>
  <c r="F777" i="3" s="1"/>
  <c r="H625" i="16"/>
  <c r="H624" i="16" s="1"/>
  <c r="H623" i="16" s="1"/>
  <c r="G625" i="16"/>
  <c r="G626" i="16" s="1"/>
  <c r="H603" i="16"/>
  <c r="H602" i="16" s="1"/>
  <c r="H601" i="16" s="1"/>
  <c r="H600" i="16" s="1"/>
  <c r="H599" i="16" s="1"/>
  <c r="G603" i="16"/>
  <c r="G602" i="16" s="1"/>
  <c r="G601" i="16" s="1"/>
  <c r="G600" i="16" s="1"/>
  <c r="G599" i="16" s="1"/>
  <c r="H642" i="16"/>
  <c r="G642" i="16"/>
  <c r="H636" i="16"/>
  <c r="G636" i="16"/>
  <c r="H796" i="15"/>
  <c r="H795" i="15" s="1"/>
  <c r="H794" i="15" s="1"/>
  <c r="H793" i="15" s="1"/>
  <c r="G796" i="15"/>
  <c r="G795" i="15" s="1"/>
  <c r="G794" i="15" s="1"/>
  <c r="G793" i="15" s="1"/>
  <c r="H443" i="15"/>
  <c r="H442" i="15" s="1"/>
  <c r="H441" i="15" s="1"/>
  <c r="H440" i="15" s="1"/>
  <c r="G443" i="15"/>
  <c r="G442" i="15" s="1"/>
  <c r="G440" i="15" s="1"/>
  <c r="G441" i="15"/>
  <c r="H144" i="15"/>
  <c r="H143" i="15" s="1"/>
  <c r="H141" i="15" s="1"/>
  <c r="G144" i="15"/>
  <c r="G143" i="15" s="1"/>
  <c r="G141" i="15" s="1"/>
  <c r="H142" i="15"/>
  <c r="G142" i="15"/>
  <c r="H330" i="15"/>
  <c r="H329" i="15" s="1"/>
  <c r="H327" i="15" s="1"/>
  <c r="H328" i="15"/>
  <c r="G330" i="15"/>
  <c r="G329" i="15" s="1"/>
  <c r="G327" i="15" s="1"/>
  <c r="G328" i="15"/>
  <c r="H684" i="15"/>
  <c r="H683" i="15" s="1"/>
  <c r="G684" i="15"/>
  <c r="G683" i="15" s="1"/>
  <c r="H602" i="15"/>
  <c r="H601" i="15" s="1"/>
  <c r="G602" i="15"/>
  <c r="G601" i="15" s="1"/>
  <c r="G691" i="5"/>
  <c r="G692" i="5" s="1"/>
  <c r="G697" i="5"/>
  <c r="G696" i="5" s="1"/>
  <c r="G695" i="5" s="1"/>
  <c r="G698" i="5" s="1"/>
  <c r="G501" i="4"/>
  <c r="G500" i="4" s="1"/>
  <c r="G498" i="4" s="1"/>
  <c r="G499" i="4"/>
  <c r="G361" i="4"/>
  <c r="G360" i="4" s="1"/>
  <c r="G358" i="4" s="1"/>
  <c r="G359" i="4"/>
  <c r="H962" i="15"/>
  <c r="H961" i="15" s="1"/>
  <c r="H960" i="15" s="1"/>
  <c r="G962" i="15"/>
  <c r="G961" i="15" s="1"/>
  <c r="G960" i="15" s="1"/>
  <c r="H604" i="16" l="1"/>
  <c r="H622" i="16"/>
  <c r="H626" i="16"/>
  <c r="G604" i="16"/>
  <c r="F677" i="14"/>
  <c r="F825" i="14"/>
  <c r="G677" i="14"/>
  <c r="G178" i="14"/>
  <c r="F178" i="14"/>
  <c r="F957" i="3"/>
  <c r="F779" i="3"/>
  <c r="F778" i="3" s="1"/>
  <c r="F776" i="3" s="1"/>
  <c r="G624" i="16"/>
  <c r="G623" i="16" s="1"/>
  <c r="G622" i="16" s="1"/>
  <c r="G635" i="16"/>
  <c r="G634" i="16" s="1"/>
  <c r="H635" i="16"/>
  <c r="H634" i="16" s="1"/>
  <c r="G633" i="16" l="1"/>
  <c r="G637" i="16"/>
  <c r="H633" i="16"/>
  <c r="H637" i="16"/>
  <c r="G346" i="5" l="1"/>
  <c r="G345" i="5" s="1"/>
  <c r="G344" i="5" s="1"/>
  <c r="G343" i="5" s="1"/>
  <c r="H46" i="14"/>
  <c r="F768" i="14"/>
  <c r="G871" i="14"/>
  <c r="G870" i="14" s="1"/>
  <c r="G869" i="14" s="1"/>
  <c r="G868" i="14" s="1"/>
  <c r="G867" i="14" s="1"/>
  <c r="G866" i="14" s="1"/>
  <c r="F871" i="14"/>
  <c r="F870" i="14" s="1"/>
  <c r="F869" i="14" s="1"/>
  <c r="F868" i="14" s="1"/>
  <c r="F867" i="14" s="1"/>
  <c r="F866" i="14" s="1"/>
  <c r="D44" i="13" l="1"/>
  <c r="E44" i="13"/>
  <c r="G342" i="5"/>
  <c r="G341" i="5" s="1"/>
  <c r="G347" i="5"/>
  <c r="F597" i="14"/>
  <c r="F596" i="14" s="1"/>
  <c r="F600" i="14"/>
  <c r="F599" i="14" s="1"/>
  <c r="G600" i="14"/>
  <c r="G599" i="14" s="1"/>
  <c r="F595" i="14" l="1"/>
  <c r="F885" i="3"/>
  <c r="F673" i="3"/>
  <c r="F447" i="3"/>
  <c r="F446" i="3" s="1"/>
  <c r="F445" i="3" s="1"/>
  <c r="F676" i="3"/>
  <c r="F675" i="3" s="1"/>
  <c r="F674" i="3" s="1"/>
  <c r="D98" i="1" l="1"/>
  <c r="D100" i="1"/>
  <c r="C135" i="12"/>
  <c r="D126" i="12"/>
  <c r="G210" i="15"/>
  <c r="D156" i="1"/>
  <c r="H667" i="15"/>
  <c r="H666" i="15" s="1"/>
  <c r="G667" i="15"/>
  <c r="G666" i="15" s="1"/>
  <c r="G664" i="15"/>
  <c r="G663" i="15" s="1"/>
  <c r="D118" i="1"/>
  <c r="C101" i="1"/>
  <c r="E96" i="1"/>
  <c r="D114" i="1"/>
  <c r="G761" i="4"/>
  <c r="G760" i="4" s="1"/>
  <c r="G759" i="4" s="1"/>
  <c r="G662" i="15" l="1"/>
  <c r="G1103" i="4"/>
  <c r="G1102" i="4" s="1"/>
  <c r="G1101" i="4" s="1"/>
  <c r="G711" i="5"/>
  <c r="G710" i="5" s="1"/>
  <c r="G709" i="5" s="1"/>
  <c r="D102" i="1"/>
  <c r="G712" i="5" l="1"/>
  <c r="G708" i="5"/>
  <c r="G707" i="5" s="1"/>
  <c r="G369" i="16" l="1"/>
  <c r="G368" i="16" s="1"/>
  <c r="G367" i="16" s="1"/>
  <c r="G366" i="16" s="1"/>
  <c r="G416" i="5"/>
  <c r="G415" i="5" s="1"/>
  <c r="G370" i="16" l="1"/>
  <c r="G414" i="5"/>
  <c r="G417" i="5" l="1"/>
  <c r="G413" i="5"/>
  <c r="D136" i="12" l="1"/>
  <c r="D137" i="12"/>
  <c r="D138" i="12"/>
  <c r="D144" i="12"/>
  <c r="D143" i="12" s="1"/>
  <c r="C144" i="12"/>
  <c r="C143" i="12" s="1"/>
  <c r="D135" i="12" l="1"/>
  <c r="H180" i="16"/>
  <c r="H179" i="16" s="1"/>
  <c r="H178" i="16" s="1"/>
  <c r="H181" i="16" s="1"/>
  <c r="G180" i="16"/>
  <c r="G179" i="16" s="1"/>
  <c r="G178" i="16" s="1"/>
  <c r="G181" i="16" s="1"/>
  <c r="H328" i="16"/>
  <c r="H327" i="16" s="1"/>
  <c r="H326" i="16" s="1"/>
  <c r="H325" i="16" s="1"/>
  <c r="H324" i="16" s="1"/>
  <c r="H323" i="16" s="1"/>
  <c r="H329" i="16" s="1"/>
  <c r="G328" i="16"/>
  <c r="G327" i="16" s="1"/>
  <c r="G326" i="16" s="1"/>
  <c r="G325" i="16" s="1"/>
  <c r="G324" i="16" s="1"/>
  <c r="G323" i="16" s="1"/>
  <c r="G329" i="16" s="1"/>
  <c r="G195" i="5"/>
  <c r="G194" i="5" s="1"/>
  <c r="G193" i="5" s="1"/>
  <c r="G196" i="5" s="1"/>
  <c r="D165" i="1" l="1"/>
  <c r="D145" i="1"/>
  <c r="D116" i="1"/>
  <c r="D92" i="1"/>
  <c r="F28" i="14" l="1"/>
  <c r="F27" i="14" s="1"/>
  <c r="F26" i="14" s="1"/>
  <c r="F25" i="14"/>
  <c r="G551" i="14"/>
  <c r="G550" i="14" s="1"/>
  <c r="G549" i="14" s="1"/>
  <c r="F551" i="14"/>
  <c r="F550" i="14" s="1"/>
  <c r="F549" i="14" s="1"/>
  <c r="F672" i="3" l="1"/>
  <c r="F671" i="3" s="1"/>
  <c r="F670" i="3" s="1"/>
  <c r="F622" i="3"/>
  <c r="F621" i="3" s="1"/>
  <c r="F620" i="3" s="1"/>
  <c r="F160" i="3"/>
  <c r="F159" i="3" s="1"/>
  <c r="F158" i="3" s="1"/>
  <c r="F157" i="3" s="1"/>
  <c r="F156" i="3" s="1"/>
  <c r="D15" i="2" s="1"/>
  <c r="H617" i="15"/>
  <c r="H616" i="15" s="1"/>
  <c r="G617" i="15"/>
  <c r="G616" i="15" s="1"/>
  <c r="G671" i="15" l="1"/>
  <c r="G670" i="15" s="1"/>
  <c r="G669" i="15" s="1"/>
  <c r="F605" i="14"/>
  <c r="F604" i="14" s="1"/>
  <c r="F603" i="14" s="1"/>
  <c r="F602" i="14" s="1"/>
  <c r="H671" i="15"/>
  <c r="H670" i="15" s="1"/>
  <c r="H669" i="15" s="1"/>
  <c r="G605" i="14"/>
  <c r="G604" i="14" s="1"/>
  <c r="G603" i="14" s="1"/>
  <c r="G602" i="14" s="1"/>
  <c r="G439" i="15" l="1"/>
  <c r="G132" i="16" s="1"/>
  <c r="G31" i="4" l="1"/>
  <c r="G30" i="4" s="1"/>
  <c r="G29" i="4" s="1"/>
  <c r="G28" i="4" s="1"/>
  <c r="G27" i="4" s="1"/>
  <c r="G50" i="15"/>
  <c r="G49" i="15" s="1"/>
  <c r="H48" i="15"/>
  <c r="G47" i="15"/>
  <c r="G46" i="15" s="1"/>
  <c r="H38" i="15"/>
  <c r="H47" i="15" l="1"/>
  <c r="H46" i="15" s="1"/>
  <c r="H370" i="16"/>
  <c r="H369" i="16" s="1"/>
  <c r="H368" i="16" s="1"/>
  <c r="H367" i="16" s="1"/>
  <c r="H366" i="16" s="1"/>
  <c r="G25" i="14"/>
  <c r="G45" i="15"/>
  <c r="G44" i="15" s="1"/>
  <c r="G52" i="4"/>
  <c r="G51" i="4" s="1"/>
  <c r="G50" i="4" s="1"/>
  <c r="G28" i="14" l="1"/>
  <c r="G27" i="14" s="1"/>
  <c r="G26" i="14" s="1"/>
  <c r="D111" i="1"/>
  <c r="D109" i="1" s="1"/>
  <c r="H50" i="15"/>
  <c r="H49" i="15" s="1"/>
  <c r="H45" i="15" s="1"/>
  <c r="H44" i="15" s="1"/>
  <c r="G49" i="4" l="1"/>
  <c r="G706" i="4"/>
  <c r="G705" i="4" s="1"/>
  <c r="C164" i="1"/>
  <c r="G339" i="5" l="1"/>
  <c r="G338" i="5" s="1"/>
  <c r="G337" i="5" s="1"/>
  <c r="G336" i="5" s="1"/>
  <c r="G335" i="5" s="1"/>
  <c r="G334" i="5" s="1"/>
  <c r="G757" i="4"/>
  <c r="G756" i="4" s="1"/>
  <c r="G755" i="4" s="1"/>
  <c r="G340" i="5" l="1"/>
  <c r="G462" i="16"/>
  <c r="G461" i="16" s="1"/>
  <c r="G460" i="16" s="1"/>
  <c r="G459" i="16" s="1"/>
  <c r="G458" i="16" s="1"/>
  <c r="G457" i="16" s="1"/>
  <c r="G463" i="16" s="1"/>
  <c r="F33" i="14"/>
  <c r="F35" i="14"/>
  <c r="F33" i="3"/>
  <c r="F32" i="3" s="1"/>
  <c r="F35" i="3"/>
  <c r="F34" i="3" s="1"/>
  <c r="F32" i="14" l="1"/>
  <c r="F31" i="3"/>
  <c r="H1072" i="15"/>
  <c r="H1074" i="15"/>
  <c r="G1073" i="15"/>
  <c r="G1071" i="15"/>
  <c r="G36" i="14" l="1"/>
  <c r="G35" i="14" s="1"/>
  <c r="G34" i="14"/>
  <c r="G33" i="14" s="1"/>
  <c r="H1073" i="15"/>
  <c r="H1071" i="15"/>
  <c r="G1070" i="15"/>
  <c r="G32" i="14" l="1"/>
  <c r="H1070" i="15"/>
  <c r="G1221" i="4"/>
  <c r="G1219" i="4"/>
  <c r="G1218" i="4" l="1"/>
  <c r="G1178" i="4" l="1"/>
  <c r="G1177" i="4" s="1"/>
  <c r="H767" i="16" l="1"/>
  <c r="H768" i="16" s="1"/>
  <c r="H138" i="16"/>
  <c r="H132" i="16"/>
  <c r="G186" i="14"/>
  <c r="F15" i="14"/>
  <c r="F17" i="14"/>
  <c r="P1096" i="15"/>
  <c r="G784" i="14"/>
  <c r="F784" i="14"/>
  <c r="F14" i="3"/>
  <c r="F16" i="3"/>
  <c r="H766" i="16" l="1"/>
  <c r="H254" i="15"/>
  <c r="H253" i="15" s="1"/>
  <c r="H40" i="15" l="1"/>
  <c r="G43" i="15"/>
  <c r="G42" i="15" s="1"/>
  <c r="H42" i="15" s="1"/>
  <c r="G39" i="15"/>
  <c r="G37" i="15"/>
  <c r="G39" i="4"/>
  <c r="G45" i="4"/>
  <c r="G36" i="15" l="1"/>
  <c r="H39" i="15"/>
  <c r="G17" i="14"/>
  <c r="H43" i="15"/>
  <c r="G20" i="14" s="1"/>
  <c r="F20" i="14"/>
  <c r="G44" i="4"/>
  <c r="G43" i="4" s="1"/>
  <c r="F19" i="3"/>
  <c r="H37" i="15"/>
  <c r="G15" i="14"/>
  <c r="G41" i="15"/>
  <c r="H41" i="15" s="1"/>
  <c r="G38" i="4"/>
  <c r="G982" i="15"/>
  <c r="G37" i="4" l="1"/>
  <c r="H36" i="15"/>
  <c r="H35" i="15" s="1"/>
  <c r="H34" i="15" s="1"/>
  <c r="H33" i="15" s="1"/>
  <c r="G35" i="15"/>
  <c r="G34" i="15" s="1"/>
  <c r="G33" i="15" s="1"/>
  <c r="G958" i="15"/>
  <c r="G36" i="4" l="1"/>
  <c r="G35" i="4" s="1"/>
  <c r="G22" i="16" l="1"/>
  <c r="G23" i="16" s="1"/>
  <c r="G822" i="16"/>
  <c r="H574" i="16"/>
  <c r="G574" i="16"/>
  <c r="G595" i="16"/>
  <c r="G594" i="16" s="1"/>
  <c r="G593" i="16" s="1"/>
  <c r="G592" i="16" s="1"/>
  <c r="G591" i="16" s="1"/>
  <c r="G590" i="16" s="1"/>
  <c r="H399" i="15"/>
  <c r="H398" i="15" s="1"/>
  <c r="H397" i="15" s="1"/>
  <c r="G399" i="15"/>
  <c r="G398" i="15" s="1"/>
  <c r="G397" i="15" s="1"/>
  <c r="G567" i="16"/>
  <c r="G568" i="16" s="1"/>
  <c r="G542" i="16"/>
  <c r="G543" i="16" s="1"/>
  <c r="G494" i="16"/>
  <c r="G495" i="16" s="1"/>
  <c r="G362" i="16"/>
  <c r="G361" i="16" s="1"/>
  <c r="G360" i="16" s="1"/>
  <c r="G359" i="16" s="1"/>
  <c r="G335" i="16"/>
  <c r="H676" i="15"/>
  <c r="H675" i="15" s="1"/>
  <c r="G675" i="15"/>
  <c r="G674" i="15" s="1"/>
  <c r="G673" i="15" s="1"/>
  <c r="G282" i="16"/>
  <c r="G281" i="16" s="1"/>
  <c r="G280" i="16" s="1"/>
  <c r="G279" i="16" s="1"/>
  <c r="G277" i="16"/>
  <c r="G278" i="16" s="1"/>
  <c r="G115" i="16"/>
  <c r="G114" i="16" s="1"/>
  <c r="G113" i="16" s="1"/>
  <c r="G112" i="16" s="1"/>
  <c r="G111" i="16" s="1"/>
  <c r="G110" i="16" s="1"/>
  <c r="G122" i="16"/>
  <c r="G123" i="16" s="1"/>
  <c r="G125" i="16"/>
  <c r="G126" i="16" s="1"/>
  <c r="H95" i="16"/>
  <c r="H94" i="16" s="1"/>
  <c r="H93" i="16" s="1"/>
  <c r="H92" i="16" s="1"/>
  <c r="H91" i="16" s="1"/>
  <c r="H90" i="16" s="1"/>
  <c r="G103" i="16"/>
  <c r="G102" i="16" s="1"/>
  <c r="G101" i="16" s="1"/>
  <c r="G100" i="16" s="1"/>
  <c r="G95" i="16"/>
  <c r="H595" i="16" l="1"/>
  <c r="H596" i="16" s="1"/>
  <c r="H335" i="16"/>
  <c r="H334" i="16" s="1"/>
  <c r="H333" i="16" s="1"/>
  <c r="H332" i="16" s="1"/>
  <c r="H331" i="16" s="1"/>
  <c r="H330" i="16" s="1"/>
  <c r="H674" i="15"/>
  <c r="H673" i="15" s="1"/>
  <c r="G21" i="16"/>
  <c r="G596" i="16"/>
  <c r="G566" i="16"/>
  <c r="G565" i="16" s="1"/>
  <c r="G541" i="16"/>
  <c r="G540" i="16" s="1"/>
  <c r="G539" i="16" s="1"/>
  <c r="G538" i="16" s="1"/>
  <c r="G493" i="16"/>
  <c r="G363" i="16"/>
  <c r="G357" i="16"/>
  <c r="G358" i="16"/>
  <c r="G283" i="16"/>
  <c r="G276" i="16"/>
  <c r="G275" i="16" s="1"/>
  <c r="G116" i="16"/>
  <c r="G121" i="16"/>
  <c r="H96" i="16"/>
  <c r="G124" i="16"/>
  <c r="G104" i="16"/>
  <c r="G612" i="5"/>
  <c r="G613" i="5" s="1"/>
  <c r="G560" i="5"/>
  <c r="G559" i="5" s="1"/>
  <c r="G566" i="5"/>
  <c r="G565" i="5" s="1"/>
  <c r="K540" i="5"/>
  <c r="G672" i="5"/>
  <c r="G673" i="5" s="1"/>
  <c r="G644" i="5"/>
  <c r="G645" i="5" s="1"/>
  <c r="G637" i="5"/>
  <c r="G638" i="5" s="1"/>
  <c r="G163" i="5"/>
  <c r="G145" i="5"/>
  <c r="G144" i="5" s="1"/>
  <c r="G143" i="5" s="1"/>
  <c r="G142" i="5" s="1"/>
  <c r="G141" i="5" s="1"/>
  <c r="G132" i="5"/>
  <c r="G129" i="5"/>
  <c r="G128" i="5" s="1"/>
  <c r="G122" i="5"/>
  <c r="G107" i="5"/>
  <c r="G99" i="5"/>
  <c r="G92" i="5"/>
  <c r="G85" i="5"/>
  <c r="G78" i="5"/>
  <c r="G62" i="5"/>
  <c r="G51" i="5"/>
  <c r="G37" i="5"/>
  <c r="G121" i="5" l="1"/>
  <c r="G123" i="5"/>
  <c r="H594" i="16"/>
  <c r="H593" i="16" s="1"/>
  <c r="H592" i="16" s="1"/>
  <c r="H591" i="16" s="1"/>
  <c r="H590" i="16" s="1"/>
  <c r="H336" i="16"/>
  <c r="G120" i="16"/>
  <c r="G119" i="16" s="1"/>
  <c r="G118" i="16" s="1"/>
  <c r="G117" i="16" s="1"/>
  <c r="G611" i="5"/>
  <c r="G610" i="5" s="1"/>
  <c r="G609" i="5" s="1"/>
  <c r="G608" i="5" s="1"/>
  <c r="G567" i="5"/>
  <c r="G561" i="5"/>
  <c r="G671" i="5"/>
  <c r="G670" i="5" s="1"/>
  <c r="G669" i="5" s="1"/>
  <c r="G668" i="5" s="1"/>
  <c r="G667" i="5" s="1"/>
  <c r="G636" i="5"/>
  <c r="G635" i="5" s="1"/>
  <c r="G643" i="5"/>
  <c r="G642" i="5" s="1"/>
  <c r="G641" i="5" s="1"/>
  <c r="G640" i="5" s="1"/>
  <c r="G639" i="5" s="1"/>
  <c r="G130" i="5"/>
  <c r="G146" i="5"/>
  <c r="G131" i="5"/>
  <c r="G127" i="5" s="1"/>
  <c r="G126" i="5" s="1"/>
  <c r="G125" i="5" s="1"/>
  <c r="G124" i="5" s="1"/>
  <c r="G15" i="5"/>
  <c r="G427" i="14"/>
  <c r="G426" i="14" s="1"/>
  <c r="G425" i="14" s="1"/>
  <c r="F278" i="14"/>
  <c r="F277" i="14" s="1"/>
  <c r="G274" i="14"/>
  <c r="G273" i="14" s="1"/>
  <c r="G272" i="14" s="1"/>
  <c r="F274" i="14"/>
  <c r="F273" i="14" s="1"/>
  <c r="F272" i="14" s="1"/>
  <c r="F98" i="14"/>
  <c r="F857" i="14"/>
  <c r="F853" i="14"/>
  <c r="F852" i="14" s="1"/>
  <c r="F851" i="14"/>
  <c r="F847" i="14"/>
  <c r="F846" i="14" s="1"/>
  <c r="F845" i="14" s="1"/>
  <c r="F844" i="14" s="1"/>
  <c r="G842" i="14"/>
  <c r="G841" i="14" s="1"/>
  <c r="G840" i="14" s="1"/>
  <c r="G839" i="14" s="1"/>
  <c r="G838" i="14" s="1"/>
  <c r="F842" i="14"/>
  <c r="F841" i="14" s="1"/>
  <c r="F840" i="14" s="1"/>
  <c r="F839" i="14" s="1"/>
  <c r="F838" i="14" s="1"/>
  <c r="F767" i="14"/>
  <c r="F766" i="14" s="1"/>
  <c r="G772" i="14"/>
  <c r="G771" i="14" s="1"/>
  <c r="G770" i="14" s="1"/>
  <c r="G769" i="14" s="1"/>
  <c r="F772" i="14"/>
  <c r="F771" i="14" s="1"/>
  <c r="F770" i="14" s="1"/>
  <c r="F769" i="14" s="1"/>
  <c r="G528" i="14"/>
  <c r="G527" i="14" s="1"/>
  <c r="G526" i="14" s="1"/>
  <c r="F586" i="14"/>
  <c r="F585" i="14" s="1"/>
  <c r="F584" i="14" s="1"/>
  <c r="F528" i="14"/>
  <c r="F527" i="14" s="1"/>
  <c r="F526" i="14" s="1"/>
  <c r="G117" i="5" l="1"/>
  <c r="G116" i="5" s="1"/>
  <c r="G115" i="5" s="1"/>
  <c r="G114" i="5" s="1"/>
  <c r="G133" i="5"/>
  <c r="F97" i="14"/>
  <c r="F96" i="14" s="1"/>
  <c r="F856" i="14"/>
  <c r="F855" i="14" s="1"/>
  <c r="F854" i="14" s="1"/>
  <c r="F850" i="14"/>
  <c r="F849" i="14" s="1"/>
  <c r="F848" i="14" s="1"/>
  <c r="F783" i="14"/>
  <c r="F782" i="14" s="1"/>
  <c r="F781" i="14" s="1"/>
  <c r="F843" i="14" l="1"/>
  <c r="F837" i="14" s="1"/>
  <c r="F884" i="3" l="1"/>
  <c r="F883" i="3" s="1"/>
  <c r="F991" i="3"/>
  <c r="F990" i="3" s="1"/>
  <c r="F989" i="3" s="1"/>
  <c r="F988" i="3" s="1"/>
  <c r="F987" i="3"/>
  <c r="F986" i="3" s="1"/>
  <c r="F985" i="3"/>
  <c r="F984" i="3" s="1"/>
  <c r="F981" i="3"/>
  <c r="F980" i="3" s="1"/>
  <c r="F903" i="3"/>
  <c r="F902" i="3" s="1"/>
  <c r="F977" i="3" l="1"/>
  <c r="F976" i="3" s="1"/>
  <c r="F983" i="3"/>
  <c r="F982" i="3" s="1"/>
  <c r="F475" i="3"/>
  <c r="F474" i="3" s="1"/>
  <c r="F473" i="3" s="1"/>
  <c r="F975" i="3" l="1"/>
  <c r="F105" i="3"/>
  <c r="F104" i="3" s="1"/>
  <c r="F547" i="14" l="1"/>
  <c r="F546" i="14" s="1"/>
  <c r="F545" i="14" s="1"/>
  <c r="F544" i="14" s="1"/>
  <c r="G158" i="5"/>
  <c r="G159" i="5" s="1"/>
  <c r="F484" i="14"/>
  <c r="F483" i="14" s="1"/>
  <c r="F482" i="14" s="1"/>
  <c r="F481" i="14" s="1"/>
  <c r="G153" i="5"/>
  <c r="D86" i="12" l="1"/>
  <c r="D82" i="12"/>
  <c r="H535" i="15"/>
  <c r="H534" i="15" s="1"/>
  <c r="G535" i="15"/>
  <c r="G534" i="15" s="1"/>
  <c r="H986" i="15"/>
  <c r="H985" i="15" s="1"/>
  <c r="G533" i="15" l="1"/>
  <c r="G532" i="15" s="1"/>
  <c r="G531" i="15" s="1"/>
  <c r="H533" i="15"/>
  <c r="H532" i="15" s="1"/>
  <c r="H531" i="15" s="1"/>
  <c r="H22" i="16"/>
  <c r="G868" i="15"/>
  <c r="H864" i="15"/>
  <c r="H863" i="15" s="1"/>
  <c r="G864" i="15"/>
  <c r="G863" i="15" s="1"/>
  <c r="H23" i="16" l="1"/>
  <c r="H21" i="16"/>
  <c r="H868" i="15"/>
  <c r="G278" i="14"/>
  <c r="G277" i="14" s="1"/>
  <c r="G781" i="15"/>
  <c r="G780" i="15" s="1"/>
  <c r="G779" i="15" s="1"/>
  <c r="G778" i="15" s="1"/>
  <c r="H257" i="15"/>
  <c r="H256" i="15" s="1"/>
  <c r="G257" i="15"/>
  <c r="G256" i="15" s="1"/>
  <c r="H263" i="15"/>
  <c r="H262" i="15" s="1"/>
  <c r="G263" i="15"/>
  <c r="G262" i="15" s="1"/>
  <c r="G466" i="15" l="1"/>
  <c r="G465" i="15" s="1"/>
  <c r="G464" i="15" s="1"/>
  <c r="G387" i="15" l="1"/>
  <c r="G386" i="15" s="1"/>
  <c r="G385" i="15" s="1"/>
  <c r="H387" i="15"/>
  <c r="H386" i="15" s="1"/>
  <c r="H385" i="15" s="1"/>
  <c r="G383" i="15"/>
  <c r="G382" i="15" s="1"/>
  <c r="H384" i="15"/>
  <c r="G768" i="14" l="1"/>
  <c r="G767" i="14" s="1"/>
  <c r="G766" i="14" s="1"/>
  <c r="H383" i="15"/>
  <c r="H382" i="15" s="1"/>
  <c r="H567" i="16"/>
  <c r="G391" i="15"/>
  <c r="G390" i="15" s="1"/>
  <c r="G389" i="15" s="1"/>
  <c r="G581" i="16"/>
  <c r="F776" i="14"/>
  <c r="F775" i="14" s="1"/>
  <c r="F774" i="14" s="1"/>
  <c r="F773" i="14" s="1"/>
  <c r="G783" i="14"/>
  <c r="G782" i="14" s="1"/>
  <c r="G781" i="14" s="1"/>
  <c r="H392" i="15"/>
  <c r="H581" i="16" s="1"/>
  <c r="H568" i="16" l="1"/>
  <c r="H566" i="16"/>
  <c r="H565" i="16" s="1"/>
  <c r="H391" i="15"/>
  <c r="H390" i="15" s="1"/>
  <c r="H389" i="15" s="1"/>
  <c r="G776" i="14"/>
  <c r="G775" i="14" s="1"/>
  <c r="G774" i="14" s="1"/>
  <c r="G773" i="14" s="1"/>
  <c r="H381" i="16"/>
  <c r="G101" i="15"/>
  <c r="G100" i="15" s="1"/>
  <c r="H59" i="15"/>
  <c r="G104" i="15" l="1"/>
  <c r="G103" i="15" s="1"/>
  <c r="G385" i="16"/>
  <c r="F101" i="14"/>
  <c r="F100" i="14" s="1"/>
  <c r="F99" i="14" s="1"/>
  <c r="H382" i="16"/>
  <c r="H380" i="16"/>
  <c r="H379" i="16" s="1"/>
  <c r="H101" i="15"/>
  <c r="H100" i="15" s="1"/>
  <c r="G98" i="14"/>
  <c r="G97" i="14" s="1"/>
  <c r="G96" i="14" s="1"/>
  <c r="H385" i="16"/>
  <c r="H384" i="16" l="1"/>
  <c r="H383" i="16" s="1"/>
  <c r="H386" i="16"/>
  <c r="G386" i="16"/>
  <c r="G384" i="16"/>
  <c r="G383" i="16" s="1"/>
  <c r="H104" i="15"/>
  <c r="H103" i="15" s="1"/>
  <c r="G101" i="14"/>
  <c r="G100" i="14" s="1"/>
  <c r="G99" i="14" s="1"/>
  <c r="C142" i="1"/>
  <c r="C135" i="1" s="1"/>
  <c r="C99" i="1"/>
  <c r="C97" i="1"/>
  <c r="C95" i="1"/>
  <c r="C93" i="1"/>
  <c r="C91" i="1"/>
  <c r="C87" i="1"/>
  <c r="C155" i="1"/>
  <c r="D88" i="12"/>
  <c r="C88" i="12"/>
  <c r="D52" i="12"/>
  <c r="D49" i="12" s="1"/>
  <c r="C52" i="12"/>
  <c r="C49" i="12" s="1"/>
  <c r="C53" i="1"/>
  <c r="C50" i="1" s="1"/>
  <c r="C27" i="1"/>
  <c r="G109" i="4"/>
  <c r="G108" i="4" s="1"/>
  <c r="G381" i="16" s="1"/>
  <c r="H103" i="1" l="1"/>
  <c r="C103" i="1"/>
  <c r="G380" i="16"/>
  <c r="G379" i="16" s="1"/>
  <c r="G382" i="16"/>
  <c r="G745" i="4" l="1"/>
  <c r="G744" i="4" s="1"/>
  <c r="G743" i="4" s="1"/>
  <c r="G519" i="4" l="1"/>
  <c r="G518" i="4" s="1"/>
  <c r="G445" i="4"/>
  <c r="G444" i="4" s="1"/>
  <c r="G443" i="4" s="1"/>
  <c r="G425" i="4"/>
  <c r="G424" i="4" s="1"/>
  <c r="G441" i="4" l="1"/>
  <c r="G440" i="4" s="1"/>
  <c r="G439" i="4" s="1"/>
  <c r="G665" i="5"/>
  <c r="F901" i="3"/>
  <c r="F900" i="3" s="1"/>
  <c r="F899" i="3" s="1"/>
  <c r="F898" i="3" s="1"/>
  <c r="G423" i="4"/>
  <c r="D153" i="1" s="1"/>
  <c r="F334" i="14" l="1"/>
  <c r="F333" i="14" s="1"/>
  <c r="G893" i="15"/>
  <c r="F377" i="3" l="1"/>
  <c r="G1031" i="4"/>
  <c r="G516" i="5" l="1"/>
  <c r="G515" i="5" s="1"/>
  <c r="G514" i="5" s="1"/>
  <c r="G513" i="5" s="1"/>
  <c r="G512" i="5" s="1"/>
  <c r="G511" i="5" s="1"/>
  <c r="G517" i="5" l="1"/>
  <c r="G506" i="5"/>
  <c r="G505" i="5" s="1"/>
  <c r="G504" i="5" s="1"/>
  <c r="F1056" i="3"/>
  <c r="F1055" i="3" s="1"/>
  <c r="F1054" i="3" s="1"/>
  <c r="F1053" i="3" s="1"/>
  <c r="G917" i="4"/>
  <c r="G916" i="4" s="1"/>
  <c r="G915" i="4" s="1"/>
  <c r="F1001" i="3" l="1"/>
  <c r="G1090" i="15" l="1"/>
  <c r="G1045" i="15"/>
  <c r="G1012" i="15"/>
  <c r="G1010" i="15"/>
  <c r="G1002" i="15"/>
  <c r="G987" i="15"/>
  <c r="F427" i="14" s="1"/>
  <c r="F426" i="14" s="1"/>
  <c r="F425" i="14" s="1"/>
  <c r="G984" i="15"/>
  <c r="G888" i="15"/>
  <c r="G852" i="15"/>
  <c r="G845" i="15"/>
  <c r="G830" i="15"/>
  <c r="G820" i="15"/>
  <c r="G792" i="15"/>
  <c r="G787" i="15"/>
  <c r="G786" i="15" s="1"/>
  <c r="G752" i="15"/>
  <c r="G750" i="15"/>
  <c r="G739" i="15"/>
  <c r="G736" i="15"/>
  <c r="G253" i="16"/>
  <c r="F593" i="14"/>
  <c r="F592" i="14" s="1"/>
  <c r="F591" i="14" s="1"/>
  <c r="F554" i="14"/>
  <c r="F553" i="14" s="1"/>
  <c r="F552" i="14" s="1"/>
  <c r="F566" i="14"/>
  <c r="F565" i="14" s="1"/>
  <c r="F564" i="14" s="1"/>
  <c r="G630" i="15"/>
  <c r="F563" i="14" s="1"/>
  <c r="F562" i="14" s="1"/>
  <c r="F561" i="14" s="1"/>
  <c r="F560" i="14"/>
  <c r="F559" i="14" s="1"/>
  <c r="F558" i="14" s="1"/>
  <c r="F557" i="14"/>
  <c r="F556" i="14" s="1"/>
  <c r="F555" i="14" s="1"/>
  <c r="F541" i="14"/>
  <c r="F540" i="14" s="1"/>
  <c r="F539" i="14" s="1"/>
  <c r="F538" i="14" s="1"/>
  <c r="F537" i="14" s="1"/>
  <c r="G598" i="15"/>
  <c r="F524" i="14"/>
  <c r="F523" i="14" s="1"/>
  <c r="F522" i="14" s="1"/>
  <c r="F521" i="14"/>
  <c r="F520" i="14" s="1"/>
  <c r="F519" i="14" s="1"/>
  <c r="F518" i="14" s="1"/>
  <c r="G587" i="15"/>
  <c r="G577" i="15"/>
  <c r="F507" i="14" s="1"/>
  <c r="F488" i="14"/>
  <c r="F487" i="14" s="1"/>
  <c r="F486" i="14" s="1"/>
  <c r="F497" i="14"/>
  <c r="F496" i="14" s="1"/>
  <c r="F495" i="14" s="1"/>
  <c r="G564" i="15"/>
  <c r="F494" i="14" s="1"/>
  <c r="F493" i="14" s="1"/>
  <c r="F492" i="14" s="1"/>
  <c r="F491" i="14"/>
  <c r="F490" i="14" s="1"/>
  <c r="F489" i="14" s="1"/>
  <c r="G527" i="15"/>
  <c r="G499" i="15"/>
  <c r="G497" i="15"/>
  <c r="G500" i="16"/>
  <c r="G497" i="16"/>
  <c r="F823" i="14"/>
  <c r="F822" i="14" s="1"/>
  <c r="F821" i="14" s="1"/>
  <c r="F820" i="14" s="1"/>
  <c r="F819" i="14" s="1"/>
  <c r="F818" i="14" s="1"/>
  <c r="G433" i="15"/>
  <c r="G430" i="15"/>
  <c r="G428" i="15"/>
  <c r="G356" i="15"/>
  <c r="G352" i="15"/>
  <c r="G350" i="15"/>
  <c r="G343" i="15"/>
  <c r="G326" i="15"/>
  <c r="G307" i="15"/>
  <c r="G303" i="15"/>
  <c r="G81" i="16"/>
  <c r="G65" i="15"/>
  <c r="G64" i="15" s="1"/>
  <c r="G272" i="15"/>
  <c r="G230" i="15"/>
  <c r="G229" i="15" s="1"/>
  <c r="G190" i="15"/>
  <c r="G187" i="15"/>
  <c r="G181" i="15"/>
  <c r="G178" i="15"/>
  <c r="G154" i="15"/>
  <c r="G109" i="15"/>
  <c r="G392" i="16" s="1"/>
  <c r="G99" i="15"/>
  <c r="G377" i="16" s="1"/>
  <c r="G97" i="15"/>
  <c r="G374" i="16" s="1"/>
  <c r="G81" i="15"/>
  <c r="F531" i="14" l="1"/>
  <c r="F530" i="14" s="1"/>
  <c r="F529" i="14" s="1"/>
  <c r="F525" i="14" s="1"/>
  <c r="F548" i="14"/>
  <c r="F485" i="14"/>
  <c r="G496" i="16"/>
  <c r="G498" i="16"/>
  <c r="G373" i="16"/>
  <c r="G375" i="16"/>
  <c r="G264" i="16"/>
  <c r="F514" i="14"/>
  <c r="F513" i="14" s="1"/>
  <c r="F512" i="14" s="1"/>
  <c r="G268" i="16"/>
  <c r="F517" i="14"/>
  <c r="F516" i="14" s="1"/>
  <c r="F515" i="14" s="1"/>
  <c r="G228" i="16"/>
  <c r="F506" i="14"/>
  <c r="F505" i="14" s="1"/>
  <c r="F498" i="14" s="1"/>
  <c r="G246" i="16"/>
  <c r="F579" i="14"/>
  <c r="F578" i="14" s="1"/>
  <c r="F577" i="14" s="1"/>
  <c r="G254" i="16"/>
  <c r="G252" i="16"/>
  <c r="G251" i="16" s="1"/>
  <c r="G501" i="16"/>
  <c r="G499" i="16"/>
  <c r="G656" i="15"/>
  <c r="G655" i="15" s="1"/>
  <c r="G654" i="15" s="1"/>
  <c r="F589" i="14"/>
  <c r="F588" i="14" s="1"/>
  <c r="F587" i="14" s="1"/>
  <c r="G376" i="16"/>
  <c r="G378" i="16"/>
  <c r="G393" i="16"/>
  <c r="G391" i="16"/>
  <c r="G390" i="16" s="1"/>
  <c r="G389" i="16" s="1"/>
  <c r="G388" i="16" s="1"/>
  <c r="G387" i="16" s="1"/>
  <c r="G22" i="5"/>
  <c r="F315" i="3"/>
  <c r="F314" i="3" s="1"/>
  <c r="G1001" i="4"/>
  <c r="G250" i="16" l="1"/>
  <c r="G249" i="16" s="1"/>
  <c r="G248" i="16" s="1"/>
  <c r="G245" i="16"/>
  <c r="G244" i="16" s="1"/>
  <c r="G247" i="16"/>
  <c r="G269" i="16"/>
  <c r="G267" i="16"/>
  <c r="G266" i="16" s="1"/>
  <c r="G227" i="16"/>
  <c r="G226" i="16" s="1"/>
  <c r="G229" i="16"/>
  <c r="F508" i="14"/>
  <c r="F480" i="14" s="1"/>
  <c r="F479" i="14" s="1"/>
  <c r="G372" i="16"/>
  <c r="G371" i="16" s="1"/>
  <c r="G263" i="16"/>
  <c r="G262" i="16" s="1"/>
  <c r="G265" i="16"/>
  <c r="G492" i="16"/>
  <c r="G491" i="16" s="1"/>
  <c r="G490" i="16" s="1"/>
  <c r="G21" i="5"/>
  <c r="G23" i="5"/>
  <c r="G63" i="4"/>
  <c r="G365" i="16" l="1"/>
  <c r="G364" i="16" s="1"/>
  <c r="G356" i="16" s="1"/>
  <c r="D152" i="1"/>
  <c r="E152" i="1" s="1"/>
  <c r="G357" i="4"/>
  <c r="D139" i="1" l="1"/>
  <c r="E139" i="1" s="1"/>
  <c r="D138" i="1"/>
  <c r="E138" i="1" s="1"/>
  <c r="F957" i="14"/>
  <c r="F956" i="14" s="1"/>
  <c r="G905" i="14"/>
  <c r="G904" i="14"/>
  <c r="G903" i="14"/>
  <c r="G895" i="14"/>
  <c r="G894" i="14"/>
  <c r="G893" i="14"/>
  <c r="G865" i="14"/>
  <c r="G864" i="14" s="1"/>
  <c r="G863" i="14" s="1"/>
  <c r="F865" i="14"/>
  <c r="F864" i="14" s="1"/>
  <c r="F863" i="14" s="1"/>
  <c r="G802" i="14"/>
  <c r="G801" i="14"/>
  <c r="G780" i="14"/>
  <c r="G779" i="14" s="1"/>
  <c r="G778" i="14" s="1"/>
  <c r="F780" i="14"/>
  <c r="F779" i="14" s="1"/>
  <c r="F778" i="14" s="1"/>
  <c r="G755" i="14"/>
  <c r="G754" i="14"/>
  <c r="G413" i="14"/>
  <c r="G412" i="14"/>
  <c r="G411" i="14"/>
  <c r="F290" i="14"/>
  <c r="F289" i="14" s="1"/>
  <c r="F288" i="14"/>
  <c r="F287" i="14" s="1"/>
  <c r="G222" i="14"/>
  <c r="G221" i="14" s="1"/>
  <c r="G220" i="14" s="1"/>
  <c r="F222" i="14"/>
  <c r="F217" i="14"/>
  <c r="H922" i="15"/>
  <c r="H921" i="15" s="1"/>
  <c r="H870" i="15"/>
  <c r="H867" i="15" s="1"/>
  <c r="G870" i="15"/>
  <c r="G867" i="15" s="1"/>
  <c r="G727" i="15"/>
  <c r="G726" i="15" s="1"/>
  <c r="H594" i="15"/>
  <c r="H593" i="15" s="1"/>
  <c r="G594" i="15"/>
  <c r="G593" i="15" s="1"/>
  <c r="G494" i="15"/>
  <c r="G473" i="15"/>
  <c r="G451" i="15"/>
  <c r="G395" i="15"/>
  <c r="H149" i="15"/>
  <c r="H148" i="15" s="1"/>
  <c r="H147" i="15" s="1"/>
  <c r="G149" i="15"/>
  <c r="G148" i="15" s="1"/>
  <c r="G147" i="15" s="1"/>
  <c r="G72" i="15"/>
  <c r="G71" i="15" s="1"/>
  <c r="G29" i="15"/>
  <c r="F286" i="14" l="1"/>
  <c r="C12" i="1" l="1"/>
  <c r="C11" i="1" s="1"/>
  <c r="G71" i="14" l="1"/>
  <c r="G70" i="14" s="1"/>
  <c r="F71" i="14"/>
  <c r="F70" i="14" s="1"/>
  <c r="G777" i="14"/>
  <c r="H588" i="16"/>
  <c r="H587" i="16" s="1"/>
  <c r="H586" i="16" s="1"/>
  <c r="H585" i="16" s="1"/>
  <c r="H584" i="16" s="1"/>
  <c r="H583" i="16" s="1"/>
  <c r="H589" i="16" s="1"/>
  <c r="G588" i="16"/>
  <c r="G587" i="16" s="1"/>
  <c r="G586" i="16" s="1"/>
  <c r="G585" i="16" s="1"/>
  <c r="G584" i="16" s="1"/>
  <c r="G583" i="16" s="1"/>
  <c r="G589" i="16" s="1"/>
  <c r="H395" i="15"/>
  <c r="H394" i="15" s="1"/>
  <c r="H393" i="15" s="1"/>
  <c r="G394" i="15"/>
  <c r="G393" i="15" s="1"/>
  <c r="G66" i="14"/>
  <c r="G65" i="14" s="1"/>
  <c r="G64" i="14" s="1"/>
  <c r="F66" i="14"/>
  <c r="F65" i="14" s="1"/>
  <c r="F64" i="14" s="1"/>
  <c r="F777" i="14" l="1"/>
  <c r="H317" i="16"/>
  <c r="H316" i="16" s="1"/>
  <c r="H315" i="16" s="1"/>
  <c r="G317" i="16"/>
  <c r="G316" i="16" s="1"/>
  <c r="G315" i="16" s="1"/>
  <c r="H232" i="15"/>
  <c r="H231" i="15" s="1"/>
  <c r="G232" i="15"/>
  <c r="G231" i="15" s="1"/>
  <c r="H318" i="16" l="1"/>
  <c r="G318" i="16"/>
  <c r="G505" i="15"/>
  <c r="H72" i="15"/>
  <c r="H71" i="15" s="1"/>
  <c r="G664" i="5"/>
  <c r="G663" i="5" s="1"/>
  <c r="G386" i="5"/>
  <c r="G385" i="5" s="1"/>
  <c r="G384" i="5" s="1"/>
  <c r="G332" i="5"/>
  <c r="G331" i="5" s="1"/>
  <c r="G330" i="5" s="1"/>
  <c r="G329" i="5" s="1"/>
  <c r="G597" i="15" l="1"/>
  <c r="G596" i="15" s="1"/>
  <c r="G592" i="15" s="1"/>
  <c r="F84" i="14"/>
  <c r="F83" i="14" s="1"/>
  <c r="F82" i="14" s="1"/>
  <c r="G328" i="5"/>
  <c r="G383" i="5"/>
  <c r="G382" i="5" s="1"/>
  <c r="G381" i="5" s="1"/>
  <c r="G387" i="5" s="1"/>
  <c r="G660" i="5"/>
  <c r="G662" i="5"/>
  <c r="G661" i="5" s="1"/>
  <c r="G531" i="14"/>
  <c r="G530" i="14" s="1"/>
  <c r="G529" i="14" s="1"/>
  <c r="G525" i="14" s="1"/>
  <c r="G321" i="16"/>
  <c r="G320" i="16" s="1"/>
  <c r="G319" i="16" s="1"/>
  <c r="G314" i="16" s="1"/>
  <c r="G313" i="16" s="1"/>
  <c r="G312" i="16" s="1"/>
  <c r="G504" i="15"/>
  <c r="G503" i="15" s="1"/>
  <c r="F689" i="3"/>
  <c r="F688" i="3" s="1"/>
  <c r="F687" i="3" s="1"/>
  <c r="F686" i="3" s="1"/>
  <c r="F593" i="3"/>
  <c r="F592" i="3" s="1"/>
  <c r="F591" i="3" s="1"/>
  <c r="F1000" i="3"/>
  <c r="F999" i="3" s="1"/>
  <c r="F74" i="3"/>
  <c r="F73" i="3" s="1"/>
  <c r="F72" i="3" s="1"/>
  <c r="F92" i="3"/>
  <c r="F91" i="3" s="1"/>
  <c r="F90" i="3" s="1"/>
  <c r="G666" i="5" l="1"/>
  <c r="F998" i="3"/>
  <c r="F997" i="3" s="1"/>
  <c r="D43" i="2" s="1"/>
  <c r="H58" i="15"/>
  <c r="G58" i="15"/>
  <c r="H505" i="15"/>
  <c r="H504" i="15" s="1"/>
  <c r="H503" i="15" s="1"/>
  <c r="G84" i="14"/>
  <c r="G83" i="14" s="1"/>
  <c r="G82" i="14" s="1"/>
  <c r="G333" i="5"/>
  <c r="G327" i="5"/>
  <c r="H597" i="15"/>
  <c r="H596" i="15" s="1"/>
  <c r="H592" i="15" s="1"/>
  <c r="H321" i="16"/>
  <c r="H320" i="16" s="1"/>
  <c r="H319" i="16" s="1"/>
  <c r="H314" i="16" s="1"/>
  <c r="H313" i="16" s="1"/>
  <c r="H312" i="16" s="1"/>
  <c r="G322" i="16"/>
  <c r="G80" i="4"/>
  <c r="G79" i="4" s="1"/>
  <c r="G773" i="4"/>
  <c r="G772" i="4" s="1"/>
  <c r="G619" i="4"/>
  <c r="G618" i="4" s="1"/>
  <c r="G617" i="4" s="1"/>
  <c r="G616" i="4" s="1"/>
  <c r="G615" i="4" s="1"/>
  <c r="D149" i="1" s="1"/>
  <c r="G584" i="4"/>
  <c r="G583" i="4" s="1"/>
  <c r="G582" i="4" s="1"/>
  <c r="G675" i="4"/>
  <c r="G678" i="4"/>
  <c r="G677" i="4" s="1"/>
  <c r="D139" i="12"/>
  <c r="C139" i="12"/>
  <c r="D94" i="12"/>
  <c r="C94" i="12"/>
  <c r="C86" i="12"/>
  <c r="C82" i="12"/>
  <c r="C89" i="1"/>
  <c r="D148" i="1" l="1"/>
  <c r="C82" i="1"/>
  <c r="D82" i="1"/>
  <c r="G771" i="4"/>
  <c r="G334" i="16"/>
  <c r="G333" i="16" s="1"/>
  <c r="G332" i="16" s="1"/>
  <c r="G331" i="16" s="1"/>
  <c r="G330" i="16" s="1"/>
  <c r="G336" i="16" s="1"/>
  <c r="G674" i="4"/>
  <c r="G673" i="4" s="1"/>
  <c r="D106" i="1" s="1"/>
  <c r="H322" i="16"/>
  <c r="D168" i="1"/>
  <c r="E168" i="1" s="1"/>
  <c r="D150" i="1"/>
  <c r="D137" i="1"/>
  <c r="D136" i="1"/>
  <c r="D117" i="1"/>
  <c r="D113" i="1"/>
  <c r="D112" i="1"/>
  <c r="D108" i="1"/>
  <c r="D105" i="1"/>
  <c r="H77" i="15"/>
  <c r="G77" i="15"/>
  <c r="I792" i="15"/>
  <c r="D88" i="1" l="1"/>
  <c r="D170" i="1"/>
  <c r="E170" i="1" s="1"/>
  <c r="D154" i="1"/>
  <c r="G623" i="15"/>
  <c r="G622" i="15" s="1"/>
  <c r="G996" i="15"/>
  <c r="G995" i="15" s="1"/>
  <c r="F437" i="14"/>
  <c r="F436" i="14" s="1"/>
  <c r="F435" i="14" s="1"/>
  <c r="G238" i="15"/>
  <c r="F877" i="14"/>
  <c r="F876" i="14" s="1"/>
  <c r="D169" i="1"/>
  <c r="E169" i="1" s="1"/>
  <c r="C78" i="1"/>
  <c r="C77" i="1" s="1"/>
  <c r="G1303" i="4" l="1"/>
  <c r="G926" i="5"/>
  <c r="F1106" i="3"/>
  <c r="F1109" i="3"/>
  <c r="F1117" i="3"/>
  <c r="H474" i="15"/>
  <c r="H494" i="16" s="1"/>
  <c r="G549" i="4"/>
  <c r="G548" i="4" s="1"/>
  <c r="G544" i="4"/>
  <c r="G543" i="4" s="1"/>
  <c r="G542" i="4" s="1"/>
  <c r="G537" i="4"/>
  <c r="G533" i="4"/>
  <c r="H495" i="16" l="1"/>
  <c r="H493" i="16"/>
  <c r="G535" i="4"/>
  <c r="G532" i="4" s="1"/>
  <c r="G563" i="5"/>
  <c r="G957" i="14"/>
  <c r="G956" i="14" s="1"/>
  <c r="H473" i="15"/>
  <c r="G844" i="16"/>
  <c r="F969" i="14"/>
  <c r="F968" i="14" s="1"/>
  <c r="F967" i="14" s="1"/>
  <c r="H478" i="15"/>
  <c r="H500" i="16" s="1"/>
  <c r="F961" i="14"/>
  <c r="F960" i="14" s="1"/>
  <c r="G477" i="15"/>
  <c r="H482" i="15"/>
  <c r="H542" i="16" s="1"/>
  <c r="F964" i="14"/>
  <c r="F963" i="14" s="1"/>
  <c r="F962" i="14" s="1"/>
  <c r="F1104" i="3"/>
  <c r="F1102" i="3"/>
  <c r="G481" i="15"/>
  <c r="G480" i="15" s="1"/>
  <c r="G479" i="15" s="1"/>
  <c r="G486" i="15"/>
  <c r="G485" i="15" s="1"/>
  <c r="G484" i="15" s="1"/>
  <c r="G969" i="14"/>
  <c r="G968" i="14" s="1"/>
  <c r="G967" i="14" s="1"/>
  <c r="G546" i="4"/>
  <c r="G547" i="4"/>
  <c r="G531" i="4" l="1"/>
  <c r="G530" i="4" s="1"/>
  <c r="G529" i="4" s="1"/>
  <c r="G528" i="4" s="1"/>
  <c r="G1279" i="4" s="1"/>
  <c r="H541" i="16"/>
  <c r="H540" i="16" s="1"/>
  <c r="H539" i="16" s="1"/>
  <c r="H538" i="16" s="1"/>
  <c r="H543" i="16"/>
  <c r="H501" i="16"/>
  <c r="H499" i="16"/>
  <c r="G562" i="5"/>
  <c r="G558" i="5" s="1"/>
  <c r="G564" i="5"/>
  <c r="G18" i="15"/>
  <c r="F122" i="14"/>
  <c r="F121" i="14" s="1"/>
  <c r="H476" i="15"/>
  <c r="H497" i="16" s="1"/>
  <c r="F959" i="14"/>
  <c r="F958" i="14" s="1"/>
  <c r="G475" i="15"/>
  <c r="G472" i="15" s="1"/>
  <c r="G471" i="15" s="1"/>
  <c r="G470" i="15" s="1"/>
  <c r="G961" i="14"/>
  <c r="G960" i="14" s="1"/>
  <c r="H477" i="15"/>
  <c r="H481" i="15"/>
  <c r="H480" i="15" s="1"/>
  <c r="H479" i="15" s="1"/>
  <c r="G964" i="14"/>
  <c r="G963" i="14" s="1"/>
  <c r="G962" i="14" s="1"/>
  <c r="G483" i="15"/>
  <c r="H844" i="16"/>
  <c r="H486" i="15"/>
  <c r="H485" i="15" s="1"/>
  <c r="G557" i="5" l="1"/>
  <c r="G556" i="5" s="1"/>
  <c r="H496" i="16"/>
  <c r="H492" i="16" s="1"/>
  <c r="H491" i="16" s="1"/>
  <c r="H490" i="16" s="1"/>
  <c r="H498" i="16"/>
  <c r="G959" i="14"/>
  <c r="G958" i="14" s="1"/>
  <c r="H475" i="15"/>
  <c r="H472" i="15" s="1"/>
  <c r="H471" i="15" s="1"/>
  <c r="H470" i="15" s="1"/>
  <c r="G469" i="15"/>
  <c r="G468" i="15" s="1"/>
  <c r="G1125" i="15" s="1"/>
  <c r="H484" i="15"/>
  <c r="H483" i="15"/>
  <c r="G133" i="14"/>
  <c r="G132" i="14" s="1"/>
  <c r="G135" i="14"/>
  <c r="G134" i="14" s="1"/>
  <c r="F135" i="14"/>
  <c r="F134" i="14" s="1"/>
  <c r="F133" i="14"/>
  <c r="F132" i="14" s="1"/>
  <c r="F153" i="3"/>
  <c r="F152" i="3" s="1"/>
  <c r="F155" i="3"/>
  <c r="F154" i="3" s="1"/>
  <c r="H128" i="15"/>
  <c r="H126" i="15"/>
  <c r="G128" i="15"/>
  <c r="G126" i="15"/>
  <c r="G131" i="4"/>
  <c r="G133" i="4"/>
  <c r="H469" i="15" l="1"/>
  <c r="H468" i="15" s="1"/>
  <c r="H1125" i="15" s="1"/>
  <c r="G130" i="4"/>
  <c r="G129" i="4" s="1"/>
  <c r="G128" i="4" s="1"/>
  <c r="G127" i="4" s="1"/>
  <c r="G125" i="15"/>
  <c r="G124" i="15" s="1"/>
  <c r="G123" i="15" s="1"/>
  <c r="G122" i="15" s="1"/>
  <c r="G131" i="14"/>
  <c r="G130" i="14" s="1"/>
  <c r="G129" i="14" s="1"/>
  <c r="G128" i="14" s="1"/>
  <c r="E16" i="13" s="1"/>
  <c r="F131" i="14"/>
  <c r="F130" i="14" s="1"/>
  <c r="F129" i="14" s="1"/>
  <c r="F128" i="14" s="1"/>
  <c r="D16" i="13" s="1"/>
  <c r="H125" i="15"/>
  <c r="H124" i="15" s="1"/>
  <c r="H123" i="15" s="1"/>
  <c r="H122" i="15" s="1"/>
  <c r="F151" i="3"/>
  <c r="F150" i="3" s="1"/>
  <c r="F149" i="3" s="1"/>
  <c r="F148" i="3" s="1"/>
  <c r="D14" i="2" s="1"/>
  <c r="G392" i="14"/>
  <c r="G391" i="14" s="1"/>
  <c r="G390" i="14" s="1"/>
  <c r="G389" i="14" s="1"/>
  <c r="G388" i="14" s="1"/>
  <c r="F392" i="14"/>
  <c r="F391" i="14" s="1"/>
  <c r="F390" i="14" s="1"/>
  <c r="F389" i="14" s="1"/>
  <c r="F388" i="14" s="1"/>
  <c r="F437" i="3"/>
  <c r="F436" i="3" s="1"/>
  <c r="F435" i="3" s="1"/>
  <c r="F434" i="3" s="1"/>
  <c r="F433" i="3" s="1"/>
  <c r="H892" i="16"/>
  <c r="H891" i="16" s="1"/>
  <c r="H890" i="16" s="1"/>
  <c r="H889" i="16" s="1"/>
  <c r="H888" i="16" s="1"/>
  <c r="H887" i="16" s="1"/>
  <c r="H886" i="16" s="1"/>
  <c r="H885" i="16" s="1"/>
  <c r="G892" i="16"/>
  <c r="G891" i="16" s="1"/>
  <c r="G890" i="16" s="1"/>
  <c r="G889" i="16" s="1"/>
  <c r="G888" i="16" s="1"/>
  <c r="G887" i="16" s="1"/>
  <c r="G886" i="16" s="1"/>
  <c r="G885" i="16" s="1"/>
  <c r="G993" i="5"/>
  <c r="G992" i="5" s="1"/>
  <c r="G991" i="5" s="1"/>
  <c r="G990" i="5" s="1"/>
  <c r="G989" i="5" s="1"/>
  <c r="G988" i="5" s="1"/>
  <c r="G987" i="5" s="1"/>
  <c r="G986" i="5" s="1"/>
  <c r="H951" i="15"/>
  <c r="H950" i="15" s="1"/>
  <c r="H949" i="15" s="1"/>
  <c r="H948" i="15" s="1"/>
  <c r="H1150" i="15" s="1"/>
  <c r="G951" i="15"/>
  <c r="G950" i="15" s="1"/>
  <c r="G949" i="15" s="1"/>
  <c r="G948" i="15" s="1"/>
  <c r="G1150" i="15" s="1"/>
  <c r="G1092" i="4"/>
  <c r="G1091" i="4" s="1"/>
  <c r="G1090" i="4" s="1"/>
  <c r="G1089" i="4" s="1"/>
  <c r="H451" i="15"/>
  <c r="H450" i="15" s="1"/>
  <c r="G450" i="15"/>
  <c r="G599" i="4" l="1"/>
  <c r="G158" i="14" l="1"/>
  <c r="G157" i="14" s="1"/>
  <c r="G156" i="14" s="1"/>
  <c r="F158" i="14"/>
  <c r="F157" i="14" s="1"/>
  <c r="F156" i="14" s="1"/>
  <c r="H29" i="15"/>
  <c r="H28" i="15" s="1"/>
  <c r="H27" i="15" s="1"/>
  <c r="H26" i="15" s="1"/>
  <c r="H25" i="15" s="1"/>
  <c r="G28" i="15"/>
  <c r="G27" i="15" s="1"/>
  <c r="G26" i="15" s="1"/>
  <c r="G25" i="15" s="1"/>
  <c r="D37" i="12" l="1"/>
  <c r="D35" i="12"/>
  <c r="C37" i="12"/>
  <c r="C35" i="12"/>
  <c r="C38" i="1"/>
  <c r="C36" i="1"/>
  <c r="D29" i="12"/>
  <c r="C29" i="12"/>
  <c r="C30" i="1"/>
  <c r="C26" i="1"/>
  <c r="C34" i="12" l="1"/>
  <c r="C35" i="1"/>
  <c r="E35" i="1" s="1"/>
  <c r="D34" i="12"/>
  <c r="F280" i="14"/>
  <c r="F279" i="14" s="1"/>
  <c r="F276" i="14" s="1"/>
  <c r="C66" i="1"/>
  <c r="C68" i="1"/>
  <c r="C70" i="1"/>
  <c r="D65" i="12"/>
  <c r="D67" i="12"/>
  <c r="C67" i="12"/>
  <c r="D69" i="12"/>
  <c r="C69" i="12"/>
  <c r="C65" i="12"/>
  <c r="G209" i="15"/>
  <c r="C150" i="12"/>
  <c r="D150" i="12" s="1"/>
  <c r="C149" i="12"/>
  <c r="D149" i="12" s="1"/>
  <c r="D64" i="12" l="1"/>
  <c r="D63" i="12" s="1"/>
  <c r="C64" i="12"/>
  <c r="C63" i="12" s="1"/>
  <c r="C65" i="1"/>
  <c r="C64" i="1" s="1"/>
  <c r="E19" i="13" l="1"/>
  <c r="E18" i="13"/>
  <c r="D17" i="12"/>
  <c r="D16" i="12" s="1"/>
  <c r="D56" i="12"/>
  <c r="D153" i="12"/>
  <c r="D152" i="12" s="1"/>
  <c r="D151" i="12" s="1"/>
  <c r="C153" i="12"/>
  <c r="C152" i="12" s="1"/>
  <c r="C151" i="12" s="1"/>
  <c r="D141" i="12"/>
  <c r="C141" i="12"/>
  <c r="D96" i="12"/>
  <c r="C96" i="12"/>
  <c r="D92" i="12"/>
  <c r="C92" i="12"/>
  <c r="D90" i="12"/>
  <c r="C90" i="12"/>
  <c r="D72" i="12"/>
  <c r="D71" i="12" s="1"/>
  <c r="C72" i="12"/>
  <c r="C71" i="12" s="1"/>
  <c r="D61" i="12"/>
  <c r="C61" i="12"/>
  <c r="D59" i="12"/>
  <c r="C59" i="12"/>
  <c r="C56" i="12"/>
  <c r="C55" i="12"/>
  <c r="D48" i="12"/>
  <c r="C48" i="12"/>
  <c r="D46" i="12"/>
  <c r="C46" i="12"/>
  <c r="D44" i="12"/>
  <c r="C44" i="12"/>
  <c r="D40" i="12"/>
  <c r="D39" i="12" s="1"/>
  <c r="C40" i="12"/>
  <c r="C39" i="12" s="1"/>
  <c r="D32" i="12"/>
  <c r="C32" i="12"/>
  <c r="C31" i="12" s="1"/>
  <c r="D27" i="12"/>
  <c r="C27" i="12"/>
  <c r="C17" i="12"/>
  <c r="C16" i="12" s="1"/>
  <c r="D11" i="12"/>
  <c r="D10" i="12" s="1"/>
  <c r="C11" i="12"/>
  <c r="C10" i="12" s="1"/>
  <c r="H42" i="17"/>
  <c r="H41" i="17" s="1"/>
  <c r="H40" i="17" s="1"/>
  <c r="H39" i="17" s="1"/>
  <c r="H883" i="16"/>
  <c r="H882" i="16" s="1"/>
  <c r="H881" i="16" s="1"/>
  <c r="H880" i="16" s="1"/>
  <c r="H879" i="16" s="1"/>
  <c r="H877" i="16" s="1"/>
  <c r="H875" i="16"/>
  <c r="H874" i="16" s="1"/>
  <c r="H873" i="16" s="1"/>
  <c r="H872" i="16" s="1"/>
  <c r="H871" i="16" s="1"/>
  <c r="H801" i="16"/>
  <c r="H800" i="16" s="1"/>
  <c r="H799" i="16" s="1"/>
  <c r="H778" i="16"/>
  <c r="H776" i="16"/>
  <c r="H775" i="16" s="1"/>
  <c r="H717" i="16"/>
  <c r="H718" i="16" s="1"/>
  <c r="H643" i="16"/>
  <c r="H641" i="16"/>
  <c r="H640" i="16" s="1"/>
  <c r="H639" i="16" s="1"/>
  <c r="H638" i="16" s="1"/>
  <c r="H631" i="16"/>
  <c r="H632" i="16" s="1"/>
  <c r="H609" i="16"/>
  <c r="H610" i="16" s="1"/>
  <c r="G883" i="16"/>
  <c r="G882" i="16" s="1"/>
  <c r="G881" i="16" s="1"/>
  <c r="G880" i="16" s="1"/>
  <c r="G879" i="16" s="1"/>
  <c r="G875" i="16"/>
  <c r="G874" i="16" s="1"/>
  <c r="G873" i="16" s="1"/>
  <c r="G872" i="16" s="1"/>
  <c r="G871" i="16" s="1"/>
  <c r="G801" i="16"/>
  <c r="G800" i="16" s="1"/>
  <c r="G799" i="16" s="1"/>
  <c r="G776" i="16"/>
  <c r="G775" i="16" s="1"/>
  <c r="G717" i="16"/>
  <c r="G718" i="16" s="1"/>
  <c r="G631" i="16"/>
  <c r="G632" i="16" s="1"/>
  <c r="G609" i="16"/>
  <c r="G610" i="16" s="1"/>
  <c r="G26" i="16"/>
  <c r="G821" i="16"/>
  <c r="G820" i="16" s="1"/>
  <c r="G643" i="16"/>
  <c r="G641" i="16"/>
  <c r="G640" i="16" s="1"/>
  <c r="G639" i="16" s="1"/>
  <c r="G638" i="16" s="1"/>
  <c r="D81" i="12" l="1"/>
  <c r="C81" i="12"/>
  <c r="D58" i="12"/>
  <c r="H716" i="16"/>
  <c r="H715" i="16" s="1"/>
  <c r="H714" i="16" s="1"/>
  <c r="H713" i="16" s="1"/>
  <c r="H712" i="16" s="1"/>
  <c r="G24" i="16"/>
  <c r="D43" i="12"/>
  <c r="D42" i="12" s="1"/>
  <c r="C43" i="12"/>
  <c r="C42" i="12" s="1"/>
  <c r="H869" i="16"/>
  <c r="H876" i="16" s="1"/>
  <c r="H870" i="16"/>
  <c r="G716" i="16"/>
  <c r="G715" i="16" s="1"/>
  <c r="G714" i="16" s="1"/>
  <c r="G713" i="16" s="1"/>
  <c r="G712" i="16" s="1"/>
  <c r="H630" i="16"/>
  <c r="H629" i="16" s="1"/>
  <c r="H628" i="16" s="1"/>
  <c r="H627" i="16" s="1"/>
  <c r="H802" i="16"/>
  <c r="H608" i="16"/>
  <c r="H607" i="16" s="1"/>
  <c r="H606" i="16" s="1"/>
  <c r="H605" i="16" s="1"/>
  <c r="C58" i="12"/>
  <c r="D77" i="12"/>
  <c r="D76" i="12" s="1"/>
  <c r="C77" i="12"/>
  <c r="C76" i="12" s="1"/>
  <c r="D26" i="12"/>
  <c r="D25" i="12" s="1"/>
  <c r="D23" i="12"/>
  <c r="C26" i="12"/>
  <c r="C25" i="12" s="1"/>
  <c r="C23" i="12"/>
  <c r="D31" i="12"/>
  <c r="H878" i="16"/>
  <c r="H884" i="16"/>
  <c r="G608" i="16"/>
  <c r="G607" i="16" s="1"/>
  <c r="G606" i="16" s="1"/>
  <c r="G605" i="16" s="1"/>
  <c r="G869" i="16"/>
  <c r="G876" i="16" s="1"/>
  <c r="G870" i="16"/>
  <c r="G877" i="16"/>
  <c r="G878" i="16"/>
  <c r="G630" i="16"/>
  <c r="G629" i="16" s="1"/>
  <c r="G628" i="16" s="1"/>
  <c r="G627" i="16" s="1"/>
  <c r="G778" i="16"/>
  <c r="G802" i="16"/>
  <c r="F221" i="14"/>
  <c r="F220" i="14" s="1"/>
  <c r="F219" i="14" s="1"/>
  <c r="F218" i="14" s="1"/>
  <c r="F275" i="14"/>
  <c r="H402" i="15"/>
  <c r="G402" i="15"/>
  <c r="F345" i="3"/>
  <c r="F344" i="3" s="1"/>
  <c r="F343" i="3" s="1"/>
  <c r="F342" i="3" s="1"/>
  <c r="G862" i="4"/>
  <c r="C100" i="12" l="1"/>
  <c r="D100" i="12"/>
  <c r="F308" i="14"/>
  <c r="F307" i="14" s="1"/>
  <c r="F306" i="14" s="1"/>
  <c r="F305" i="14" s="1"/>
  <c r="H291" i="15"/>
  <c r="H290" i="15" s="1"/>
  <c r="H289" i="15" s="1"/>
  <c r="C22" i="12"/>
  <c r="D22" i="12"/>
  <c r="G884" i="16"/>
  <c r="G100" i="5"/>
  <c r="G291" i="15"/>
  <c r="G290" i="15" s="1"/>
  <c r="G289" i="15" s="1"/>
  <c r="G316" i="4"/>
  <c r="G315" i="4" s="1"/>
  <c r="D21" i="12" l="1"/>
  <c r="D9" i="12" s="1"/>
  <c r="C21" i="12"/>
  <c r="C9" i="12" s="1"/>
  <c r="D10" i="13" s="1"/>
  <c r="G9" i="15" s="1"/>
  <c r="G314" i="4"/>
  <c r="G308" i="14"/>
  <c r="G307" i="14" s="1"/>
  <c r="G306" i="14" s="1"/>
  <c r="G305" i="14" s="1"/>
  <c r="G98" i="5"/>
  <c r="G97" i="5" s="1"/>
  <c r="G96" i="5" s="1"/>
  <c r="F8" i="14" l="1"/>
  <c r="G1126" i="15"/>
  <c r="C159" i="12"/>
  <c r="G1095" i="15" s="1"/>
  <c r="D159" i="12"/>
  <c r="H1095" i="15" s="1"/>
  <c r="G96" i="16"/>
  <c r="G94" i="16"/>
  <c r="G93" i="16" s="1"/>
  <c r="G92" i="16" s="1"/>
  <c r="G91" i="16" s="1"/>
  <c r="G90" i="16" s="1"/>
  <c r="G95" i="5"/>
  <c r="G94" i="5" s="1"/>
  <c r="G8" i="14" l="1"/>
  <c r="H57" i="15" s="1"/>
  <c r="G789" i="14"/>
  <c r="G788" i="14" s="1"/>
  <c r="G787" i="14" s="1"/>
  <c r="G786" i="14" s="1"/>
  <c r="G785" i="14" s="1"/>
  <c r="F789" i="14"/>
  <c r="F788" i="14" s="1"/>
  <c r="F787" i="14" s="1"/>
  <c r="F786" i="14" s="1"/>
  <c r="F785" i="14" s="1"/>
  <c r="G477" i="14"/>
  <c r="G476" i="14" s="1"/>
  <c r="G475" i="14" s="1"/>
  <c r="G474" i="14" s="1"/>
  <c r="G473" i="14" s="1"/>
  <c r="F477" i="14"/>
  <c r="F476" i="14" s="1"/>
  <c r="F475" i="14" s="1"/>
  <c r="F474" i="14" s="1"/>
  <c r="F473" i="14" s="1"/>
  <c r="F543" i="3"/>
  <c r="F542" i="3" s="1"/>
  <c r="F541" i="3" s="1"/>
  <c r="F540" i="3" s="1"/>
  <c r="F539" i="3" s="1"/>
  <c r="F50" i="14" l="1"/>
  <c r="H1126" i="15"/>
  <c r="G681" i="5"/>
  <c r="G680" i="5" s="1"/>
  <c r="G679" i="5" s="1"/>
  <c r="G678" i="5" s="1"/>
  <c r="G677" i="5" s="1"/>
  <c r="G676" i="5" s="1"/>
  <c r="H404" i="15"/>
  <c r="H403" i="15" s="1"/>
  <c r="H401" i="15" s="1"/>
  <c r="G404" i="15"/>
  <c r="G403" i="15" s="1"/>
  <c r="G401" i="15" s="1"/>
  <c r="H1036" i="15"/>
  <c r="H1035" i="15" s="1"/>
  <c r="H1034" i="15" s="1"/>
  <c r="H1033" i="15" s="1"/>
  <c r="G1036" i="15"/>
  <c r="G1035" i="15" s="1"/>
  <c r="G1034" i="15" s="1"/>
  <c r="G1033" i="15" s="1"/>
  <c r="G1200" i="4" l="1"/>
  <c r="G1199" i="4" s="1"/>
  <c r="G1198" i="4" s="1"/>
  <c r="G1197" i="4" s="1"/>
  <c r="G363" i="14"/>
  <c r="G362" i="14" s="1"/>
  <c r="G361" i="14" s="1"/>
  <c r="G360" i="14" s="1"/>
  <c r="F363" i="14"/>
  <c r="F362" i="14" s="1"/>
  <c r="F361" i="14" s="1"/>
  <c r="F360" i="14" s="1"/>
  <c r="G922" i="15"/>
  <c r="G921" i="15" s="1"/>
  <c r="G920" i="15" s="1"/>
  <c r="G217" i="14"/>
  <c r="G216" i="14" s="1"/>
  <c r="G215" i="14" s="1"/>
  <c r="G214" i="14" s="1"/>
  <c r="G213" i="14" s="1"/>
  <c r="F216" i="14"/>
  <c r="F215" i="14" s="1"/>
  <c r="F214" i="14" s="1"/>
  <c r="F213" i="14" s="1"/>
  <c r="H158" i="15"/>
  <c r="H157" i="15" s="1"/>
  <c r="H156" i="15" s="1"/>
  <c r="H155" i="15" s="1"/>
  <c r="G158" i="15"/>
  <c r="G157" i="15" s="1"/>
  <c r="G156" i="15" s="1"/>
  <c r="G155" i="15" s="1"/>
  <c r="H163" i="15"/>
  <c r="H162" i="15" s="1"/>
  <c r="G163" i="15"/>
  <c r="G162" i="15" s="1"/>
  <c r="G161" i="15" l="1"/>
  <c r="G160" i="15"/>
  <c r="H160" i="15"/>
  <c r="H161" i="15"/>
  <c r="F224" i="3"/>
  <c r="F223" i="3" s="1"/>
  <c r="F215" i="3"/>
  <c r="G856" i="5"/>
  <c r="G857" i="5" s="1"/>
  <c r="G859" i="5"/>
  <c r="G858" i="5" s="1"/>
  <c r="G875" i="4"/>
  <c r="G874" i="4" s="1"/>
  <c r="G873" i="4" s="1"/>
  <c r="G872" i="4" s="1"/>
  <c r="G762" i="15" l="1"/>
  <c r="G761" i="15" s="1"/>
  <c r="G773" i="16"/>
  <c r="G860" i="5"/>
  <c r="G871" i="4"/>
  <c r="F43" i="3"/>
  <c r="C159" i="1"/>
  <c r="H773" i="16" l="1"/>
  <c r="H774" i="16" s="1"/>
  <c r="H762" i="15"/>
  <c r="H761" i="15" s="1"/>
  <c r="H760" i="15" s="1"/>
  <c r="H759" i="15" s="1"/>
  <c r="H758" i="15" s="1"/>
  <c r="H757" i="15" s="1"/>
  <c r="G760" i="15"/>
  <c r="G759" i="15" s="1"/>
  <c r="G758" i="15" s="1"/>
  <c r="G757" i="15" s="1"/>
  <c r="G772" i="16"/>
  <c r="G774" i="16"/>
  <c r="G870" i="4"/>
  <c r="H772" i="16" l="1"/>
  <c r="C24" i="1"/>
  <c r="C23" i="1" s="1"/>
  <c r="E23" i="1" s="1"/>
  <c r="G462" i="15" l="1"/>
  <c r="H463" i="15"/>
  <c r="G38" i="17"/>
  <c r="G853" i="14" l="1"/>
  <c r="G852" i="14" s="1"/>
  <c r="H125" i="16"/>
  <c r="H462" i="15"/>
  <c r="H38" i="17"/>
  <c r="H37" i="17" s="1"/>
  <c r="H36" i="17" s="1"/>
  <c r="H35" i="17" s="1"/>
  <c r="H34" i="17" s="1"/>
  <c r="H33" i="17" s="1"/>
  <c r="G42" i="17"/>
  <c r="G41" i="17" s="1"/>
  <c r="G40" i="17" s="1"/>
  <c r="G39" i="17" s="1"/>
  <c r="G40" i="6"/>
  <c r="G39" i="6" s="1"/>
  <c r="G522" i="4"/>
  <c r="H126" i="16" l="1"/>
  <c r="H124" i="16"/>
  <c r="G37" i="17"/>
  <c r="G36" i="17" s="1"/>
  <c r="G35" i="17" s="1"/>
  <c r="G34" i="17" s="1"/>
  <c r="G33" i="17" s="1"/>
  <c r="G28" i="6" l="1"/>
  <c r="G27" i="6" s="1"/>
  <c r="G26" i="6" s="1"/>
  <c r="G25" i="6" s="1"/>
  <c r="G24" i="6" s="1"/>
  <c r="G23" i="6" s="1"/>
  <c r="G21" i="6"/>
  <c r="F44" i="14" l="1"/>
  <c r="G44" i="14" s="1"/>
  <c r="D19" i="13" l="1"/>
  <c r="H1082" i="15"/>
  <c r="H1023" i="15"/>
  <c r="G994" i="15"/>
  <c r="G972" i="15"/>
  <c r="G943" i="15"/>
  <c r="G918" i="15"/>
  <c r="H918" i="15" s="1"/>
  <c r="G915" i="15"/>
  <c r="H915" i="15" s="1"/>
  <c r="G913" i="15"/>
  <c r="H913" i="15" s="1"/>
  <c r="G910" i="15"/>
  <c r="H910" i="15" s="1"/>
  <c r="G907" i="15"/>
  <c r="H907" i="15" s="1"/>
  <c r="H905" i="15"/>
  <c r="G901" i="15"/>
  <c r="H901" i="15" s="1"/>
  <c r="G898" i="15"/>
  <c r="G897" i="15" s="1"/>
  <c r="G896" i="15"/>
  <c r="H894" i="15"/>
  <c r="G280" i="14"/>
  <c r="G279" i="14" s="1"/>
  <c r="G276" i="14" s="1"/>
  <c r="G710" i="15"/>
  <c r="H710" i="15" s="1"/>
  <c r="G620" i="16"/>
  <c r="G615" i="16"/>
  <c r="G581" i="15"/>
  <c r="G547" i="15"/>
  <c r="G515" i="15"/>
  <c r="H515" i="15" s="1"/>
  <c r="G418" i="15"/>
  <c r="H418" i="15" s="1"/>
  <c r="G346" i="15"/>
  <c r="G288" i="15"/>
  <c r="G88" i="16" s="1"/>
  <c r="G280" i="15"/>
  <c r="G74" i="16" s="1"/>
  <c r="G271" i="15"/>
  <c r="G270" i="15" s="1"/>
  <c r="G261" i="15"/>
  <c r="F195" i="14" s="1"/>
  <c r="F194" i="14" s="1"/>
  <c r="F193" i="14" s="1"/>
  <c r="F189" i="14"/>
  <c r="F188" i="14" s="1"/>
  <c r="F187" i="14" s="1"/>
  <c r="G255" i="15"/>
  <c r="G107" i="16"/>
  <c r="G171" i="15"/>
  <c r="H171" i="15" s="1"/>
  <c r="G112" i="15"/>
  <c r="G396" i="16" s="1"/>
  <c r="H19" i="15"/>
  <c r="G224" i="16" l="1"/>
  <c r="G223" i="16" s="1"/>
  <c r="G222" i="16" s="1"/>
  <c r="F504" i="14"/>
  <c r="G260" i="16"/>
  <c r="G259" i="16" s="1"/>
  <c r="G258" i="16" s="1"/>
  <c r="G257" i="16" s="1"/>
  <c r="F511" i="14"/>
  <c r="F186" i="14"/>
  <c r="F185" i="14" s="1"/>
  <c r="F184" i="14" s="1"/>
  <c r="G767" i="16"/>
  <c r="G397" i="16"/>
  <c r="G395" i="16"/>
  <c r="G394" i="16" s="1"/>
  <c r="G75" i="16"/>
  <c r="G73" i="16"/>
  <c r="G72" i="16" s="1"/>
  <c r="G71" i="16" s="1"/>
  <c r="F576" i="14"/>
  <c r="F575" i="14" s="1"/>
  <c r="F574" i="14" s="1"/>
  <c r="G242" i="16"/>
  <c r="G225" i="16"/>
  <c r="F583" i="14"/>
  <c r="F582" i="14" s="1"/>
  <c r="F581" i="14" s="1"/>
  <c r="F580" i="14" s="1"/>
  <c r="G273" i="16"/>
  <c r="G108" i="16"/>
  <c r="G106" i="16"/>
  <c r="G105" i="16" s="1"/>
  <c r="G99" i="16" s="1"/>
  <c r="G98" i="16" s="1"/>
  <c r="G97" i="16" s="1"/>
  <c r="H896" i="15"/>
  <c r="F336" i="14"/>
  <c r="F335" i="14" s="1"/>
  <c r="F332" i="14" s="1"/>
  <c r="G895" i="15"/>
  <c r="G892" i="15" s="1"/>
  <c r="F93" i="14"/>
  <c r="F92" i="14" s="1"/>
  <c r="G96" i="15"/>
  <c r="H121" i="15"/>
  <c r="H120" i="15" s="1"/>
  <c r="H119" i="15" s="1"/>
  <c r="G120" i="15"/>
  <c r="G119" i="15" s="1"/>
  <c r="H178" i="15"/>
  <c r="F236" i="14"/>
  <c r="F235" i="14" s="1"/>
  <c r="F234" i="14" s="1"/>
  <c r="G177" i="15"/>
  <c r="G176" i="15" s="1"/>
  <c r="F659" i="14"/>
  <c r="F658" i="14" s="1"/>
  <c r="F657" i="14" s="1"/>
  <c r="G309" i="15"/>
  <c r="G308" i="15" s="1"/>
  <c r="H421" i="15"/>
  <c r="F805" i="14"/>
  <c r="F804" i="14" s="1"/>
  <c r="F803" i="14" s="1"/>
  <c r="G420" i="15"/>
  <c r="G419" i="15" s="1"/>
  <c r="H433" i="15"/>
  <c r="F817" i="14"/>
  <c r="F816" i="14" s="1"/>
  <c r="F815" i="14" s="1"/>
  <c r="G432" i="15"/>
  <c r="G431" i="15" s="1"/>
  <c r="G553" i="15"/>
  <c r="G552" i="15" s="1"/>
  <c r="G551" i="15" s="1"/>
  <c r="F619" i="14"/>
  <c r="F618" i="14" s="1"/>
  <c r="F617" i="14" s="1"/>
  <c r="G689" i="15"/>
  <c r="G688" i="15" s="1"/>
  <c r="H852" i="15"/>
  <c r="H851" i="15" s="1"/>
  <c r="H850" i="15" s="1"/>
  <c r="G851" i="15"/>
  <c r="G850" i="15" s="1"/>
  <c r="H958" i="15"/>
  <c r="G957" i="15"/>
  <c r="G956" i="15" s="1"/>
  <c r="F398" i="14"/>
  <c r="F397" i="14" s="1"/>
  <c r="F396" i="14" s="1"/>
  <c r="F430" i="14"/>
  <c r="F429" i="14" s="1"/>
  <c r="F428" i="14" s="1"/>
  <c r="G989" i="15"/>
  <c r="G988" i="15" s="1"/>
  <c r="G1054" i="15"/>
  <c r="F16" i="14"/>
  <c r="F105" i="14"/>
  <c r="F104" i="14" s="1"/>
  <c r="F103" i="14" s="1"/>
  <c r="F102" i="14" s="1"/>
  <c r="G108" i="15"/>
  <c r="G107" i="15" s="1"/>
  <c r="H140" i="15"/>
  <c r="F167" i="14"/>
  <c r="F166" i="14" s="1"/>
  <c r="F165" i="14" s="1"/>
  <c r="G139" i="15"/>
  <c r="G138" i="15" s="1"/>
  <c r="G266" i="15"/>
  <c r="G265" i="15" s="1"/>
  <c r="F198" i="14"/>
  <c r="F197" i="14" s="1"/>
  <c r="F196" i="14" s="1"/>
  <c r="F650" i="14"/>
  <c r="F649" i="14" s="1"/>
  <c r="G300" i="15"/>
  <c r="F704" i="14"/>
  <c r="F703" i="14" s="1"/>
  <c r="G351" i="15"/>
  <c r="F794" i="14"/>
  <c r="F793" i="14" s="1"/>
  <c r="F792" i="14" s="1"/>
  <c r="G409" i="15"/>
  <c r="G408" i="15" s="1"/>
  <c r="H426" i="15"/>
  <c r="F810" i="14"/>
  <c r="F809" i="14" s="1"/>
  <c r="G425" i="15"/>
  <c r="G456" i="15"/>
  <c r="G455" i="15" s="1"/>
  <c r="G576" i="15"/>
  <c r="G575" i="15" s="1"/>
  <c r="G568" i="15" s="1"/>
  <c r="F740" i="14"/>
  <c r="F739" i="14" s="1"/>
  <c r="F738" i="14" s="1"/>
  <c r="G754" i="15"/>
  <c r="G753" i="15" s="1"/>
  <c r="H811" i="15"/>
  <c r="F931" i="14"/>
  <c r="F930" i="14" s="1"/>
  <c r="F929" i="14" s="1"/>
  <c r="G810" i="15"/>
  <c r="G809" i="15" s="1"/>
  <c r="F407" i="14"/>
  <c r="F406" i="14" s="1"/>
  <c r="F405" i="14" s="1"/>
  <c r="G966" i="15"/>
  <c r="G965" i="15" s="1"/>
  <c r="F419" i="14"/>
  <c r="F418" i="14" s="1"/>
  <c r="F417" i="14" s="1"/>
  <c r="G978" i="15"/>
  <c r="G977" i="15" s="1"/>
  <c r="H1008" i="15"/>
  <c r="F448" i="14"/>
  <c r="F447" i="14" s="1"/>
  <c r="G1007" i="15"/>
  <c r="H1027" i="15"/>
  <c r="F467" i="14"/>
  <c r="F466" i="14" s="1"/>
  <c r="G1026" i="15"/>
  <c r="F19" i="14"/>
  <c r="F18" i="14" s="1"/>
  <c r="G1057" i="15"/>
  <c r="G1056" i="15" s="1"/>
  <c r="H1090" i="15"/>
  <c r="F113" i="14"/>
  <c r="F112" i="14" s="1"/>
  <c r="G1089" i="15"/>
  <c r="H61" i="15"/>
  <c r="F54" i="14"/>
  <c r="F53" i="14" s="1"/>
  <c r="G60" i="15"/>
  <c r="F207" i="14"/>
  <c r="F206" i="14" s="1"/>
  <c r="F205" i="14" s="1"/>
  <c r="G153" i="15"/>
  <c r="G152" i="15" s="1"/>
  <c r="G151" i="15" s="1"/>
  <c r="F255" i="14"/>
  <c r="F254" i="14" s="1"/>
  <c r="F253" i="14" s="1"/>
  <c r="G196" i="15"/>
  <c r="G195" i="15" s="1"/>
  <c r="H224" i="15"/>
  <c r="F835" i="14"/>
  <c r="F834" i="14" s="1"/>
  <c r="F833" i="14" s="1"/>
  <c r="G223" i="15"/>
  <c r="G222" i="15" s="1"/>
  <c r="G221" i="15" s="1"/>
  <c r="G220" i="15" s="1"/>
  <c r="F652" i="14"/>
  <c r="F651" i="14" s="1"/>
  <c r="G302" i="15"/>
  <c r="F685" i="14"/>
  <c r="F684" i="14" s="1"/>
  <c r="F683" i="14" s="1"/>
  <c r="G335" i="15"/>
  <c r="G334" i="15" s="1"/>
  <c r="F708" i="14"/>
  <c r="F707" i="14" s="1"/>
  <c r="F706" i="14" s="1"/>
  <c r="G355" i="15"/>
  <c r="G354" i="15" s="1"/>
  <c r="F757" i="14"/>
  <c r="F756" i="14" s="1"/>
  <c r="F753" i="14" s="1"/>
  <c r="G372" i="15"/>
  <c r="G369" i="15" s="1"/>
  <c r="H416" i="15"/>
  <c r="F800" i="14"/>
  <c r="F799" i="14" s="1"/>
  <c r="F798" i="14" s="1"/>
  <c r="G415" i="15"/>
  <c r="G414" i="15" s="1"/>
  <c r="H428" i="15"/>
  <c r="F812" i="14"/>
  <c r="F811" i="14" s="1"/>
  <c r="G427" i="15"/>
  <c r="G460" i="15"/>
  <c r="G459" i="15" s="1"/>
  <c r="G770" i="16"/>
  <c r="G769" i="16" s="1"/>
  <c r="G543" i="15"/>
  <c r="G542" i="15" s="1"/>
  <c r="G607" i="15"/>
  <c r="G606" i="15" s="1"/>
  <c r="F891" i="14"/>
  <c r="F890" i="14" s="1"/>
  <c r="F889" i="14" s="1"/>
  <c r="F888" i="14" s="1"/>
  <c r="G769" i="15"/>
  <c r="G768" i="15" s="1"/>
  <c r="G767" i="15" s="1"/>
  <c r="H823" i="15"/>
  <c r="F943" i="14"/>
  <c r="F942" i="14" s="1"/>
  <c r="F941" i="14" s="1"/>
  <c r="G822" i="15"/>
  <c r="G821" i="15" s="1"/>
  <c r="G983" i="15"/>
  <c r="F424" i="14"/>
  <c r="F423" i="14" s="1"/>
  <c r="H1010" i="15"/>
  <c r="F450" i="14"/>
  <c r="F449" i="14" s="1"/>
  <c r="G1009" i="15"/>
  <c r="H1032" i="15"/>
  <c r="F472" i="14"/>
  <c r="F471" i="14" s="1"/>
  <c r="F470" i="14" s="1"/>
  <c r="G1031" i="15"/>
  <c r="G1030" i="15" s="1"/>
  <c r="F24" i="14"/>
  <c r="F23" i="14" s="1"/>
  <c r="F22" i="14" s="1"/>
  <c r="G1062" i="15"/>
  <c r="G1061" i="15" s="1"/>
  <c r="H1093" i="15"/>
  <c r="F116" i="14"/>
  <c r="F115" i="14" s="1"/>
  <c r="F114" i="14" s="1"/>
  <c r="G1092" i="15"/>
  <c r="G1091" i="15" s="1"/>
  <c r="F124" i="14"/>
  <c r="F123" i="14" s="1"/>
  <c r="G20" i="15"/>
  <c r="F648" i="14"/>
  <c r="F647" i="14" s="1"/>
  <c r="G298" i="15"/>
  <c r="F751" i="14"/>
  <c r="F750" i="14" s="1"/>
  <c r="G366" i="15"/>
  <c r="H502" i="15"/>
  <c r="H501" i="15" s="1"/>
  <c r="H500" i="15" s="1"/>
  <c r="G501" i="15"/>
  <c r="G500" i="15" s="1"/>
  <c r="H739" i="15"/>
  <c r="F724" i="14"/>
  <c r="F723" i="14" s="1"/>
  <c r="F722" i="14" s="1"/>
  <c r="G738" i="15"/>
  <c r="G737" i="15" s="1"/>
  <c r="F127" i="14"/>
  <c r="F126" i="14" s="1"/>
  <c r="F125" i="14" s="1"/>
  <c r="G23" i="15"/>
  <c r="G22" i="15" s="1"/>
  <c r="H190" i="15"/>
  <c r="F248" i="14"/>
  <c r="F247" i="14" s="1"/>
  <c r="F246" i="14" s="1"/>
  <c r="G189" i="15"/>
  <c r="G188" i="15" s="1"/>
  <c r="F300" i="14"/>
  <c r="F299" i="14" s="1"/>
  <c r="F298" i="14" s="1"/>
  <c r="F297" i="14" s="1"/>
  <c r="G283" i="15"/>
  <c r="G282" i="15" s="1"/>
  <c r="G281" i="15" s="1"/>
  <c r="F665" i="14"/>
  <c r="F664" i="14" s="1"/>
  <c r="F663" i="14" s="1"/>
  <c r="G315" i="15"/>
  <c r="G314" i="15" s="1"/>
  <c r="G122" i="14"/>
  <c r="G121" i="14" s="1"/>
  <c r="H18" i="15"/>
  <c r="H69" i="15"/>
  <c r="F62" i="14"/>
  <c r="F61" i="14" s="1"/>
  <c r="F60" i="14" s="1"/>
  <c r="G68" i="15"/>
  <c r="G67" i="15" s="1"/>
  <c r="H118" i="15"/>
  <c r="G117" i="15"/>
  <c r="G116" i="15" s="1"/>
  <c r="F262" i="14"/>
  <c r="F261" i="14" s="1"/>
  <c r="F260" i="14" s="1"/>
  <c r="G203" i="15"/>
  <c r="G202" i="15" s="1"/>
  <c r="F862" i="14"/>
  <c r="F861" i="14" s="1"/>
  <c r="F860" i="14" s="1"/>
  <c r="G228" i="15"/>
  <c r="G227" i="15" s="1"/>
  <c r="F192" i="14"/>
  <c r="F191" i="14" s="1"/>
  <c r="F190" i="14" s="1"/>
  <c r="G306" i="15"/>
  <c r="G305" i="15" s="1"/>
  <c r="F656" i="14"/>
  <c r="F655" i="14" s="1"/>
  <c r="F654" i="14" s="1"/>
  <c r="F695" i="14"/>
  <c r="F694" i="14" s="1"/>
  <c r="F693" i="14" s="1"/>
  <c r="G342" i="15"/>
  <c r="G341" i="15" s="1"/>
  <c r="G364" i="15"/>
  <c r="F749" i="14"/>
  <c r="F748" i="14" s="1"/>
  <c r="F761" i="14"/>
  <c r="F760" i="14" s="1"/>
  <c r="F759" i="14" s="1"/>
  <c r="G376" i="15"/>
  <c r="G375" i="15" s="1"/>
  <c r="H430" i="15"/>
  <c r="F814" i="14"/>
  <c r="F813" i="14" s="1"/>
  <c r="G429" i="15"/>
  <c r="G566" i="15"/>
  <c r="G565" i="15" s="1"/>
  <c r="G590" i="15"/>
  <c r="G589" i="15" s="1"/>
  <c r="G588" i="15" s="1"/>
  <c r="G613" i="15"/>
  <c r="G612" i="15" s="1"/>
  <c r="G611" i="15" s="1"/>
  <c r="G632" i="15"/>
  <c r="G631" i="15" s="1"/>
  <c r="F688" i="14"/>
  <c r="F687" i="14" s="1"/>
  <c r="F686" i="14" s="1"/>
  <c r="G718" i="15"/>
  <c r="G717" i="15" s="1"/>
  <c r="F901" i="14"/>
  <c r="F900" i="14" s="1"/>
  <c r="F899" i="14" s="1"/>
  <c r="H838" i="15"/>
  <c r="F141" i="14"/>
  <c r="F140" i="14" s="1"/>
  <c r="F139" i="14" s="1"/>
  <c r="G837" i="15"/>
  <c r="G836" i="15" s="1"/>
  <c r="G975" i="15"/>
  <c r="G974" i="15" s="1"/>
  <c r="F416" i="14"/>
  <c r="F415" i="14" s="1"/>
  <c r="F414" i="14" s="1"/>
  <c r="H1015" i="15"/>
  <c r="F455" i="14"/>
  <c r="F454" i="14" s="1"/>
  <c r="F453" i="14" s="1"/>
  <c r="G1014" i="15"/>
  <c r="G1013" i="15" s="1"/>
  <c r="H1045" i="15"/>
  <c r="F884" i="14"/>
  <c r="F883" i="14" s="1"/>
  <c r="F882" i="14" s="1"/>
  <c r="G1044" i="15"/>
  <c r="G1043" i="15" s="1"/>
  <c r="H1079" i="15"/>
  <c r="F41" i="14"/>
  <c r="F40" i="14" s="1"/>
  <c r="G1078" i="15"/>
  <c r="F765" i="14"/>
  <c r="F764" i="14" s="1"/>
  <c r="F763" i="14" s="1"/>
  <c r="F762" i="14" s="1"/>
  <c r="G380" i="15"/>
  <c r="G379" i="15" s="1"/>
  <c r="G378" i="15" s="1"/>
  <c r="G1118" i="15" s="1"/>
  <c r="G626" i="15"/>
  <c r="G625" i="15" s="1"/>
  <c r="G702" i="15"/>
  <c r="G701" i="15" s="1"/>
  <c r="F632" i="14"/>
  <c r="F631" i="14" s="1"/>
  <c r="F630" i="14" s="1"/>
  <c r="G560" i="15"/>
  <c r="G559" i="15" s="1"/>
  <c r="F339" i="14"/>
  <c r="F338" i="14" s="1"/>
  <c r="F337" i="14" s="1"/>
  <c r="H898" i="15"/>
  <c r="H897" i="15" s="1"/>
  <c r="H109" i="15"/>
  <c r="H392" i="16" s="1"/>
  <c r="H267" i="15"/>
  <c r="G793" i="16"/>
  <c r="H346" i="15"/>
  <c r="H41" i="16" s="1"/>
  <c r="H42" i="16" s="1"/>
  <c r="G41" i="16"/>
  <c r="G566" i="14"/>
  <c r="G565" i="14" s="1"/>
  <c r="G564" i="14" s="1"/>
  <c r="G200" i="16"/>
  <c r="G826" i="16"/>
  <c r="H781" i="15"/>
  <c r="G427" i="16"/>
  <c r="G664" i="16"/>
  <c r="H154" i="15"/>
  <c r="G851" i="16"/>
  <c r="G702" i="16"/>
  <c r="G781" i="16"/>
  <c r="H316" i="15"/>
  <c r="G530" i="16"/>
  <c r="G51" i="16"/>
  <c r="G832" i="16"/>
  <c r="G817" i="16"/>
  <c r="H994" i="15"/>
  <c r="H690" i="16" s="1"/>
  <c r="G690" i="16"/>
  <c r="G709" i="16"/>
  <c r="G192" i="14"/>
  <c r="G191" i="14" s="1"/>
  <c r="G190" i="14" s="1"/>
  <c r="G785" i="16"/>
  <c r="H303" i="15"/>
  <c r="G476" i="16"/>
  <c r="H822" i="16"/>
  <c r="H821" i="16" s="1"/>
  <c r="H820" i="16" s="1"/>
  <c r="G823" i="16"/>
  <c r="H97" i="15"/>
  <c r="H374" i="16" s="1"/>
  <c r="H217" i="15"/>
  <c r="G350" i="16"/>
  <c r="H307" i="15"/>
  <c r="G507" i="16"/>
  <c r="H343" i="15"/>
  <c r="G37" i="16"/>
  <c r="H365" i="15"/>
  <c r="G485" i="16"/>
  <c r="H377" i="15"/>
  <c r="G536" i="16"/>
  <c r="G857" i="14"/>
  <c r="G856" i="14" s="1"/>
  <c r="G855" i="14" s="1"/>
  <c r="G854" i="14" s="1"/>
  <c r="H591" i="15"/>
  <c r="G521" i="14" s="1"/>
  <c r="G520" i="14" s="1"/>
  <c r="G519" i="14" s="1"/>
  <c r="G518" i="14" s="1"/>
  <c r="G289" i="16"/>
  <c r="H627" i="15"/>
  <c r="G560" i="14" s="1"/>
  <c r="G559" i="14" s="1"/>
  <c r="G558" i="14" s="1"/>
  <c r="G192" i="16"/>
  <c r="G310" i="16"/>
  <c r="H984" i="15"/>
  <c r="G424" i="14" s="1"/>
  <c r="G423" i="14" s="1"/>
  <c r="G675" i="16"/>
  <c r="H284" i="15"/>
  <c r="H81" i="16" s="1"/>
  <c r="H310" i="15"/>
  <c r="G511" i="16"/>
  <c r="H367" i="15"/>
  <c r="G488" i="16"/>
  <c r="G524" i="14"/>
  <c r="G523" i="14" s="1"/>
  <c r="G522" i="14" s="1"/>
  <c r="H112" i="15"/>
  <c r="H396" i="16" s="1"/>
  <c r="G805" i="16"/>
  <c r="F203" i="14"/>
  <c r="F202" i="14" s="1"/>
  <c r="F201" i="14" s="1"/>
  <c r="F200" i="14" s="1"/>
  <c r="H301" i="15"/>
  <c r="G473" i="16"/>
  <c r="H457" i="15"/>
  <c r="H32" i="17" s="1"/>
  <c r="G25" i="17"/>
  <c r="G24" i="17" s="1"/>
  <c r="G23" i="17" s="1"/>
  <c r="G22" i="17" s="1"/>
  <c r="G21" i="17" s="1"/>
  <c r="H577" i="15"/>
  <c r="G507" i="14" s="1"/>
  <c r="G683" i="16"/>
  <c r="H230" i="15"/>
  <c r="G404" i="16"/>
  <c r="H356" i="15"/>
  <c r="G58" i="16"/>
  <c r="G13" i="17"/>
  <c r="G12" i="17" s="1"/>
  <c r="G11" i="17" s="1"/>
  <c r="G10" i="17" s="1"/>
  <c r="G9" i="17" s="1"/>
  <c r="H461" i="15"/>
  <c r="H561" i="15"/>
  <c r="G491" i="14" s="1"/>
  <c r="G490" i="14" s="1"/>
  <c r="G489" i="14" s="1"/>
  <c r="G167" i="16"/>
  <c r="G541" i="14"/>
  <c r="G540" i="14" s="1"/>
  <c r="G539" i="14" s="1"/>
  <c r="G538" i="14" s="1"/>
  <c r="G537" i="14" s="1"/>
  <c r="G812" i="16"/>
  <c r="H703" i="15"/>
  <c r="G209" i="16"/>
  <c r="G650" i="16"/>
  <c r="G668" i="16"/>
  <c r="G694" i="16"/>
  <c r="H547" i="15"/>
  <c r="H354" i="16"/>
  <c r="G354" i="16"/>
  <c r="H107" i="16"/>
  <c r="H261" i="15"/>
  <c r="G789" i="16"/>
  <c r="H280" i="15"/>
  <c r="H74" i="16" s="1"/>
  <c r="H288" i="15"/>
  <c r="H88" i="16" s="1"/>
  <c r="H581" i="15"/>
  <c r="G614" i="16"/>
  <c r="G613" i="16" s="1"/>
  <c r="G612" i="16" s="1"/>
  <c r="G616" i="16"/>
  <c r="H643" i="15"/>
  <c r="H242" i="16" s="1"/>
  <c r="H650" i="15"/>
  <c r="H273" i="16" s="1"/>
  <c r="G619" i="16"/>
  <c r="G618" i="16" s="1"/>
  <c r="G617" i="16" s="1"/>
  <c r="G621" i="16"/>
  <c r="F614" i="14" s="1"/>
  <c r="F613" i="14" s="1"/>
  <c r="F612" i="14" s="1"/>
  <c r="F611" i="14" s="1"/>
  <c r="F610" i="14" s="1"/>
  <c r="H785" i="15"/>
  <c r="H434" i="16" s="1"/>
  <c r="H433" i="16" s="1"/>
  <c r="H432" i="16" s="1"/>
  <c r="G434" i="16"/>
  <c r="H777" i="15"/>
  <c r="G898" i="14" s="1"/>
  <c r="G897" i="14" s="1"/>
  <c r="G896" i="14" s="1"/>
  <c r="G423" i="16"/>
  <c r="H774" i="15"/>
  <c r="H419" i="16" s="1"/>
  <c r="H418" i="16" s="1"/>
  <c r="H417" i="16" s="1"/>
  <c r="G419" i="16"/>
  <c r="H15" i="16"/>
  <c r="H14" i="16" s="1"/>
  <c r="H13" i="16" s="1"/>
  <c r="G15" i="16"/>
  <c r="H943" i="15"/>
  <c r="H752" i="16" s="1"/>
  <c r="H753" i="16" s="1"/>
  <c r="G752" i="16"/>
  <c r="H939" i="15"/>
  <c r="H745" i="16" s="1"/>
  <c r="H744" i="16" s="1"/>
  <c r="H743" i="16" s="1"/>
  <c r="H742" i="16" s="1"/>
  <c r="H741" i="16" s="1"/>
  <c r="H740" i="16" s="1"/>
  <c r="G745" i="16"/>
  <c r="H947" i="15"/>
  <c r="H759" i="16" s="1"/>
  <c r="H760" i="16" s="1"/>
  <c r="G759" i="16"/>
  <c r="H679" i="16"/>
  <c r="G679" i="16"/>
  <c r="H972" i="15"/>
  <c r="H657" i="16" s="1"/>
  <c r="H658" i="16" s="1"/>
  <c r="G657" i="16"/>
  <c r="H381" i="15"/>
  <c r="G563" i="16"/>
  <c r="H614" i="15"/>
  <c r="G547" i="14" s="1"/>
  <c r="G546" i="14" s="1"/>
  <c r="G545" i="14" s="1"/>
  <c r="G544" i="14" s="1"/>
  <c r="G151" i="16"/>
  <c r="H554" i="15"/>
  <c r="G484" i="14" s="1"/>
  <c r="G483" i="14" s="1"/>
  <c r="G482" i="14" s="1"/>
  <c r="G481" i="14" s="1"/>
  <c r="G146" i="16"/>
  <c r="H770" i="15"/>
  <c r="G412" i="16"/>
  <c r="G557" i="14"/>
  <c r="G556" i="14" s="1"/>
  <c r="G555" i="14" s="1"/>
  <c r="G188" i="16"/>
  <c r="G497" i="14"/>
  <c r="G496" i="14" s="1"/>
  <c r="G495" i="14" s="1"/>
  <c r="G175" i="16"/>
  <c r="H25" i="16"/>
  <c r="H373" i="15"/>
  <c r="G523" i="16"/>
  <c r="H520" i="16"/>
  <c r="G520" i="16"/>
  <c r="H299" i="15"/>
  <c r="G470" i="16"/>
  <c r="H620" i="16"/>
  <c r="H615" i="16"/>
  <c r="H272" i="15"/>
  <c r="H271" i="15" s="1"/>
  <c r="H270" i="15" s="1"/>
  <c r="G887" i="5"/>
  <c r="G732" i="5"/>
  <c r="G704" i="5"/>
  <c r="F183" i="14" l="1"/>
  <c r="H350" i="16"/>
  <c r="H351" i="16" s="1"/>
  <c r="G313" i="14"/>
  <c r="G312" i="14" s="1"/>
  <c r="G311" i="14" s="1"/>
  <c r="G310" i="14" s="1"/>
  <c r="G309" i="14" s="1"/>
  <c r="H423" i="16"/>
  <c r="H422" i="16" s="1"/>
  <c r="H421" i="16" s="1"/>
  <c r="H776" i="15"/>
  <c r="H775" i="15" s="1"/>
  <c r="H19" i="17"/>
  <c r="H18" i="17" s="1"/>
  <c r="H17" i="17" s="1"/>
  <c r="H16" i="17" s="1"/>
  <c r="H15" i="17" s="1"/>
  <c r="H20" i="17"/>
  <c r="G611" i="16"/>
  <c r="H62" i="14"/>
  <c r="G597" i="14"/>
  <c r="G596" i="14" s="1"/>
  <c r="G595" i="14" s="1"/>
  <c r="F653" i="14"/>
  <c r="H224" i="16"/>
  <c r="H225" i="16" s="1"/>
  <c r="G504" i="14"/>
  <c r="G261" i="16"/>
  <c r="H260" i="16"/>
  <c r="H259" i="16" s="1"/>
  <c r="H258" i="16" s="1"/>
  <c r="G511" i="14"/>
  <c r="G768" i="16"/>
  <c r="G766" i="16"/>
  <c r="G765" i="16" s="1"/>
  <c r="G304" i="15"/>
  <c r="G851" i="14"/>
  <c r="G850" i="14" s="1"/>
  <c r="G849" i="14" s="1"/>
  <c r="G848" i="14" s="1"/>
  <c r="H122" i="16"/>
  <c r="G506" i="14"/>
  <c r="G505" i="14" s="1"/>
  <c r="G498" i="14" s="1"/>
  <c r="H228" i="16"/>
  <c r="G847" i="14"/>
  <c r="G846" i="14" s="1"/>
  <c r="G845" i="14" s="1"/>
  <c r="G844" i="14" s="1"/>
  <c r="H115" i="16"/>
  <c r="H82" i="16"/>
  <c r="H80" i="16"/>
  <c r="H79" i="16" s="1"/>
  <c r="H78" i="16" s="1"/>
  <c r="H87" i="16"/>
  <c r="H86" i="16" s="1"/>
  <c r="H85" i="16" s="1"/>
  <c r="H89" i="16"/>
  <c r="G274" i="16"/>
  <c r="G272" i="16"/>
  <c r="G271" i="16" s="1"/>
  <c r="G270" i="16" s="1"/>
  <c r="G256" i="16" s="1"/>
  <c r="G255" i="16" s="1"/>
  <c r="G243" i="16"/>
  <c r="G241" i="16"/>
  <c r="G240" i="16" s="1"/>
  <c r="H272" i="16"/>
  <c r="H271" i="16" s="1"/>
  <c r="H274" i="16"/>
  <c r="H106" i="16"/>
  <c r="H105" i="16" s="1"/>
  <c r="H108" i="16"/>
  <c r="H241" i="16"/>
  <c r="H240" i="16" s="1"/>
  <c r="H243" i="16"/>
  <c r="H75" i="16"/>
  <c r="H73" i="16"/>
  <c r="H72" i="16" s="1"/>
  <c r="H71" i="16" s="1"/>
  <c r="G576" i="14"/>
  <c r="G575" i="14" s="1"/>
  <c r="G574" i="14" s="1"/>
  <c r="G583" i="14"/>
  <c r="G582" i="14" s="1"/>
  <c r="G581" i="14" s="1"/>
  <c r="G297" i="15"/>
  <c r="F646" i="14"/>
  <c r="G771" i="16"/>
  <c r="F808" i="14"/>
  <c r="H466" i="15"/>
  <c r="H465" i="15" s="1"/>
  <c r="H507" i="16"/>
  <c r="H508" i="16" s="1"/>
  <c r="G656" i="14"/>
  <c r="G655" i="14" s="1"/>
  <c r="G654" i="14" s="1"/>
  <c r="H306" i="15"/>
  <c r="H305" i="15" s="1"/>
  <c r="H832" i="16"/>
  <c r="H831" i="16" s="1"/>
  <c r="H830" i="16" s="1"/>
  <c r="H829" i="16" s="1"/>
  <c r="H828" i="16" s="1"/>
  <c r="G794" i="14"/>
  <c r="G793" i="14" s="1"/>
  <c r="G792" i="14" s="1"/>
  <c r="H409" i="15"/>
  <c r="H408" i="15" s="1"/>
  <c r="H781" i="16"/>
  <c r="H780" i="16" s="1"/>
  <c r="H779" i="16" s="1"/>
  <c r="G189" i="14"/>
  <c r="G188" i="14" s="1"/>
  <c r="G187" i="14" s="1"/>
  <c r="H851" i="16"/>
  <c r="H852" i="16" s="1"/>
  <c r="G207" i="14"/>
  <c r="G206" i="14" s="1"/>
  <c r="G205" i="14" s="1"/>
  <c r="H153" i="15"/>
  <c r="H152" i="15" s="1"/>
  <c r="H151" i="15" s="1"/>
  <c r="H427" i="16"/>
  <c r="H426" i="16" s="1"/>
  <c r="H425" i="16" s="1"/>
  <c r="H416" i="16" s="1"/>
  <c r="H415" i="16" s="1"/>
  <c r="H414" i="16" s="1"/>
  <c r="G901" i="14"/>
  <c r="G900" i="14" s="1"/>
  <c r="G899" i="14" s="1"/>
  <c r="G892" i="14" s="1"/>
  <c r="H780" i="15"/>
  <c r="H779" i="15" s="1"/>
  <c r="H778" i="15" s="1"/>
  <c r="H200" i="16"/>
  <c r="H201" i="16" s="1"/>
  <c r="H632" i="15"/>
  <c r="H631" i="15" s="1"/>
  <c r="H793" i="16"/>
  <c r="H794" i="16" s="1"/>
  <c r="G198" i="14"/>
  <c r="G197" i="14" s="1"/>
  <c r="G196" i="14" s="1"/>
  <c r="H266" i="15"/>
  <c r="H265" i="15" s="1"/>
  <c r="G884" i="14"/>
  <c r="G883" i="14" s="1"/>
  <c r="G882" i="14" s="1"/>
  <c r="H1044" i="15"/>
  <c r="H1043" i="15" s="1"/>
  <c r="H837" i="15"/>
  <c r="H836" i="15" s="1"/>
  <c r="G141" i="14"/>
  <c r="G140" i="14" s="1"/>
  <c r="G139" i="14" s="1"/>
  <c r="G943" i="14"/>
  <c r="G942" i="14" s="1"/>
  <c r="G941" i="14" s="1"/>
  <c r="H822" i="15"/>
  <c r="H821" i="15" s="1"/>
  <c r="G398" i="14"/>
  <c r="G397" i="14" s="1"/>
  <c r="G396" i="14" s="1"/>
  <c r="H957" i="15"/>
  <c r="H956" i="15" s="1"/>
  <c r="G805" i="14"/>
  <c r="G804" i="14" s="1"/>
  <c r="G803" i="14" s="1"/>
  <c r="H420" i="15"/>
  <c r="H419" i="15" s="1"/>
  <c r="H175" i="16"/>
  <c r="H174" i="16" s="1"/>
  <c r="H173" i="16" s="1"/>
  <c r="H566" i="15"/>
  <c r="H565" i="15" s="1"/>
  <c r="H146" i="16"/>
  <c r="H145" i="16" s="1"/>
  <c r="H144" i="16" s="1"/>
  <c r="H143" i="16" s="1"/>
  <c r="H553" i="15"/>
  <c r="H552" i="15" s="1"/>
  <c r="H551" i="15" s="1"/>
  <c r="H789" i="16"/>
  <c r="H788" i="16" s="1"/>
  <c r="H787" i="16" s="1"/>
  <c r="G195" i="14"/>
  <c r="G194" i="14" s="1"/>
  <c r="G193" i="14" s="1"/>
  <c r="H694" i="16"/>
  <c r="H695" i="16" s="1"/>
  <c r="H996" i="15"/>
  <c r="H995" i="15" s="1"/>
  <c r="G437" i="14"/>
  <c r="G436" i="14" s="1"/>
  <c r="G435" i="14" s="1"/>
  <c r="H812" i="16"/>
  <c r="H813" i="16" s="1"/>
  <c r="H607" i="15"/>
  <c r="H606" i="15" s="1"/>
  <c r="H456" i="15"/>
  <c r="H455" i="15" s="1"/>
  <c r="H488" i="16"/>
  <c r="H489" i="16" s="1"/>
  <c r="G751" i="14"/>
  <c r="G750" i="14" s="1"/>
  <c r="H366" i="15"/>
  <c r="G300" i="14"/>
  <c r="G299" i="14" s="1"/>
  <c r="G298" i="14" s="1"/>
  <c r="G297" i="14" s="1"/>
  <c r="H283" i="15"/>
  <c r="H282" i="15" s="1"/>
  <c r="H281" i="15" s="1"/>
  <c r="H289" i="16"/>
  <c r="H288" i="16" s="1"/>
  <c r="H287" i="16" s="1"/>
  <c r="H286" i="16" s="1"/>
  <c r="H590" i="15"/>
  <c r="H589" i="15" s="1"/>
  <c r="H588" i="15" s="1"/>
  <c r="H1078" i="15"/>
  <c r="G41" i="14"/>
  <c r="G40" i="14" s="1"/>
  <c r="G724" i="14"/>
  <c r="G723" i="14" s="1"/>
  <c r="G722" i="14" s="1"/>
  <c r="H738" i="15"/>
  <c r="H737" i="15" s="1"/>
  <c r="G800" i="14"/>
  <c r="G799" i="14" s="1"/>
  <c r="G798" i="14" s="1"/>
  <c r="H415" i="15"/>
  <c r="H414" i="15" s="1"/>
  <c r="G835" i="14"/>
  <c r="G834" i="14" s="1"/>
  <c r="G833" i="14" s="1"/>
  <c r="H223" i="15"/>
  <c r="H222" i="15" s="1"/>
  <c r="H221" i="15" s="1"/>
  <c r="H220" i="15" s="1"/>
  <c r="H219" i="15" s="1"/>
  <c r="G467" i="14"/>
  <c r="G466" i="14" s="1"/>
  <c r="H1026" i="15"/>
  <c r="G810" i="14"/>
  <c r="G809" i="14" s="1"/>
  <c r="H425" i="15"/>
  <c r="G817" i="14"/>
  <c r="G816" i="14" s="1"/>
  <c r="G815" i="14" s="1"/>
  <c r="H432" i="15"/>
  <c r="H431" i="15" s="1"/>
  <c r="H470" i="16"/>
  <c r="H471" i="16" s="1"/>
  <c r="G648" i="14"/>
  <c r="G647" i="14" s="1"/>
  <c r="H298" i="15"/>
  <c r="H523" i="16"/>
  <c r="H524" i="16" s="1"/>
  <c r="G757" i="14"/>
  <c r="G756" i="14" s="1"/>
  <c r="G753" i="14" s="1"/>
  <c r="H372" i="15"/>
  <c r="H369" i="15" s="1"/>
  <c r="H404" i="16"/>
  <c r="H403" i="16" s="1"/>
  <c r="H402" i="16" s="1"/>
  <c r="H401" i="16" s="1"/>
  <c r="G862" i="14"/>
  <c r="G861" i="14" s="1"/>
  <c r="G860" i="14" s="1"/>
  <c r="H229" i="15"/>
  <c r="H228" i="15" s="1"/>
  <c r="H576" i="15"/>
  <c r="H575" i="15" s="1"/>
  <c r="H536" i="16"/>
  <c r="H535" i="16" s="1"/>
  <c r="H534" i="16" s="1"/>
  <c r="G761" i="14"/>
  <c r="G760" i="14" s="1"/>
  <c r="G759" i="14" s="1"/>
  <c r="H376" i="15"/>
  <c r="H375" i="15" s="1"/>
  <c r="H37" i="16"/>
  <c r="H36" i="16" s="1"/>
  <c r="H35" i="16" s="1"/>
  <c r="G695" i="14"/>
  <c r="G694" i="14" s="1"/>
  <c r="G693" i="14" s="1"/>
  <c r="H342" i="15"/>
  <c r="H341" i="15" s="1"/>
  <c r="H476" i="16"/>
  <c r="H477" i="16" s="1"/>
  <c r="G652" i="14"/>
  <c r="G651" i="14" s="1"/>
  <c r="H302" i="15"/>
  <c r="H709" i="16"/>
  <c r="H708" i="16" s="1"/>
  <c r="H707" i="16" s="1"/>
  <c r="H706" i="16" s="1"/>
  <c r="H705" i="16" s="1"/>
  <c r="H704" i="16" s="1"/>
  <c r="G262" i="14"/>
  <c r="G261" i="14" s="1"/>
  <c r="G260" i="14" s="1"/>
  <c r="G259" i="14" s="1"/>
  <c r="H203" i="15"/>
  <c r="H202" i="15" s="1"/>
  <c r="H817" i="16"/>
  <c r="H816" i="16" s="1"/>
  <c r="H815" i="16" s="1"/>
  <c r="H814" i="16" s="1"/>
  <c r="G619" i="14"/>
  <c r="G618" i="14" s="1"/>
  <c r="G617" i="14" s="1"/>
  <c r="H689" i="15"/>
  <c r="H688" i="15" s="1"/>
  <c r="H530" i="16"/>
  <c r="H531" i="16" s="1"/>
  <c r="G665" i="14"/>
  <c r="G664" i="14" s="1"/>
  <c r="G663" i="14" s="1"/>
  <c r="H315" i="15"/>
  <c r="H314" i="15" s="1"/>
  <c r="H702" i="16"/>
  <c r="H703" i="16" s="1"/>
  <c r="G255" i="14"/>
  <c r="G254" i="14" s="1"/>
  <c r="G253" i="14" s="1"/>
  <c r="H196" i="15"/>
  <c r="H195" i="15" s="1"/>
  <c r="H664" i="16"/>
  <c r="H663" i="16" s="1"/>
  <c r="H662" i="16" s="1"/>
  <c r="H975" i="15"/>
  <c r="H974" i="15" s="1"/>
  <c r="G416" i="14"/>
  <c r="G415" i="14" s="1"/>
  <c r="G414" i="14" s="1"/>
  <c r="H826" i="16"/>
  <c r="H825" i="16" s="1"/>
  <c r="H824" i="16" s="1"/>
  <c r="H819" i="16" s="1"/>
  <c r="G688" i="14"/>
  <c r="G687" i="14" s="1"/>
  <c r="G686" i="14" s="1"/>
  <c r="H718" i="15"/>
  <c r="H717" i="15" s="1"/>
  <c r="H391" i="16"/>
  <c r="H390" i="16" s="1"/>
  <c r="G105" i="14"/>
  <c r="G104" i="14" s="1"/>
  <c r="G103" i="14" s="1"/>
  <c r="G102" i="14" s="1"/>
  <c r="H108" i="15"/>
  <c r="H107" i="15" s="1"/>
  <c r="G127" i="14"/>
  <c r="G126" i="14" s="1"/>
  <c r="G125" i="14" s="1"/>
  <c r="H23" i="15"/>
  <c r="H22" i="15" s="1"/>
  <c r="G812" i="14"/>
  <c r="G811" i="14" s="1"/>
  <c r="H427" i="15"/>
  <c r="H1057" i="15"/>
  <c r="H1056" i="15" s="1"/>
  <c r="G19" i="14"/>
  <c r="G740" i="14"/>
  <c r="G739" i="14" s="1"/>
  <c r="G738" i="14" s="1"/>
  <c r="H754" i="15"/>
  <c r="H753" i="15" s="1"/>
  <c r="G167" i="14"/>
  <c r="G166" i="14" s="1"/>
  <c r="G165" i="14" s="1"/>
  <c r="H139" i="15"/>
  <c r="H138" i="15" s="1"/>
  <c r="G708" i="14"/>
  <c r="G707" i="14" s="1"/>
  <c r="G706" i="14" s="1"/>
  <c r="H355" i="15"/>
  <c r="H354" i="15" s="1"/>
  <c r="H683" i="16"/>
  <c r="H684" i="16" s="1"/>
  <c r="H989" i="15"/>
  <c r="H988" i="15" s="1"/>
  <c r="G430" i="14"/>
  <c r="G429" i="14" s="1"/>
  <c r="G428" i="14" s="1"/>
  <c r="H573" i="16"/>
  <c r="H572" i="16" s="1"/>
  <c r="H485" i="16"/>
  <c r="H486" i="16" s="1"/>
  <c r="G749" i="14"/>
  <c r="G748" i="14" s="1"/>
  <c r="H364" i="15"/>
  <c r="G93" i="14"/>
  <c r="G92" i="14" s="1"/>
  <c r="H96" i="15"/>
  <c r="H823" i="16"/>
  <c r="G685" i="14"/>
  <c r="G684" i="14" s="1"/>
  <c r="G683" i="14" s="1"/>
  <c r="H335" i="15"/>
  <c r="H334" i="15" s="1"/>
  <c r="H51" i="16"/>
  <c r="H50" i="16" s="1"/>
  <c r="G704" i="14"/>
  <c r="G703" i="14" s="1"/>
  <c r="H351" i="15"/>
  <c r="H117" i="15"/>
  <c r="H116" i="15" s="1"/>
  <c r="G124" i="14"/>
  <c r="G123" i="14" s="1"/>
  <c r="H20" i="15"/>
  <c r="H1031" i="15"/>
  <c r="H1030" i="15" s="1"/>
  <c r="G472" i="14"/>
  <c r="G471" i="14" s="1"/>
  <c r="G470" i="14" s="1"/>
  <c r="G54" i="14"/>
  <c r="G53" i="14" s="1"/>
  <c r="H60" i="15"/>
  <c r="G448" i="14"/>
  <c r="G447" i="14" s="1"/>
  <c r="H1007" i="15"/>
  <c r="H770" i="16"/>
  <c r="H771" i="16" s="1"/>
  <c r="H543" i="15"/>
  <c r="H542" i="15" s="1"/>
  <c r="G185" i="14"/>
  <c r="G184" i="14" s="1"/>
  <c r="H412" i="16"/>
  <c r="H411" i="16" s="1"/>
  <c r="H410" i="16" s="1"/>
  <c r="H409" i="16" s="1"/>
  <c r="G891" i="14"/>
  <c r="G890" i="14" s="1"/>
  <c r="G889" i="14" s="1"/>
  <c r="G888" i="14" s="1"/>
  <c r="H769" i="15"/>
  <c r="H768" i="15" s="1"/>
  <c r="H767" i="15" s="1"/>
  <c r="H650" i="16"/>
  <c r="H649" i="16" s="1"/>
  <c r="H648" i="16" s="1"/>
  <c r="H966" i="15"/>
  <c r="H965" i="15" s="1"/>
  <c r="G407" i="14"/>
  <c r="G406" i="14" s="1"/>
  <c r="G405" i="14" s="1"/>
  <c r="H473" i="16"/>
  <c r="H474" i="16" s="1"/>
  <c r="G650" i="14"/>
  <c r="G649" i="14" s="1"/>
  <c r="H300" i="15"/>
  <c r="H310" i="16"/>
  <c r="H311" i="16" s="1"/>
  <c r="H664" i="15"/>
  <c r="H663" i="15" s="1"/>
  <c r="H662" i="15" s="1"/>
  <c r="H623" i="15"/>
  <c r="H622" i="15" s="1"/>
  <c r="H151" i="16"/>
  <c r="H150" i="16" s="1"/>
  <c r="H149" i="16" s="1"/>
  <c r="H148" i="16" s="1"/>
  <c r="H613" i="15"/>
  <c r="H612" i="15" s="1"/>
  <c r="H611" i="15" s="1"/>
  <c r="H668" i="16"/>
  <c r="H667" i="16" s="1"/>
  <c r="H666" i="16" s="1"/>
  <c r="H978" i="15"/>
  <c r="H977" i="15" s="1"/>
  <c r="G419" i="14"/>
  <c r="G418" i="14" s="1"/>
  <c r="G417" i="14" s="1"/>
  <c r="H460" i="15"/>
  <c r="H459" i="15" s="1"/>
  <c r="H580" i="16"/>
  <c r="H579" i="16" s="1"/>
  <c r="H578" i="16" s="1"/>
  <c r="H373" i="16"/>
  <c r="H1062" i="15"/>
  <c r="H1061" i="15" s="1"/>
  <c r="G24" i="14"/>
  <c r="G23" i="14" s="1"/>
  <c r="H511" i="16"/>
  <c r="H510" i="16" s="1"/>
  <c r="G659" i="14"/>
  <c r="G658" i="14" s="1"/>
  <c r="G657" i="14" s="1"/>
  <c r="H309" i="15"/>
  <c r="H308" i="15" s="1"/>
  <c r="G455" i="14"/>
  <c r="G454" i="14" s="1"/>
  <c r="G453" i="14" s="1"/>
  <c r="H1014" i="15"/>
  <c r="H1013" i="15" s="1"/>
  <c r="G814" i="14"/>
  <c r="G813" i="14" s="1"/>
  <c r="H429" i="15"/>
  <c r="G62" i="14"/>
  <c r="G61" i="14" s="1"/>
  <c r="G60" i="14" s="1"/>
  <c r="H68" i="15"/>
  <c r="H67" i="15" s="1"/>
  <c r="G248" i="14"/>
  <c r="G247" i="14" s="1"/>
  <c r="G246" i="14" s="1"/>
  <c r="H189" i="15"/>
  <c r="H188" i="15" s="1"/>
  <c r="H1092" i="15"/>
  <c r="H1091" i="15" s="1"/>
  <c r="G116" i="14"/>
  <c r="G115" i="14" s="1"/>
  <c r="G114" i="14" s="1"/>
  <c r="G450" i="14"/>
  <c r="G449" i="14" s="1"/>
  <c r="H1009" i="15"/>
  <c r="H1089" i="15"/>
  <c r="G113" i="14"/>
  <c r="G112" i="14" s="1"/>
  <c r="H810" i="15"/>
  <c r="H809" i="15" s="1"/>
  <c r="G931" i="14"/>
  <c r="G930" i="14" s="1"/>
  <c r="G929" i="14" s="1"/>
  <c r="G424" i="15"/>
  <c r="G16" i="14"/>
  <c r="H1054" i="15"/>
  <c r="G236" i="14"/>
  <c r="G235" i="14" s="1"/>
  <c r="G234" i="14" s="1"/>
  <c r="H177" i="15"/>
  <c r="H176" i="15" s="1"/>
  <c r="H563" i="16"/>
  <c r="H564" i="16" s="1"/>
  <c r="H380" i="15"/>
  <c r="H379" i="15" s="1"/>
  <c r="H378" i="15" s="1"/>
  <c r="H1118" i="15" s="1"/>
  <c r="G765" i="14"/>
  <c r="G764" i="14" s="1"/>
  <c r="G763" i="14" s="1"/>
  <c r="G762" i="14" s="1"/>
  <c r="H192" i="16"/>
  <c r="H193" i="16" s="1"/>
  <c r="H626" i="15"/>
  <c r="H625" i="15" s="1"/>
  <c r="H209" i="16"/>
  <c r="H210" i="16" s="1"/>
  <c r="G632" i="14"/>
  <c r="G631" i="14" s="1"/>
  <c r="G630" i="14" s="1"/>
  <c r="H702" i="15"/>
  <c r="H701" i="15" s="1"/>
  <c r="H167" i="16"/>
  <c r="H166" i="16" s="1"/>
  <c r="H165" i="16" s="1"/>
  <c r="H560" i="15"/>
  <c r="H559" i="15" s="1"/>
  <c r="H675" i="16"/>
  <c r="H676" i="16" s="1"/>
  <c r="H983" i="15"/>
  <c r="H785" i="16"/>
  <c r="H784" i="16" s="1"/>
  <c r="H783" i="16" s="1"/>
  <c r="H188" i="16"/>
  <c r="H187" i="16" s="1"/>
  <c r="H186" i="16" s="1"/>
  <c r="G338" i="14"/>
  <c r="G337" i="14" s="1"/>
  <c r="H40" i="16"/>
  <c r="H39" i="16" s="1"/>
  <c r="H656" i="16"/>
  <c r="H435" i="16"/>
  <c r="H16" i="16"/>
  <c r="H751" i="16"/>
  <c r="H750" i="16" s="1"/>
  <c r="H749" i="16" s="1"/>
  <c r="H748" i="16" s="1"/>
  <c r="H747" i="16" s="1"/>
  <c r="G804" i="16"/>
  <c r="G803" i="16" s="1"/>
  <c r="G798" i="16" s="1"/>
  <c r="G797" i="16" s="1"/>
  <c r="G796" i="16" s="1"/>
  <c r="G806" i="16"/>
  <c r="G484" i="16"/>
  <c r="G486" i="16"/>
  <c r="G784" i="16"/>
  <c r="G783" i="16" s="1"/>
  <c r="G786" i="16"/>
  <c r="G833" i="16"/>
  <c r="G831" i="16"/>
  <c r="G830" i="16" s="1"/>
  <c r="G829" i="16" s="1"/>
  <c r="G828" i="16" s="1"/>
  <c r="G780" i="16"/>
  <c r="G779" i="16" s="1"/>
  <c r="G782" i="16"/>
  <c r="G201" i="16"/>
  <c r="G199" i="16"/>
  <c r="G198" i="16" s="1"/>
  <c r="H58" i="16"/>
  <c r="H13" i="17"/>
  <c r="H12" i="17" s="1"/>
  <c r="H11" i="17" s="1"/>
  <c r="H10" i="17" s="1"/>
  <c r="H9" i="17" s="1"/>
  <c r="G290" i="16"/>
  <c r="G288" i="16"/>
  <c r="G287" i="16" s="1"/>
  <c r="G286" i="16" s="1"/>
  <c r="H689" i="16"/>
  <c r="H688" i="16" s="1"/>
  <c r="H691" i="16"/>
  <c r="H746" i="16"/>
  <c r="G403" i="16"/>
  <c r="G402" i="16" s="1"/>
  <c r="G401" i="16" s="1"/>
  <c r="G405" i="16"/>
  <c r="H25" i="17"/>
  <c r="H24" i="17" s="1"/>
  <c r="H23" i="17" s="1"/>
  <c r="H22" i="17" s="1"/>
  <c r="H21" i="17" s="1"/>
  <c r="H395" i="16"/>
  <c r="H394" i="16" s="1"/>
  <c r="H397" i="16"/>
  <c r="G535" i="16"/>
  <c r="G534" i="16" s="1"/>
  <c r="G533" i="16" s="1"/>
  <c r="G537" i="16"/>
  <c r="G38" i="16"/>
  <c r="G36" i="16"/>
  <c r="G35" i="16" s="1"/>
  <c r="G349" i="16"/>
  <c r="G348" i="16" s="1"/>
  <c r="G347" i="16" s="1"/>
  <c r="G351" i="16"/>
  <c r="G475" i="16"/>
  <c r="G477" i="16"/>
  <c r="G710" i="16"/>
  <c r="G708" i="16"/>
  <c r="G707" i="16" s="1"/>
  <c r="G706" i="16" s="1"/>
  <c r="G705" i="16" s="1"/>
  <c r="G704" i="16" s="1"/>
  <c r="G816" i="16"/>
  <c r="G815" i="16" s="1"/>
  <c r="G814" i="16" s="1"/>
  <c r="G818" i="16"/>
  <c r="G529" i="16"/>
  <c r="G528" i="16" s="1"/>
  <c r="G531" i="16"/>
  <c r="G701" i="16"/>
  <c r="G700" i="16" s="1"/>
  <c r="G699" i="16" s="1"/>
  <c r="G703" i="16"/>
  <c r="G665" i="16"/>
  <c r="G663" i="16"/>
  <c r="G662" i="16" s="1"/>
  <c r="G827" i="16"/>
  <c r="G825" i="16"/>
  <c r="G824" i="16" s="1"/>
  <c r="G819" i="16" s="1"/>
  <c r="G40" i="16"/>
  <c r="G39" i="16" s="1"/>
  <c r="G42" i="16"/>
  <c r="H805" i="16"/>
  <c r="G203" i="14"/>
  <c r="G57" i="16"/>
  <c r="G56" i="16" s="1"/>
  <c r="G59" i="16"/>
  <c r="G684" i="16"/>
  <c r="G682" i="16"/>
  <c r="G681" i="16" s="1"/>
  <c r="G575" i="16"/>
  <c r="G573" i="16"/>
  <c r="G572" i="16" s="1"/>
  <c r="G508" i="16"/>
  <c r="G506" i="16"/>
  <c r="G505" i="16" s="1"/>
  <c r="G689" i="16"/>
  <c r="G688" i="16" s="1"/>
  <c r="G691" i="16"/>
  <c r="G52" i="16"/>
  <c r="G50" i="16"/>
  <c r="G852" i="16"/>
  <c r="G850" i="16"/>
  <c r="G849" i="16" s="1"/>
  <c r="G848" i="16" s="1"/>
  <c r="G847" i="16" s="1"/>
  <c r="G846" i="16" s="1"/>
  <c r="G426" i="16"/>
  <c r="G425" i="16" s="1"/>
  <c r="G428" i="16"/>
  <c r="G792" i="16"/>
  <c r="G791" i="16" s="1"/>
  <c r="G794" i="16"/>
  <c r="G693" i="16"/>
  <c r="G692" i="16" s="1"/>
  <c r="G695" i="16"/>
  <c r="G649" i="16"/>
  <c r="G648" i="16" s="1"/>
  <c r="G651" i="16"/>
  <c r="G813" i="16"/>
  <c r="G811" i="16"/>
  <c r="G810" i="16" s="1"/>
  <c r="G809" i="16" s="1"/>
  <c r="G472" i="16"/>
  <c r="G474" i="16"/>
  <c r="G487" i="16"/>
  <c r="G489" i="16"/>
  <c r="G309" i="16"/>
  <c r="G308" i="16" s="1"/>
  <c r="G311" i="16"/>
  <c r="G669" i="16"/>
  <c r="G667" i="16"/>
  <c r="G666" i="16" s="1"/>
  <c r="G210" i="16"/>
  <c r="G208" i="16"/>
  <c r="G207" i="16" s="1"/>
  <c r="G168" i="16"/>
  <c r="G166" i="16"/>
  <c r="G165" i="16" s="1"/>
  <c r="G582" i="16"/>
  <c r="G580" i="16"/>
  <c r="G579" i="16" s="1"/>
  <c r="G578" i="16" s="1"/>
  <c r="G510" i="16"/>
  <c r="G512" i="16"/>
  <c r="G676" i="16"/>
  <c r="G674" i="16"/>
  <c r="G191" i="16"/>
  <c r="G190" i="16" s="1"/>
  <c r="G193" i="16"/>
  <c r="G353" i="16"/>
  <c r="G352" i="16" s="1"/>
  <c r="G355" i="16"/>
  <c r="H353" i="16"/>
  <c r="H352" i="16" s="1"/>
  <c r="H355" i="16"/>
  <c r="G788" i="16"/>
  <c r="G787" i="16" s="1"/>
  <c r="G790" i="16"/>
  <c r="H616" i="16"/>
  <c r="H614" i="16"/>
  <c r="H613" i="16" s="1"/>
  <c r="H612" i="16" s="1"/>
  <c r="G435" i="16"/>
  <c r="G433" i="16"/>
  <c r="G432" i="16" s="1"/>
  <c r="G418" i="16"/>
  <c r="G417" i="16" s="1"/>
  <c r="G420" i="16"/>
  <c r="H420" i="16"/>
  <c r="G422" i="16"/>
  <c r="G421" i="16" s="1"/>
  <c r="G424" i="16"/>
  <c r="G14" i="16"/>
  <c r="G13" i="16" s="1"/>
  <c r="G16" i="16"/>
  <c r="G746" i="16"/>
  <c r="G744" i="16"/>
  <c r="G743" i="16" s="1"/>
  <c r="G742" i="16" s="1"/>
  <c r="G741" i="16" s="1"/>
  <c r="G740" i="16" s="1"/>
  <c r="H758" i="16"/>
  <c r="H757" i="16" s="1"/>
  <c r="H756" i="16" s="1"/>
  <c r="H755" i="16" s="1"/>
  <c r="H754" i="16" s="1"/>
  <c r="G760" i="16"/>
  <c r="G758" i="16"/>
  <c r="G757" i="16" s="1"/>
  <c r="G756" i="16" s="1"/>
  <c r="G755" i="16" s="1"/>
  <c r="G754" i="16" s="1"/>
  <c r="G753" i="16"/>
  <c r="G751" i="16"/>
  <c r="G750" i="16" s="1"/>
  <c r="G749" i="16" s="1"/>
  <c r="G748" i="16" s="1"/>
  <c r="G747" i="16" s="1"/>
  <c r="G680" i="16"/>
  <c r="G678" i="16"/>
  <c r="G677" i="16" s="1"/>
  <c r="H680" i="16"/>
  <c r="H678" i="16"/>
  <c r="H677" i="16" s="1"/>
  <c r="G658" i="16"/>
  <c r="G656" i="16"/>
  <c r="G564" i="16"/>
  <c r="G562" i="16"/>
  <c r="G561" i="16" s="1"/>
  <c r="G560" i="16" s="1"/>
  <c r="H10" i="16"/>
  <c r="H12" i="16"/>
  <c r="H11" i="16" s="1"/>
  <c r="H619" i="16"/>
  <c r="H618" i="16" s="1"/>
  <c r="H617" i="16" s="1"/>
  <c r="H621" i="16"/>
  <c r="G614" i="14" s="1"/>
  <c r="G613" i="14" s="1"/>
  <c r="G612" i="14" s="1"/>
  <c r="G611" i="14" s="1"/>
  <c r="G610" i="14" s="1"/>
  <c r="G152" i="16"/>
  <c r="G150" i="16"/>
  <c r="G149" i="16" s="1"/>
  <c r="G148" i="16" s="1"/>
  <c r="G145" i="16"/>
  <c r="G144" i="16" s="1"/>
  <c r="G143" i="16" s="1"/>
  <c r="G147" i="16"/>
  <c r="G411" i="16"/>
  <c r="G410" i="16" s="1"/>
  <c r="G409" i="16" s="1"/>
  <c r="G413" i="16"/>
  <c r="G189" i="16"/>
  <c r="G187" i="16"/>
  <c r="G186" i="16" s="1"/>
  <c r="G176" i="16"/>
  <c r="G174" i="16"/>
  <c r="G173" i="16" s="1"/>
  <c r="H24" i="16"/>
  <c r="H26" i="16"/>
  <c r="G524" i="16"/>
  <c r="G522" i="16"/>
  <c r="H521" i="16"/>
  <c r="H519" i="16"/>
  <c r="G519" i="16"/>
  <c r="G521" i="16"/>
  <c r="G469" i="16"/>
  <c r="G471" i="16"/>
  <c r="G733" i="5"/>
  <c r="G888" i="5"/>
  <c r="G886" i="5"/>
  <c r="G600" i="5"/>
  <c r="G581" i="5"/>
  <c r="G577" i="5"/>
  <c r="G530" i="5"/>
  <c r="G527" i="5"/>
  <c r="G524" i="5"/>
  <c r="G651" i="5"/>
  <c r="G224" i="5"/>
  <c r="F967" i="3"/>
  <c r="F1085" i="3"/>
  <c r="F1070" i="3"/>
  <c r="H349" i="16" l="1"/>
  <c r="H348" i="16" s="1"/>
  <c r="H347" i="16" s="1"/>
  <c r="H346" i="16" s="1"/>
  <c r="H345" i="16" s="1"/>
  <c r="G518" i="16"/>
  <c r="G517" i="16" s="1"/>
  <c r="G516" i="16" s="1"/>
  <c r="H424" i="16"/>
  <c r="G764" i="16"/>
  <c r="G763" i="16" s="1"/>
  <c r="G762" i="16" s="1"/>
  <c r="G761" i="16" s="1"/>
  <c r="G183" i="14"/>
  <c r="H611" i="16"/>
  <c r="G598" i="16"/>
  <c r="G597" i="16" s="1"/>
  <c r="H223" i="16"/>
  <c r="H222" i="16" s="1"/>
  <c r="H114" i="16"/>
  <c r="H113" i="16" s="1"/>
  <c r="H112" i="16" s="1"/>
  <c r="H111" i="16" s="1"/>
  <c r="H110" i="16" s="1"/>
  <c r="H116" i="16"/>
  <c r="H261" i="16"/>
  <c r="H70" i="16"/>
  <c r="H69" i="16" s="1"/>
  <c r="H533" i="16"/>
  <c r="H77" i="16"/>
  <c r="H76" i="16" s="1"/>
  <c r="H227" i="16"/>
  <c r="H226" i="16" s="1"/>
  <c r="H229" i="16"/>
  <c r="H123" i="16"/>
  <c r="H121" i="16"/>
  <c r="H120" i="16" s="1"/>
  <c r="H119" i="16" s="1"/>
  <c r="H118" i="16" s="1"/>
  <c r="H117" i="16" s="1"/>
  <c r="G843" i="14"/>
  <c r="G837" i="14" s="1"/>
  <c r="H84" i="16"/>
  <c r="H83" i="16" s="1"/>
  <c r="G653" i="14"/>
  <c r="H304" i="15"/>
  <c r="H786" i="16"/>
  <c r="H285" i="16"/>
  <c r="H284" i="16" s="1"/>
  <c r="H651" i="16"/>
  <c r="H682" i="16"/>
  <c r="H681" i="16" s="1"/>
  <c r="H669" i="16"/>
  <c r="H472" i="16"/>
  <c r="H782" i="16"/>
  <c r="H375" i="16"/>
  <c r="H665" i="16"/>
  <c r="H405" i="16"/>
  <c r="H38" i="16"/>
  <c r="H309" i="16"/>
  <c r="H308" i="16" s="1"/>
  <c r="H475" i="16"/>
  <c r="H827" i="16"/>
  <c r="H428" i="16"/>
  <c r="H487" i="16"/>
  <c r="H833" i="16"/>
  <c r="H484" i="16"/>
  <c r="H582" i="16"/>
  <c r="H34" i="16"/>
  <c r="H33" i="16" s="1"/>
  <c r="H32" i="16" s="1"/>
  <c r="H176" i="16"/>
  <c r="H191" i="16"/>
  <c r="H190" i="16" s="1"/>
  <c r="H199" i="16"/>
  <c r="H198" i="16" s="1"/>
  <c r="H522" i="16"/>
  <c r="H518" i="16" s="1"/>
  <c r="H517" i="16" s="1"/>
  <c r="H393" i="16"/>
  <c r="H693" i="16"/>
  <c r="H692" i="16" s="1"/>
  <c r="H687" i="16" s="1"/>
  <c r="H686" i="16" s="1"/>
  <c r="H685" i="16" s="1"/>
  <c r="H408" i="16"/>
  <c r="H407" i="16" s="1"/>
  <c r="H818" i="16"/>
  <c r="H512" i="16"/>
  <c r="H811" i="16"/>
  <c r="H810" i="16" s="1"/>
  <c r="H809" i="16" s="1"/>
  <c r="H808" i="16" s="1"/>
  <c r="H850" i="16"/>
  <c r="H849" i="16" s="1"/>
  <c r="H848" i="16" s="1"/>
  <c r="H847" i="16" s="1"/>
  <c r="H846" i="16" s="1"/>
  <c r="H529" i="16"/>
  <c r="H528" i="16" s="1"/>
  <c r="H413" i="16"/>
  <c r="H147" i="16"/>
  <c r="H208" i="16"/>
  <c r="H207" i="16" s="1"/>
  <c r="H290" i="16"/>
  <c r="H562" i="16"/>
  <c r="H561" i="16" s="1"/>
  <c r="H537" i="16"/>
  <c r="H506" i="16"/>
  <c r="H505" i="16" s="1"/>
  <c r="H168" i="16"/>
  <c r="H424" i="15"/>
  <c r="G646" i="14"/>
  <c r="H152" i="16"/>
  <c r="H469" i="16"/>
  <c r="H790" i="16"/>
  <c r="H701" i="16"/>
  <c r="H700" i="16" s="1"/>
  <c r="H699" i="16" s="1"/>
  <c r="H710" i="16"/>
  <c r="H769" i="16"/>
  <c r="H765" i="16" s="1"/>
  <c r="H575" i="16"/>
  <c r="H792" i="16"/>
  <c r="H791" i="16" s="1"/>
  <c r="H52" i="16"/>
  <c r="H297" i="15"/>
  <c r="H674" i="16"/>
  <c r="G808" i="14"/>
  <c r="H389" i="16"/>
  <c r="H388" i="16" s="1"/>
  <c r="H387" i="16" s="1"/>
  <c r="H400" i="16"/>
  <c r="G400" i="16"/>
  <c r="H189" i="16"/>
  <c r="G285" i="16"/>
  <c r="G284" i="16" s="1"/>
  <c r="G408" i="16"/>
  <c r="G407" i="16" s="1"/>
  <c r="G307" i="16"/>
  <c r="G306" i="16" s="1"/>
  <c r="G305" i="16" s="1"/>
  <c r="H804" i="16"/>
  <c r="H803" i="16" s="1"/>
  <c r="H798" i="16" s="1"/>
  <c r="H797" i="16" s="1"/>
  <c r="H796" i="16" s="1"/>
  <c r="H806" i="16"/>
  <c r="G527" i="16"/>
  <c r="G526" i="16" s="1"/>
  <c r="G577" i="16"/>
  <c r="G576" i="16" s="1"/>
  <c r="G34" i="16"/>
  <c r="G33" i="16" s="1"/>
  <c r="G468" i="16"/>
  <c r="G467" i="16" s="1"/>
  <c r="G466" i="16" s="1"/>
  <c r="G808" i="16"/>
  <c r="G687" i="16"/>
  <c r="G686" i="16" s="1"/>
  <c r="G685" i="16" s="1"/>
  <c r="G55" i="16"/>
  <c r="G54" i="16" s="1"/>
  <c r="G53" i="16"/>
  <c r="G346" i="16"/>
  <c r="H569" i="16"/>
  <c r="H571" i="16"/>
  <c r="H570" i="16" s="1"/>
  <c r="G569" i="16"/>
  <c r="G571" i="16"/>
  <c r="G570" i="16" s="1"/>
  <c r="H577" i="16"/>
  <c r="H576" i="16" s="1"/>
  <c r="H59" i="16"/>
  <c r="H57" i="16"/>
  <c r="H56" i="16" s="1"/>
  <c r="G416" i="16"/>
  <c r="G415" i="16" s="1"/>
  <c r="G414" i="16" s="1"/>
  <c r="G12" i="16"/>
  <c r="G11" i="16" s="1"/>
  <c r="G10" i="16"/>
  <c r="G532" i="16"/>
  <c r="G559" i="16"/>
  <c r="G885" i="5"/>
  <c r="G14" i="5"/>
  <c r="F1108" i="3"/>
  <c r="G599" i="5"/>
  <c r="G601" i="5"/>
  <c r="G580" i="5"/>
  <c r="G582" i="5"/>
  <c r="G576" i="5"/>
  <c r="G578" i="5"/>
  <c r="G526" i="5"/>
  <c r="G528" i="5"/>
  <c r="G523" i="5"/>
  <c r="G525" i="5"/>
  <c r="G529" i="5"/>
  <c r="G531" i="5"/>
  <c r="G650" i="5"/>
  <c r="G652" i="5"/>
  <c r="G223" i="5"/>
  <c r="G225" i="5"/>
  <c r="G16" i="5"/>
  <c r="F1041" i="3"/>
  <c r="F1034" i="3"/>
  <c r="F1031" i="3"/>
  <c r="F1028" i="3"/>
  <c r="F1021" i="3"/>
  <c r="F1014" i="3"/>
  <c r="F996" i="3"/>
  <c r="F995" i="3" s="1"/>
  <c r="F966" i="3"/>
  <c r="F946" i="3"/>
  <c r="F943" i="3"/>
  <c r="F939" i="3"/>
  <c r="F937" i="3"/>
  <c r="F925" i="3"/>
  <c r="F922" i="3"/>
  <c r="F920" i="3"/>
  <c r="F914" i="3"/>
  <c r="F909" i="3"/>
  <c r="F893" i="3"/>
  <c r="F889" i="3"/>
  <c r="F882" i="3"/>
  <c r="F878" i="3"/>
  <c r="F874" i="3"/>
  <c r="F872" i="3"/>
  <c r="F865" i="3"/>
  <c r="F863" i="3"/>
  <c r="F811" i="3"/>
  <c r="F804" i="3"/>
  <c r="F798" i="3"/>
  <c r="F698" i="14" s="1"/>
  <c r="G698" i="14" s="1"/>
  <c r="F795" i="3"/>
  <c r="F788" i="3"/>
  <c r="F785" i="3"/>
  <c r="F765" i="3"/>
  <c r="F759" i="3"/>
  <c r="F756" i="3"/>
  <c r="G346" i="4"/>
  <c r="H764" i="16" l="1"/>
  <c r="H763" i="16" s="1"/>
  <c r="H762" i="16" s="1"/>
  <c r="H761" i="16" s="1"/>
  <c r="G522" i="5"/>
  <c r="G521" i="5" s="1"/>
  <c r="H598" i="16"/>
  <c r="H597" i="16" s="1"/>
  <c r="G344" i="16"/>
  <c r="G345" i="16"/>
  <c r="H532" i="16"/>
  <c r="H560" i="16"/>
  <c r="H559" i="16" s="1"/>
  <c r="G525" i="16"/>
  <c r="H68" i="16"/>
  <c r="H307" i="16"/>
  <c r="H306" i="16" s="1"/>
  <c r="H305" i="16" s="1"/>
  <c r="H468" i="16"/>
  <c r="H467" i="16" s="1"/>
  <c r="H466" i="16" s="1"/>
  <c r="H527" i="16"/>
  <c r="H526" i="16" s="1"/>
  <c r="H516" i="16"/>
  <c r="G399" i="16"/>
  <c r="G398" i="16"/>
  <c r="H399" i="16"/>
  <c r="H398" i="16"/>
  <c r="H344" i="16"/>
  <c r="H55" i="16"/>
  <c r="H54" i="16" s="1"/>
  <c r="H53" i="16"/>
  <c r="G32" i="16"/>
  <c r="G345" i="4"/>
  <c r="G649" i="5"/>
  <c r="G648" i="5" s="1"/>
  <c r="G598" i="5"/>
  <c r="G222" i="5"/>
  <c r="G13" i="5"/>
  <c r="F764" i="3"/>
  <c r="G633" i="5"/>
  <c r="G634" i="5" s="1"/>
  <c r="F919" i="3"/>
  <c r="G590" i="5"/>
  <c r="F755" i="14"/>
  <c r="F892" i="3"/>
  <c r="F921" i="3"/>
  <c r="F801" i="14" s="1"/>
  <c r="F802" i="14"/>
  <c r="F755" i="3"/>
  <c r="F787" i="3"/>
  <c r="G593" i="5"/>
  <c r="F908" i="3"/>
  <c r="F1107" i="3"/>
  <c r="F758" i="3"/>
  <c r="F862" i="3"/>
  <c r="F888" i="3"/>
  <c r="F913" i="3"/>
  <c r="F965" i="3"/>
  <c r="F1013" i="3"/>
  <c r="F877" i="3"/>
  <c r="G606" i="5"/>
  <c r="F794" i="3"/>
  <c r="F797" i="3"/>
  <c r="G41" i="5"/>
  <c r="F803" i="3"/>
  <c r="F810" i="3"/>
  <c r="H525" i="16" l="1"/>
  <c r="G647" i="5"/>
  <c r="G646" i="5" s="1"/>
  <c r="G591" i="5"/>
  <c r="G344" i="4"/>
  <c r="G52" i="5"/>
  <c r="G694" i="5"/>
  <c r="G597" i="5"/>
  <c r="G596" i="5" s="1"/>
  <c r="G589" i="5"/>
  <c r="G594" i="5"/>
  <c r="G632" i="5"/>
  <c r="G10" i="5"/>
  <c r="G12" i="5"/>
  <c r="G592" i="5"/>
  <c r="F809" i="3"/>
  <c r="F876" i="3"/>
  <c r="F1012" i="3"/>
  <c r="F907" i="3"/>
  <c r="F786" i="3"/>
  <c r="F891" i="3"/>
  <c r="F890" i="3" s="1"/>
  <c r="F793" i="3"/>
  <c r="F796" i="3"/>
  <c r="F696" i="14" s="1"/>
  <c r="G696" i="14" s="1"/>
  <c r="F697" i="14"/>
  <c r="G697" i="14" s="1"/>
  <c r="F912" i="3"/>
  <c r="F964" i="3"/>
  <c r="F754" i="3"/>
  <c r="F763" i="3"/>
  <c r="G605" i="5"/>
  <c r="G607" i="5"/>
  <c r="G61" i="5"/>
  <c r="G63" i="5"/>
  <c r="G40" i="5"/>
  <c r="G42" i="5"/>
  <c r="G36" i="5"/>
  <c r="G38" i="5"/>
  <c r="H313" i="15" l="1"/>
  <c r="G313" i="15"/>
  <c r="G832" i="14"/>
  <c r="G831" i="14" s="1"/>
  <c r="G830" i="14" s="1"/>
  <c r="F832" i="14"/>
  <c r="F831" i="14" s="1"/>
  <c r="F830" i="14" s="1"/>
  <c r="G758" i="14"/>
  <c r="F758" i="14"/>
  <c r="G692" i="14"/>
  <c r="F692" i="14"/>
  <c r="G881" i="14"/>
  <c r="G880" i="14" s="1"/>
  <c r="F881" i="14"/>
  <c r="F880" i="14" s="1"/>
  <c r="G35" i="5"/>
  <c r="G604" i="5"/>
  <c r="G595" i="5" s="1"/>
  <c r="G631" i="5"/>
  <c r="G39" i="5"/>
  <c r="G693" i="5"/>
  <c r="G588" i="5"/>
  <c r="G587" i="5" s="1"/>
  <c r="G586" i="5" s="1"/>
  <c r="F762" i="3"/>
  <c r="F963" i="3"/>
  <c r="F808" i="3"/>
  <c r="F792" i="3"/>
  <c r="F911" i="3"/>
  <c r="F906" i="3"/>
  <c r="F746" i="3"/>
  <c r="F744" i="3"/>
  <c r="F742" i="3"/>
  <c r="F784" i="3"/>
  <c r="F827" i="3"/>
  <c r="F851" i="3"/>
  <c r="F729" i="3"/>
  <c r="F722" i="3"/>
  <c r="F669" i="3"/>
  <c r="F703" i="3"/>
  <c r="F654" i="3"/>
  <c r="F698" i="3"/>
  <c r="F647" i="3"/>
  <c r="F637" i="3"/>
  <c r="F631" i="3"/>
  <c r="F628" i="3"/>
  <c r="F618" i="3"/>
  <c r="F607" i="3"/>
  <c r="F612" i="3"/>
  <c r="F590" i="3"/>
  <c r="F580" i="3"/>
  <c r="F576" i="3"/>
  <c r="F573" i="3"/>
  <c r="F566" i="3"/>
  <c r="F560" i="3"/>
  <c r="F553" i="3"/>
  <c r="F538" i="3"/>
  <c r="F533" i="3"/>
  <c r="F527" i="3"/>
  <c r="F505" i="3"/>
  <c r="F507" i="3"/>
  <c r="F512" i="3"/>
  <c r="D42" i="13" l="1"/>
  <c r="G630" i="5"/>
  <c r="G603" i="5"/>
  <c r="G791" i="14"/>
  <c r="G790" i="14" s="1"/>
  <c r="F791" i="14"/>
  <c r="F790" i="14" s="1"/>
  <c r="G662" i="14"/>
  <c r="F662" i="14"/>
  <c r="G705" i="14"/>
  <c r="F705" i="14"/>
  <c r="E42" i="13"/>
  <c r="G34" i="5"/>
  <c r="F721" i="3"/>
  <c r="F783" i="3"/>
  <c r="F905" i="3"/>
  <c r="F537" i="3"/>
  <c r="G207" i="5"/>
  <c r="F728" i="3"/>
  <c r="F639" i="14"/>
  <c r="G639" i="14" s="1"/>
  <c r="F741" i="3"/>
  <c r="F962" i="3"/>
  <c r="G215" i="5"/>
  <c r="G214" i="5" s="1"/>
  <c r="F850" i="3"/>
  <c r="F743" i="3"/>
  <c r="F511" i="3"/>
  <c r="G182" i="5"/>
  <c r="G203" i="5"/>
  <c r="G202" i="5" s="1"/>
  <c r="G190" i="5"/>
  <c r="G189" i="5" s="1"/>
  <c r="F526" i="3"/>
  <c r="G463" i="14"/>
  <c r="F611" i="3"/>
  <c r="F646" i="3"/>
  <c r="G325" i="5"/>
  <c r="F826" i="3"/>
  <c r="F745" i="3"/>
  <c r="F552" i="3"/>
  <c r="F479" i="3"/>
  <c r="F434" i="14" s="1"/>
  <c r="F482" i="3"/>
  <c r="F443" i="3"/>
  <c r="G510" i="14"/>
  <c r="G509" i="14" s="1"/>
  <c r="G503" i="14"/>
  <c r="G502" i="14" s="1"/>
  <c r="G1098" i="4"/>
  <c r="F461" i="3"/>
  <c r="F457" i="3"/>
  <c r="G462" i="14" l="1"/>
  <c r="F525" i="3"/>
  <c r="H137" i="16"/>
  <c r="H136" i="16" s="1"/>
  <c r="H135" i="16" s="1"/>
  <c r="H134" i="16" s="1"/>
  <c r="H139" i="16"/>
  <c r="G434" i="14"/>
  <c r="F433" i="14"/>
  <c r="F432" i="14" s="1"/>
  <c r="H843" i="16"/>
  <c r="H842" i="16" s="1"/>
  <c r="H841" i="16" s="1"/>
  <c r="H840" i="16" s="1"/>
  <c r="H845" i="16" s="1"/>
  <c r="G1097" i="4"/>
  <c r="G208" i="5"/>
  <c r="G213" i="5"/>
  <c r="G206" i="5"/>
  <c r="F740" i="3"/>
  <c r="F739" i="3" s="1"/>
  <c r="G154" i="5"/>
  <c r="G188" i="5"/>
  <c r="G326" i="5"/>
  <c r="G191" i="5"/>
  <c r="G216" i="5"/>
  <c r="G183" i="5"/>
  <c r="G181" i="5"/>
  <c r="G201" i="5"/>
  <c r="G204" i="5"/>
  <c r="G157" i="5"/>
  <c r="G725" i="5"/>
  <c r="F412" i="14"/>
  <c r="F551" i="3"/>
  <c r="F550" i="3" s="1"/>
  <c r="F825" i="3"/>
  <c r="F510" i="3"/>
  <c r="F849" i="3"/>
  <c r="D41" i="2"/>
  <c r="F727" i="3"/>
  <c r="F638" i="14"/>
  <c r="G638" i="14" s="1"/>
  <c r="F536" i="3"/>
  <c r="F782" i="3"/>
  <c r="F442" i="3"/>
  <c r="F478" i="3"/>
  <c r="G758" i="5"/>
  <c r="F481" i="3"/>
  <c r="G762" i="5"/>
  <c r="F428" i="3"/>
  <c r="G387" i="14" s="1"/>
  <c r="F424" i="3"/>
  <c r="F383" i="14" s="1"/>
  <c r="G383" i="14" s="1"/>
  <c r="F420" i="3"/>
  <c r="G379" i="14" s="1"/>
  <c r="F399" i="3"/>
  <c r="F358" i="14" s="1"/>
  <c r="G358" i="14" s="1"/>
  <c r="F394" i="3"/>
  <c r="F396" i="3"/>
  <c r="F391" i="3"/>
  <c r="F386" i="3"/>
  <c r="F388" i="3"/>
  <c r="F380" i="3"/>
  <c r="F382" i="3"/>
  <c r="F341" i="14" s="1"/>
  <c r="G341" i="14" s="1"/>
  <c r="F376" i="3"/>
  <c r="F374" i="3"/>
  <c r="F311" i="3"/>
  <c r="F317" i="3"/>
  <c r="F341" i="3"/>
  <c r="F304" i="14" s="1"/>
  <c r="G304" i="14" s="1"/>
  <c r="F337" i="3"/>
  <c r="F333" i="3"/>
  <c r="F296" i="14" s="1"/>
  <c r="G296" i="14" s="1"/>
  <c r="F350" i="3"/>
  <c r="F295" i="3"/>
  <c r="F299" i="3"/>
  <c r="F277" i="3"/>
  <c r="F265" i="3"/>
  <c r="F258" i="3"/>
  <c r="F64" i="3"/>
  <c r="F227" i="3"/>
  <c r="F221" i="3"/>
  <c r="G336" i="14" l="1"/>
  <c r="F375" i="3"/>
  <c r="G682" i="14"/>
  <c r="G681" i="14" s="1"/>
  <c r="F682" i="14"/>
  <c r="F681" i="14" s="1"/>
  <c r="F226" i="3"/>
  <c r="G1096" i="4"/>
  <c r="G724" i="5"/>
  <c r="G726" i="5"/>
  <c r="G156" i="5"/>
  <c r="G155" i="5" s="1"/>
  <c r="G602" i="5"/>
  <c r="G205" i="5"/>
  <c r="G180" i="5"/>
  <c r="F257" i="3"/>
  <c r="F229" i="14"/>
  <c r="G229" i="14" s="1"/>
  <c r="F188" i="3"/>
  <c r="F155" i="14"/>
  <c r="G155" i="14" s="1"/>
  <c r="F480" i="3"/>
  <c r="F276" i="3"/>
  <c r="F310" i="3"/>
  <c r="F395" i="3"/>
  <c r="F354" i="14" s="1"/>
  <c r="G354" i="14" s="1"/>
  <c r="F355" i="14"/>
  <c r="G355" i="14" s="1"/>
  <c r="F781" i="3"/>
  <c r="F220" i="3"/>
  <c r="F294" i="3"/>
  <c r="F385" i="3"/>
  <c r="G344" i="14" s="1"/>
  <c r="G345" i="14"/>
  <c r="F477" i="3"/>
  <c r="G433" i="14"/>
  <c r="F441" i="3"/>
  <c r="F316" i="3"/>
  <c r="F390" i="3"/>
  <c r="F350" i="14"/>
  <c r="G350" i="14" s="1"/>
  <c r="F373" i="3"/>
  <c r="G333" i="14" s="1"/>
  <c r="G334" i="14"/>
  <c r="F387" i="3"/>
  <c r="F346" i="14" s="1"/>
  <c r="G346" i="14" s="1"/>
  <c r="F347" i="14"/>
  <c r="G347" i="14" s="1"/>
  <c r="F393" i="3"/>
  <c r="F352" i="14" s="1"/>
  <c r="G352" i="14" s="1"/>
  <c r="F353" i="14"/>
  <c r="G353" i="14" s="1"/>
  <c r="F726" i="3"/>
  <c r="F637" i="14"/>
  <c r="F419" i="3"/>
  <c r="G827" i="5"/>
  <c r="F423" i="3"/>
  <c r="G834" i="5"/>
  <c r="G761" i="5"/>
  <c r="G763" i="5"/>
  <c r="F298" i="3"/>
  <c r="G791" i="5"/>
  <c r="F427" i="3"/>
  <c r="G841" i="5"/>
  <c r="G759" i="5"/>
  <c r="G757" i="5"/>
  <c r="F250" i="3"/>
  <c r="F349" i="3"/>
  <c r="G401" i="5"/>
  <c r="F332" i="3"/>
  <c r="G79" i="5"/>
  <c r="F340" i="3"/>
  <c r="F336" i="3"/>
  <c r="F246" i="3"/>
  <c r="F232" i="3"/>
  <c r="F236" i="3"/>
  <c r="F218" i="3"/>
  <c r="F176" i="14"/>
  <c r="G176" i="14" s="1"/>
  <c r="F198" i="3"/>
  <c r="F167" i="3"/>
  <c r="F101" i="3"/>
  <c r="F110" i="3"/>
  <c r="H131" i="16" l="1"/>
  <c r="H130" i="16" s="1"/>
  <c r="H129" i="16" s="1"/>
  <c r="H128" i="16" s="1"/>
  <c r="H127" i="16" s="1"/>
  <c r="H109" i="16" s="1"/>
  <c r="H133" i="16"/>
  <c r="H955" i="15"/>
  <c r="H954" i="15" s="1"/>
  <c r="G955" i="15"/>
  <c r="G954" i="15" s="1"/>
  <c r="G637" i="14"/>
  <c r="G636" i="14" s="1"/>
  <c r="F636" i="14"/>
  <c r="G432" i="14"/>
  <c r="G431" i="14" s="1"/>
  <c r="F431" i="14"/>
  <c r="G645" i="14"/>
  <c r="F645" i="14"/>
  <c r="G1095" i="4"/>
  <c r="G77" i="5"/>
  <c r="G842" i="5"/>
  <c r="G828" i="5"/>
  <c r="G760" i="5"/>
  <c r="G756" i="5"/>
  <c r="G835" i="5"/>
  <c r="F214" i="3"/>
  <c r="F297" i="3"/>
  <c r="F422" i="3"/>
  <c r="F382" i="14"/>
  <c r="G382" i="14" s="1"/>
  <c r="F389" i="3"/>
  <c r="F348" i="14" s="1"/>
  <c r="G348" i="14" s="1"/>
  <c r="F349" i="14"/>
  <c r="G349" i="14" s="1"/>
  <c r="F440" i="3"/>
  <c r="F187" i="3"/>
  <c r="F153" i="14" s="1"/>
  <c r="G153" i="14" s="1"/>
  <c r="F154" i="14"/>
  <c r="G154" i="14" s="1"/>
  <c r="F166" i="3"/>
  <c r="F426" i="3"/>
  <c r="G386" i="14"/>
  <c r="F418" i="3"/>
  <c r="G378" i="14"/>
  <c r="F197" i="3"/>
  <c r="F384" i="3"/>
  <c r="F335" i="3"/>
  <c r="F334" i="3" s="1"/>
  <c r="F339" i="3"/>
  <c r="F303" i="14"/>
  <c r="G303" i="14" s="1"/>
  <c r="F348" i="3"/>
  <c r="F476" i="3"/>
  <c r="F217" i="3"/>
  <c r="F331" i="3"/>
  <c r="F295" i="14"/>
  <c r="G295" i="14" s="1"/>
  <c r="F392" i="3"/>
  <c r="F351" i="14" s="1"/>
  <c r="G351" i="14" s="1"/>
  <c r="F293" i="3"/>
  <c r="F292" i="3" s="1"/>
  <c r="F309" i="3"/>
  <c r="F256" i="3"/>
  <c r="F228" i="14"/>
  <c r="G228" i="14" s="1"/>
  <c r="G790" i="5"/>
  <c r="G792" i="5"/>
  <c r="G400" i="5"/>
  <c r="G402" i="5"/>
  <c r="G91" i="5"/>
  <c r="G93" i="5"/>
  <c r="G84" i="5"/>
  <c r="G86" i="5"/>
  <c r="F109" i="3"/>
  <c r="G435" i="5"/>
  <c r="F100" i="3"/>
  <c r="G421" i="5"/>
  <c r="F127" i="3"/>
  <c r="F132" i="3"/>
  <c r="F121" i="3"/>
  <c r="F118" i="3"/>
  <c r="F71" i="3"/>
  <c r="F63" i="3"/>
  <c r="F42" i="3"/>
  <c r="F18" i="3"/>
  <c r="F347" i="3" l="1"/>
  <c r="F346" i="3" s="1"/>
  <c r="F294" i="14"/>
  <c r="F330" i="3"/>
  <c r="F302" i="14"/>
  <c r="F338" i="3"/>
  <c r="G343" i="14"/>
  <c r="G395" i="14"/>
  <c r="G394" i="14" s="1"/>
  <c r="F395" i="14"/>
  <c r="F394" i="14" s="1"/>
  <c r="G399" i="5"/>
  <c r="G398" i="5" s="1"/>
  <c r="G789" i="5"/>
  <c r="G422" i="5"/>
  <c r="G755" i="5"/>
  <c r="G83" i="5"/>
  <c r="G82" i="5" s="1"/>
  <c r="G90" i="5"/>
  <c r="G89" i="5" s="1"/>
  <c r="F41" i="3"/>
  <c r="F42" i="14" s="1"/>
  <c r="F43" i="14"/>
  <c r="G43" i="14" s="1"/>
  <c r="F62" i="3"/>
  <c r="F296" i="3"/>
  <c r="F70" i="3"/>
  <c r="F131" i="3"/>
  <c r="F174" i="14"/>
  <c r="G174" i="14" s="1"/>
  <c r="F175" i="14"/>
  <c r="G175" i="14" s="1"/>
  <c r="F108" i="3"/>
  <c r="F107" i="3" s="1"/>
  <c r="F308" i="3"/>
  <c r="F117" i="3"/>
  <c r="F255" i="3"/>
  <c r="F227" i="14"/>
  <c r="F120" i="3"/>
  <c r="F417" i="3"/>
  <c r="F17" i="3"/>
  <c r="G18" i="14" s="1"/>
  <c r="F196" i="3"/>
  <c r="F425" i="3"/>
  <c r="F165" i="3"/>
  <c r="F439" i="3"/>
  <c r="F421" i="3"/>
  <c r="F381" i="14"/>
  <c r="G434" i="5"/>
  <c r="G436" i="5"/>
  <c r="G302" i="14" l="1"/>
  <c r="G301" i="14" s="1"/>
  <c r="F301" i="14"/>
  <c r="G294" i="14"/>
  <c r="G293" i="14" s="1"/>
  <c r="F293" i="14"/>
  <c r="G42" i="14"/>
  <c r="G1065" i="15"/>
  <c r="G1064" i="15" s="1"/>
  <c r="F69" i="3"/>
  <c r="F329" i="3"/>
  <c r="G381" i="14"/>
  <c r="G380" i="14" s="1"/>
  <c r="F380" i="14"/>
  <c r="G377" i="14"/>
  <c r="G376" i="14" s="1"/>
  <c r="F376" i="14"/>
  <c r="G227" i="14"/>
  <c r="G226" i="14" s="1"/>
  <c r="G225" i="14" s="1"/>
  <c r="G224" i="14" s="1"/>
  <c r="G223" i="14" s="1"/>
  <c r="F226" i="14"/>
  <c r="F225" i="14" s="1"/>
  <c r="F224" i="14" s="1"/>
  <c r="F223" i="14" s="1"/>
  <c r="G271" i="14"/>
  <c r="F271" i="14"/>
  <c r="F270" i="14" s="1"/>
  <c r="F269" i="14" s="1"/>
  <c r="D25" i="13" s="1"/>
  <c r="G385" i="14"/>
  <c r="G384" i="14" s="1"/>
  <c r="F384" i="14"/>
  <c r="F259" i="14"/>
  <c r="G88" i="5"/>
  <c r="G87" i="5" s="1"/>
  <c r="G754" i="5"/>
  <c r="G433" i="5"/>
  <c r="G432" i="5" s="1"/>
  <c r="G431" i="5" s="1"/>
  <c r="G430" i="5" s="1"/>
  <c r="G788" i="5"/>
  <c r="F254" i="3"/>
  <c r="F130" i="3"/>
  <c r="F119" i="3"/>
  <c r="H495" i="15"/>
  <c r="G292" i="14" l="1"/>
  <c r="G291" i="14" s="1"/>
  <c r="F292" i="14"/>
  <c r="F291" i="14" s="1"/>
  <c r="H494" i="15"/>
  <c r="H841" i="15"/>
  <c r="F144" i="14"/>
  <c r="F143" i="14" s="1"/>
  <c r="G840" i="15"/>
  <c r="H1065" i="15"/>
  <c r="H1064" i="15" s="1"/>
  <c r="G81" i="5"/>
  <c r="G80" i="5" s="1"/>
  <c r="G397" i="5"/>
  <c r="G396" i="5" s="1"/>
  <c r="G787" i="5"/>
  <c r="G753" i="5"/>
  <c r="F328" i="3"/>
  <c r="F253" i="3"/>
  <c r="G50" i="14" l="1"/>
  <c r="G56" i="15"/>
  <c r="F49" i="14"/>
  <c r="H840" i="15"/>
  <c r="G144" i="14"/>
  <c r="G143" i="14" s="1"/>
  <c r="G1060" i="15"/>
  <c r="G1059" i="15" s="1"/>
  <c r="F1101" i="3"/>
  <c r="F861" i="3"/>
  <c r="F860" i="3" s="1"/>
  <c r="F125" i="3"/>
  <c r="G786" i="5"/>
  <c r="G395" i="5"/>
  <c r="F252" i="3"/>
  <c r="G1137" i="4"/>
  <c r="G1054" i="4"/>
  <c r="H895" i="15"/>
  <c r="H17" i="15" l="1"/>
  <c r="G16" i="15"/>
  <c r="F120" i="14"/>
  <c r="F119" i="14" s="1"/>
  <c r="F747" i="14"/>
  <c r="F746" i="14" s="1"/>
  <c r="F745" i="14" s="1"/>
  <c r="G362" i="15"/>
  <c r="G361" i="15" s="1"/>
  <c r="G360" i="15" s="1"/>
  <c r="H56" i="15"/>
  <c r="G49" i="14"/>
  <c r="H1060" i="15"/>
  <c r="H1059" i="15" s="1"/>
  <c r="G22" i="14"/>
  <c r="G21" i="14" s="1"/>
  <c r="F21" i="14"/>
  <c r="H363" i="15"/>
  <c r="G482" i="16"/>
  <c r="F124" i="3"/>
  <c r="G1053" i="4"/>
  <c r="G916" i="15" s="1"/>
  <c r="H916" i="15" s="1"/>
  <c r="G917" i="15"/>
  <c r="H917" i="15" s="1"/>
  <c r="G1136" i="4"/>
  <c r="F357" i="3"/>
  <c r="H880" i="15"/>
  <c r="F23" i="3"/>
  <c r="G1012" i="4"/>
  <c r="H879" i="15" s="1"/>
  <c r="H482" i="16" l="1"/>
  <c r="H481" i="16" s="1"/>
  <c r="H480" i="16" s="1"/>
  <c r="H479" i="16" s="1"/>
  <c r="H478" i="16" s="1"/>
  <c r="H465" i="16" s="1"/>
  <c r="G747" i="14"/>
  <c r="G746" i="14" s="1"/>
  <c r="G745" i="14" s="1"/>
  <c r="H362" i="15"/>
  <c r="H361" i="15" s="1"/>
  <c r="H360" i="15" s="1"/>
  <c r="H16" i="15"/>
  <c r="G120" i="14"/>
  <c r="G119" i="14" s="1"/>
  <c r="G118" i="14" s="1"/>
  <c r="G483" i="16"/>
  <c r="G481" i="16"/>
  <c r="G480" i="16" s="1"/>
  <c r="G479" i="16" s="1"/>
  <c r="G478" i="16" s="1"/>
  <c r="G465" i="16" s="1"/>
  <c r="G236" i="4"/>
  <c r="H483" i="16" l="1"/>
  <c r="G235" i="4"/>
  <c r="H216" i="15"/>
  <c r="H215" i="15" s="1"/>
  <c r="H214" i="15" s="1"/>
  <c r="H213" i="15" s="1"/>
  <c r="G116" i="4"/>
  <c r="G113" i="4"/>
  <c r="G104" i="4"/>
  <c r="G234" i="4" l="1"/>
  <c r="F95" i="14"/>
  <c r="F94" i="14" s="1"/>
  <c r="F91" i="14" s="1"/>
  <c r="F90" i="14" s="1"/>
  <c r="G98" i="15"/>
  <c r="G95" i="15" s="1"/>
  <c r="G94" i="15" s="1"/>
  <c r="F89" i="14"/>
  <c r="F88" i="14" s="1"/>
  <c r="F87" i="14" s="1"/>
  <c r="G92" i="15"/>
  <c r="G91" i="15" s="1"/>
  <c r="H93" i="15"/>
  <c r="H99" i="15"/>
  <c r="H377" i="16" s="1"/>
  <c r="G112" i="4"/>
  <c r="G115" i="4"/>
  <c r="G110" i="15" s="1"/>
  <c r="G111" i="15"/>
  <c r="H111" i="15" s="1"/>
  <c r="G106" i="4"/>
  <c r="F103" i="3"/>
  <c r="G100" i="4"/>
  <c r="F97" i="3"/>
  <c r="H110" i="15" l="1"/>
  <c r="H378" i="16"/>
  <c r="H376" i="16"/>
  <c r="H372" i="16" s="1"/>
  <c r="H371" i="16" s="1"/>
  <c r="H362" i="16"/>
  <c r="H363" i="16" s="1"/>
  <c r="G89" i="14"/>
  <c r="G88" i="14" s="1"/>
  <c r="G87" i="14" s="1"/>
  <c r="H92" i="15"/>
  <c r="H91" i="15" s="1"/>
  <c r="G95" i="14"/>
  <c r="G94" i="14" s="1"/>
  <c r="H98" i="15"/>
  <c r="H95" i="15" s="1"/>
  <c r="H94" i="15" s="1"/>
  <c r="G106" i="15"/>
  <c r="G103" i="4"/>
  <c r="G102" i="4" s="1"/>
  <c r="G99" i="4"/>
  <c r="G111" i="4"/>
  <c r="F96" i="3"/>
  <c r="G409" i="5"/>
  <c r="F102" i="3"/>
  <c r="G424" i="5"/>
  <c r="G389" i="4"/>
  <c r="G376" i="4"/>
  <c r="H106" i="15" l="1"/>
  <c r="H361" i="16"/>
  <c r="H360" i="16" s="1"/>
  <c r="H359" i="16" s="1"/>
  <c r="H358" i="16" s="1"/>
  <c r="G98" i="4"/>
  <c r="G97" i="4" s="1"/>
  <c r="G1288" i="4" s="1"/>
  <c r="G375" i="4"/>
  <c r="G344" i="15" s="1"/>
  <c r="H344" i="15" s="1"/>
  <c r="G345" i="15"/>
  <c r="H345" i="15" s="1"/>
  <c r="G388" i="4"/>
  <c r="G410" i="5"/>
  <c r="G425" i="5"/>
  <c r="F99" i="3"/>
  <c r="F98" i="3" s="1"/>
  <c r="G91" i="14"/>
  <c r="G90" i="14" s="1"/>
  <c r="F95" i="3"/>
  <c r="G448" i="4"/>
  <c r="H357" i="16" l="1"/>
  <c r="H90" i="15"/>
  <c r="G90" i="15"/>
  <c r="G387" i="4"/>
  <c r="F94" i="3"/>
  <c r="G44" i="6"/>
  <c r="G43" i="6" s="1"/>
  <c r="G42" i="6" s="1"/>
  <c r="G41" i="6" s="1"/>
  <c r="G20" i="6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 s="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58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975" i="5"/>
  <c r="G908" i="5"/>
  <c r="G899" i="5"/>
  <c r="G894" i="5"/>
  <c r="G914" i="5"/>
  <c r="G904" i="5"/>
  <c r="G933" i="5"/>
  <c r="G883" i="5"/>
  <c r="G875" i="5"/>
  <c r="G871" i="5"/>
  <c r="G867" i="5"/>
  <c r="G863" i="5"/>
  <c r="G840" i="5"/>
  <c r="G833" i="5"/>
  <c r="G784" i="5"/>
  <c r="G743" i="5"/>
  <c r="G736" i="5"/>
  <c r="G751" i="5"/>
  <c r="G702" i="5"/>
  <c r="G690" i="5"/>
  <c r="G686" i="5"/>
  <c r="G481" i="5"/>
  <c r="G470" i="5"/>
  <c r="G471" i="5" s="1"/>
  <c r="G466" i="5"/>
  <c r="G443" i="5"/>
  <c r="G420" i="5"/>
  <c r="G324" i="5"/>
  <c r="G257" i="5"/>
  <c r="G304" i="5"/>
  <c r="G275" i="5"/>
  <c r="G243" i="5"/>
  <c r="G76" i="5"/>
  <c r="G75" i="5" s="1"/>
  <c r="G60" i="5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0" i="10" s="1"/>
  <c r="G639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243" i="4"/>
  <c r="G1240" i="4"/>
  <c r="G1229" i="4"/>
  <c r="G1226" i="4"/>
  <c r="G1211" i="4"/>
  <c r="G1195" i="4"/>
  <c r="G1190" i="4"/>
  <c r="G1184" i="4"/>
  <c r="G1183" i="4" s="1"/>
  <c r="G1167" i="4"/>
  <c r="G1162" i="4"/>
  <c r="G1160" i="4"/>
  <c r="G1134" i="4"/>
  <c r="G1127" i="4"/>
  <c r="G1124" i="4"/>
  <c r="G1119" i="4"/>
  <c r="G1130" i="4"/>
  <c r="G731" i="5"/>
  <c r="G1114" i="4"/>
  <c r="G973" i="15" s="1"/>
  <c r="G718" i="5"/>
  <c r="G1083" i="4"/>
  <c r="G1079" i="4"/>
  <c r="G1075" i="4"/>
  <c r="G1051" i="4"/>
  <c r="G914" i="15" s="1"/>
  <c r="H914" i="15" s="1"/>
  <c r="G1049" i="4"/>
  <c r="G912" i="15" s="1"/>
  <c r="H912" i="15" s="1"/>
  <c r="G1046" i="4"/>
  <c r="G1043" i="4"/>
  <c r="G906" i="15" s="1"/>
  <c r="H906" i="15" s="1"/>
  <c r="G1041" i="4"/>
  <c r="H904" i="15" s="1"/>
  <c r="G1037" i="4"/>
  <c r="G900" i="15" s="1"/>
  <c r="H900" i="15" s="1"/>
  <c r="G1035" i="4"/>
  <c r="G882" i="15"/>
  <c r="H882" i="15" s="1"/>
  <c r="G997" i="4"/>
  <c r="G984" i="4"/>
  <c r="G964" i="4"/>
  <c r="F170" i="3"/>
  <c r="G946" i="4"/>
  <c r="G931" i="4"/>
  <c r="G902" i="4"/>
  <c r="G895" i="4"/>
  <c r="G892" i="4"/>
  <c r="G462" i="5"/>
  <c r="G451" i="5"/>
  <c r="G864" i="4"/>
  <c r="G843" i="4"/>
  <c r="G826" i="4"/>
  <c r="G813" i="4"/>
  <c r="G806" i="4"/>
  <c r="G787" i="4"/>
  <c r="G782" i="4"/>
  <c r="G753" i="4"/>
  <c r="G288" i="5"/>
  <c r="G731" i="4"/>
  <c r="G637" i="15"/>
  <c r="G721" i="4"/>
  <c r="G715" i="4"/>
  <c r="G712" i="4"/>
  <c r="G696" i="4"/>
  <c r="G691" i="4"/>
  <c r="G671" i="4"/>
  <c r="G661" i="4"/>
  <c r="G657" i="4"/>
  <c r="G647" i="4"/>
  <c r="G641" i="4"/>
  <c r="G627" i="4"/>
  <c r="G598" i="4"/>
  <c r="G580" i="4"/>
  <c r="G573" i="4"/>
  <c r="G526" i="4"/>
  <c r="G139" i="5"/>
  <c r="G487" i="4"/>
  <c r="G480" i="4"/>
  <c r="G466" i="4"/>
  <c r="G463" i="4"/>
  <c r="G417" i="15" s="1"/>
  <c r="H417" i="15" s="1"/>
  <c r="G461" i="4"/>
  <c r="G455" i="4"/>
  <c r="G450" i="4"/>
  <c r="G433" i="4"/>
  <c r="G429" i="4"/>
  <c r="G422" i="4"/>
  <c r="G418" i="4"/>
  <c r="F873" i="3"/>
  <c r="G48" i="5"/>
  <c r="G366" i="4"/>
  <c r="G343" i="4"/>
  <c r="G340" i="4"/>
  <c r="G337" i="4"/>
  <c r="G312" i="4"/>
  <c r="G308" i="4"/>
  <c r="G304" i="4"/>
  <c r="G291" i="4"/>
  <c r="G286" i="4"/>
  <c r="G283" i="4"/>
  <c r="G280" i="4"/>
  <c r="G277" i="4"/>
  <c r="G274" i="4"/>
  <c r="F879" i="14"/>
  <c r="F878" i="14" s="1"/>
  <c r="F875" i="14" s="1"/>
  <c r="G249" i="4"/>
  <c r="G243" i="4"/>
  <c r="G223" i="4"/>
  <c r="G219" i="4"/>
  <c r="G199" i="4"/>
  <c r="G180" i="4"/>
  <c r="G173" i="4"/>
  <c r="G168" i="4"/>
  <c r="G163" i="4"/>
  <c r="G159" i="4"/>
  <c r="G408" i="5"/>
  <c r="G151" i="4"/>
  <c r="G150" i="4" s="1"/>
  <c r="G125" i="4"/>
  <c r="G122" i="4"/>
  <c r="F81" i="14"/>
  <c r="F80" i="14" s="1"/>
  <c r="F79" i="14"/>
  <c r="F78" i="14" s="1"/>
  <c r="F76" i="14"/>
  <c r="F75" i="14" s="1"/>
  <c r="F74" i="14"/>
  <c r="F73" i="14" s="1"/>
  <c r="F69" i="14"/>
  <c r="F68" i="14" s="1"/>
  <c r="F67" i="14" s="1"/>
  <c r="G77" i="4"/>
  <c r="G76" i="4" s="1"/>
  <c r="G70" i="4"/>
  <c r="G62" i="4"/>
  <c r="G58" i="4"/>
  <c r="G22" i="4"/>
  <c r="G19" i="4"/>
  <c r="G17" i="4"/>
  <c r="G15" i="4"/>
  <c r="F1069" i="3"/>
  <c r="F1039" i="3"/>
  <c r="F1033" i="3"/>
  <c r="F1030" i="3"/>
  <c r="F1011" i="3"/>
  <c r="F994" i="3"/>
  <c r="F993" i="3" s="1"/>
  <c r="F936" i="3"/>
  <c r="F924" i="3"/>
  <c r="F910" i="3"/>
  <c r="F887" i="3"/>
  <c r="F881" i="3"/>
  <c r="F864" i="3"/>
  <c r="F702" i="3"/>
  <c r="F697" i="3"/>
  <c r="F653" i="3"/>
  <c r="F630" i="3"/>
  <c r="F627" i="3"/>
  <c r="F610" i="3"/>
  <c r="F606" i="3"/>
  <c r="F589" i="3"/>
  <c r="F579" i="3"/>
  <c r="F575" i="3"/>
  <c r="F559" i="3"/>
  <c r="F532" i="3"/>
  <c r="F506" i="3"/>
  <c r="F472" i="3"/>
  <c r="F469" i="3"/>
  <c r="F464" i="3"/>
  <c r="F398" i="3"/>
  <c r="F381" i="3"/>
  <c r="F340" i="14" s="1"/>
  <c r="G340" i="14" s="1"/>
  <c r="F356" i="3"/>
  <c r="F249" i="3"/>
  <c r="F245" i="3"/>
  <c r="F235" i="3"/>
  <c r="F231" i="3"/>
  <c r="F219" i="3"/>
  <c r="F216" i="3"/>
  <c r="F213" i="3"/>
  <c r="F129" i="3"/>
  <c r="F126" i="3"/>
  <c r="F56" i="3"/>
  <c r="F40" i="3"/>
  <c r="C185" i="1"/>
  <c r="C167" i="1"/>
  <c r="C166" i="1" s="1"/>
  <c r="C161" i="1" s="1"/>
  <c r="C73" i="1"/>
  <c r="C62" i="1"/>
  <c r="C60" i="1"/>
  <c r="C47" i="1"/>
  <c r="C45" i="1"/>
  <c r="C41" i="1"/>
  <c r="C33" i="1"/>
  <c r="C28" i="1"/>
  <c r="C22" i="1" s="1"/>
  <c r="G375" i="10" l="1"/>
  <c r="G374" i="10" s="1"/>
  <c r="G51" i="10"/>
  <c r="G50" i="10" s="1"/>
  <c r="G49" i="10" s="1"/>
  <c r="G48" i="10" s="1"/>
  <c r="G116" i="10"/>
  <c r="G98" i="10" s="1"/>
  <c r="G485" i="10"/>
  <c r="G479" i="10" s="1"/>
  <c r="G478" i="10" s="1"/>
  <c r="G477" i="10" s="1"/>
  <c r="G650" i="10"/>
  <c r="G646" i="10" s="1"/>
  <c r="G310" i="10"/>
  <c r="G306" i="10" s="1"/>
  <c r="G344" i="10"/>
  <c r="G408" i="10"/>
  <c r="G407" i="10" s="1"/>
  <c r="G838" i="10"/>
  <c r="G837" i="10" s="1"/>
  <c r="G147" i="10"/>
  <c r="G982" i="10" s="1"/>
  <c r="G169" i="10"/>
  <c r="G162" i="10" s="1"/>
  <c r="G161" i="10" s="1"/>
  <c r="G160" i="10" s="1"/>
  <c r="G159" i="10" s="1"/>
  <c r="G983" i="10" s="1"/>
  <c r="G633" i="10"/>
  <c r="G1034" i="4"/>
  <c r="G792" i="10"/>
  <c r="G791" i="10" s="1"/>
  <c r="G786" i="10" s="1"/>
  <c r="G785" i="10" s="1"/>
  <c r="G161" i="11"/>
  <c r="G299" i="10"/>
  <c r="G280" i="10" s="1"/>
  <c r="G15" i="10"/>
  <c r="G14" i="10" s="1"/>
  <c r="G13" i="10" s="1"/>
  <c r="G12" i="10" s="1"/>
  <c r="G11" i="10" s="1"/>
  <c r="G10" i="10" s="1"/>
  <c r="G238" i="10"/>
  <c r="G237" i="10" s="1"/>
  <c r="G657" i="10"/>
  <c r="G656" i="10" s="1"/>
  <c r="G65" i="10"/>
  <c r="G61" i="10" s="1"/>
  <c r="G997" i="10" s="1"/>
  <c r="G391" i="10"/>
  <c r="G139" i="10"/>
  <c r="G215" i="10"/>
  <c r="G214" i="10" s="1"/>
  <c r="G213" i="10" s="1"/>
  <c r="G212" i="10" s="1"/>
  <c r="G623" i="10"/>
  <c r="G622" i="10" s="1"/>
  <c r="G801" i="10"/>
  <c r="G1005" i="10" s="1"/>
  <c r="G913" i="10"/>
  <c r="G909" i="10" s="1"/>
  <c r="G396" i="11"/>
  <c r="G376" i="11" s="1"/>
  <c r="G375" i="11" s="1"/>
  <c r="G374" i="11" s="1"/>
  <c r="G404" i="11" s="1"/>
  <c r="G381" i="10"/>
  <c r="G380" i="10" s="1"/>
  <c r="G728" i="10"/>
  <c r="G727" i="10" s="1"/>
  <c r="G726" i="10" s="1"/>
  <c r="G879" i="10"/>
  <c r="G878" i="10" s="1"/>
  <c r="G968" i="10"/>
  <c r="G967" i="10" s="1"/>
  <c r="G966" i="10" s="1"/>
  <c r="G965" i="10" s="1"/>
  <c r="G964" i="10" s="1"/>
  <c r="G963" i="10" s="1"/>
  <c r="G32" i="10"/>
  <c r="G31" i="10" s="1"/>
  <c r="G43" i="10"/>
  <c r="G42" i="10" s="1"/>
  <c r="G190" i="10"/>
  <c r="G186" i="10" s="1"/>
  <c r="G185" i="10" s="1"/>
  <c r="G184" i="10" s="1"/>
  <c r="G177" i="10" s="1"/>
  <c r="G339" i="10"/>
  <c r="G613" i="10"/>
  <c r="G612" i="10" s="1"/>
  <c r="G948" i="10"/>
  <c r="G947" i="10" s="1"/>
  <c r="G946" i="10" s="1"/>
  <c r="G945" i="10" s="1"/>
  <c r="F72" i="14"/>
  <c r="G220" i="16"/>
  <c r="G221" i="16" s="1"/>
  <c r="F501" i="14"/>
  <c r="G140" i="5"/>
  <c r="G138" i="5"/>
  <c r="G137" i="5" s="1"/>
  <c r="G136" i="5" s="1"/>
  <c r="G135" i="5" s="1"/>
  <c r="G134" i="5" s="1"/>
  <c r="G113" i="5" s="1"/>
  <c r="F573" i="14"/>
  <c r="F572" i="14" s="1"/>
  <c r="F571" i="14" s="1"/>
  <c r="G238" i="16"/>
  <c r="F570" i="14"/>
  <c r="F569" i="14" s="1"/>
  <c r="F568" i="14" s="1"/>
  <c r="G234" i="16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94" i="10"/>
  <c r="G693" i="10" s="1"/>
  <c r="G1007" i="10"/>
  <c r="G261" i="10"/>
  <c r="G260" i="10" s="1"/>
  <c r="G513" i="10"/>
  <c r="G508" i="10" s="1"/>
  <c r="G99" i="10"/>
  <c r="G860" i="10"/>
  <c r="G859" i="10" s="1"/>
  <c r="G666" i="10"/>
  <c r="G662" i="10" s="1"/>
  <c r="G741" i="10"/>
  <c r="G740" i="10" s="1"/>
  <c r="G756" i="10"/>
  <c r="G755" i="10" s="1"/>
  <c r="G750" i="10" s="1"/>
  <c r="G749" i="10" s="1"/>
  <c r="G779" i="10"/>
  <c r="G778" i="10" s="1"/>
  <c r="G993" i="10" s="1"/>
  <c r="G849" i="10"/>
  <c r="G902" i="10"/>
  <c r="G901" i="10" s="1"/>
  <c r="G953" i="10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996" i="10"/>
  <c r="G73" i="10"/>
  <c r="G999" i="10" s="1"/>
  <c r="G134" i="10"/>
  <c r="G998" i="10"/>
  <c r="G202" i="10"/>
  <c r="G581" i="10"/>
  <c r="G580" i="10" s="1"/>
  <c r="G444" i="10"/>
  <c r="G443" i="10" s="1"/>
  <c r="G552" i="10"/>
  <c r="G547" i="10" s="1"/>
  <c r="H187" i="15"/>
  <c r="F245" i="14"/>
  <c r="F244" i="14" s="1"/>
  <c r="G186" i="15"/>
  <c r="G645" i="15"/>
  <c r="G644" i="15" s="1"/>
  <c r="F712" i="14"/>
  <c r="F711" i="14" s="1"/>
  <c r="F710" i="14" s="1"/>
  <c r="G724" i="15"/>
  <c r="G723" i="15" s="1"/>
  <c r="H808" i="15"/>
  <c r="F928" i="14"/>
  <c r="F927" i="14" s="1"/>
  <c r="F926" i="14" s="1"/>
  <c r="G807" i="15"/>
  <c r="G806" i="15" s="1"/>
  <c r="G583" i="15"/>
  <c r="G582" i="15" s="1"/>
  <c r="H734" i="15"/>
  <c r="F719" i="14"/>
  <c r="F718" i="14" s="1"/>
  <c r="G733" i="15"/>
  <c r="F950" i="14"/>
  <c r="F949" i="14" s="1"/>
  <c r="G829" i="15"/>
  <c r="H888" i="15"/>
  <c r="H887" i="15" s="1"/>
  <c r="H886" i="15" s="1"/>
  <c r="G887" i="15"/>
  <c r="G886" i="15" s="1"/>
  <c r="H1012" i="15"/>
  <c r="G1011" i="15"/>
  <c r="G1006" i="15" s="1"/>
  <c r="F452" i="14"/>
  <c r="F451" i="14" s="1"/>
  <c r="F446" i="14" s="1"/>
  <c r="F77" i="14"/>
  <c r="H185" i="15"/>
  <c r="G243" i="14" s="1"/>
  <c r="G242" i="14" s="1"/>
  <c r="F243" i="14"/>
  <c r="F242" i="14" s="1"/>
  <c r="G184" i="15"/>
  <c r="F258" i="14"/>
  <c r="F257" i="14" s="1"/>
  <c r="F256" i="14" s="1"/>
  <c r="G199" i="15"/>
  <c r="G198" i="15" s="1"/>
  <c r="F702" i="14"/>
  <c r="F701" i="14" s="1"/>
  <c r="F700" i="14" s="1"/>
  <c r="G349" i="15"/>
  <c r="G348" i="15" s="1"/>
  <c r="G652" i="15"/>
  <c r="G651" i="15" s="1"/>
  <c r="F922" i="14"/>
  <c r="F921" i="14" s="1"/>
  <c r="F920" i="14" s="1"/>
  <c r="G801" i="15"/>
  <c r="G800" i="15" s="1"/>
  <c r="H820" i="15"/>
  <c r="G819" i="15"/>
  <c r="F940" i="14"/>
  <c r="F939" i="14" s="1"/>
  <c r="G969" i="15"/>
  <c r="G968" i="15" s="1"/>
  <c r="F410" i="14"/>
  <c r="F409" i="14" s="1"/>
  <c r="F408" i="14" s="1"/>
  <c r="H1020" i="15"/>
  <c r="F460" i="14"/>
  <c r="F459" i="14" s="1"/>
  <c r="F458" i="14" s="1"/>
  <c r="F457" i="14" s="1"/>
  <c r="G1019" i="15"/>
  <c r="G1018" i="15" s="1"/>
  <c r="H1077" i="15"/>
  <c r="G39" i="14" s="1"/>
  <c r="F38" i="14"/>
  <c r="F37" i="14" s="1"/>
  <c r="F31" i="14" s="1"/>
  <c r="G1076" i="15"/>
  <c r="G1075" i="15" s="1"/>
  <c r="H238" i="15"/>
  <c r="G877" i="14"/>
  <c r="G876" i="14" s="1"/>
  <c r="F629" i="14"/>
  <c r="F628" i="14" s="1"/>
  <c r="F627" i="14" s="1"/>
  <c r="G699" i="15"/>
  <c r="G698" i="15" s="1"/>
  <c r="H744" i="15"/>
  <c r="F729" i="14"/>
  <c r="F728" i="14" s="1"/>
  <c r="F727" i="14" s="1"/>
  <c r="G743" i="15"/>
  <c r="G742" i="15" s="1"/>
  <c r="H885" i="15"/>
  <c r="F325" i="14"/>
  <c r="F324" i="14" s="1"/>
  <c r="F323" i="14" s="1"/>
  <c r="G884" i="15"/>
  <c r="G883" i="15" s="1"/>
  <c r="H527" i="15"/>
  <c r="H526" i="15" s="1"/>
  <c r="H525" i="15" s="1"/>
  <c r="G526" i="15"/>
  <c r="G525" i="15" s="1"/>
  <c r="H748" i="15"/>
  <c r="G733" i="14" s="1"/>
  <c r="G732" i="14" s="1"/>
  <c r="F733" i="14"/>
  <c r="F732" i="14" s="1"/>
  <c r="G747" i="15"/>
  <c r="H859" i="15"/>
  <c r="F268" i="14"/>
  <c r="F267" i="14" s="1"/>
  <c r="F266" i="14" s="1"/>
  <c r="G858" i="15"/>
  <c r="G857" i="15" s="1"/>
  <c r="H181" i="15"/>
  <c r="G180" i="15"/>
  <c r="G179" i="15" s="1"/>
  <c r="G175" i="15" s="1"/>
  <c r="F239" i="14"/>
  <c r="F238" i="14" s="1"/>
  <c r="F237" i="14" s="1"/>
  <c r="F173" i="14"/>
  <c r="F172" i="14" s="1"/>
  <c r="F171" i="14" s="1"/>
  <c r="F170" i="14" s="1"/>
  <c r="G249" i="15"/>
  <c r="G248" i="15" s="1"/>
  <c r="G247" i="15" s="1"/>
  <c r="F328" i="14"/>
  <c r="F327" i="14" s="1"/>
  <c r="F326" i="14" s="1"/>
  <c r="G529" i="15"/>
  <c r="G528" i="15" s="1"/>
  <c r="F643" i="14"/>
  <c r="F642" i="14" s="1"/>
  <c r="F641" i="14" s="1"/>
  <c r="G713" i="15"/>
  <c r="G712" i="15" s="1"/>
  <c r="H736" i="15"/>
  <c r="F721" i="14"/>
  <c r="F720" i="14" s="1"/>
  <c r="G735" i="15"/>
  <c r="H750" i="15"/>
  <c r="G735" i="14" s="1"/>
  <c r="G734" i="14" s="1"/>
  <c r="F735" i="14"/>
  <c r="F734" i="14" s="1"/>
  <c r="G749" i="15"/>
  <c r="F908" i="14"/>
  <c r="F907" i="14" s="1"/>
  <c r="F906" i="14" s="1"/>
  <c r="H816" i="15"/>
  <c r="F936" i="14"/>
  <c r="F935" i="14" s="1"/>
  <c r="G815" i="15"/>
  <c r="H1029" i="15"/>
  <c r="F469" i="14"/>
  <c r="G1028" i="15"/>
  <c r="G1025" i="15" s="1"/>
  <c r="H1088" i="15"/>
  <c r="G1087" i="15"/>
  <c r="G1086" i="15" s="1"/>
  <c r="F111" i="14"/>
  <c r="F110" i="14" s="1"/>
  <c r="F109" i="14" s="1"/>
  <c r="H512" i="15"/>
  <c r="F152" i="14"/>
  <c r="F151" i="14" s="1"/>
  <c r="F150" i="14" s="1"/>
  <c r="G511" i="15"/>
  <c r="G510" i="15" s="1"/>
  <c r="G620" i="15"/>
  <c r="G619" i="15" s="1"/>
  <c r="G629" i="15"/>
  <c r="G628" i="15" s="1"/>
  <c r="G557" i="15"/>
  <c r="G556" i="15" s="1"/>
  <c r="G563" i="15"/>
  <c r="G562" i="15" s="1"/>
  <c r="G75" i="15"/>
  <c r="D155" i="1"/>
  <c r="D115" i="1"/>
  <c r="H86" i="15"/>
  <c r="G85" i="15"/>
  <c r="H88" i="15"/>
  <c r="G87" i="15"/>
  <c r="H81" i="15"/>
  <c r="G80" i="15"/>
  <c r="H241" i="15"/>
  <c r="G240" i="15"/>
  <c r="G237" i="15" s="1"/>
  <c r="H83" i="15"/>
  <c r="G82" i="15"/>
  <c r="H15" i="15"/>
  <c r="G15" i="15"/>
  <c r="G211" i="15"/>
  <c r="G208" i="15" s="1"/>
  <c r="G843" i="16"/>
  <c r="G842" i="16" s="1"/>
  <c r="G841" i="16" s="1"/>
  <c r="G840" i="16" s="1"/>
  <c r="G845" i="16" s="1"/>
  <c r="G89" i="15"/>
  <c r="G1135" i="15" s="1"/>
  <c r="H89" i="15"/>
  <c r="H1135" i="15" s="1"/>
  <c r="H621" i="15"/>
  <c r="G554" i="14" s="1"/>
  <c r="G553" i="14" s="1"/>
  <c r="G552" i="14" s="1"/>
  <c r="G184" i="16"/>
  <c r="H646" i="15"/>
  <c r="G838" i="16"/>
  <c r="H353" i="15"/>
  <c r="G353" i="15"/>
  <c r="H103" i="16"/>
  <c r="H350" i="15"/>
  <c r="G48" i="16"/>
  <c r="H66" i="16"/>
  <c r="G66" i="16"/>
  <c r="H558" i="15"/>
  <c r="G488" i="14" s="1"/>
  <c r="G487" i="14" s="1"/>
  <c r="G486" i="14" s="1"/>
  <c r="G163" i="16"/>
  <c r="H584" i="15"/>
  <c r="H653" i="15"/>
  <c r="H282" i="16"/>
  <c r="G654" i="16"/>
  <c r="H630" i="15"/>
  <c r="G563" i="14" s="1"/>
  <c r="G562" i="14" s="1"/>
  <c r="G561" i="14" s="1"/>
  <c r="G196" i="16"/>
  <c r="H788" i="15"/>
  <c r="G438" i="16"/>
  <c r="H564" i="15"/>
  <c r="G494" i="14" s="1"/>
  <c r="G493" i="14" s="1"/>
  <c r="G492" i="14" s="1"/>
  <c r="G171" i="16"/>
  <c r="H700" i="15"/>
  <c r="G205" i="16"/>
  <c r="H253" i="16"/>
  <c r="H830" i="15"/>
  <c r="G455" i="16"/>
  <c r="H238" i="16"/>
  <c r="H637" i="15"/>
  <c r="H234" i="16" s="1"/>
  <c r="H935" i="15"/>
  <c r="H738" i="16" s="1"/>
  <c r="H737" i="16" s="1"/>
  <c r="H736" i="16" s="1"/>
  <c r="H735" i="16" s="1"/>
  <c r="H734" i="16" s="1"/>
  <c r="H733" i="16" s="1"/>
  <c r="G738" i="16"/>
  <c r="H927" i="15"/>
  <c r="H724" i="16" s="1"/>
  <c r="H723" i="16" s="1"/>
  <c r="H722" i="16" s="1"/>
  <c r="H721" i="16" s="1"/>
  <c r="H720" i="16" s="1"/>
  <c r="H719" i="16" s="1"/>
  <c r="G724" i="16"/>
  <c r="H973" i="15"/>
  <c r="H660" i="16" s="1"/>
  <c r="H661" i="16" s="1"/>
  <c r="G660" i="16"/>
  <c r="G86" i="14"/>
  <c r="F86" i="14"/>
  <c r="F85" i="14" s="1"/>
  <c r="C148" i="12"/>
  <c r="G121" i="4"/>
  <c r="G701" i="5"/>
  <c r="G700" i="5" s="1"/>
  <c r="G167" i="4"/>
  <c r="G166" i="4" s="1"/>
  <c r="G290" i="4"/>
  <c r="G584" i="5"/>
  <c r="G585" i="5" s="1"/>
  <c r="G312" i="15"/>
  <c r="G421" i="4"/>
  <c r="G420" i="4" s="1"/>
  <c r="G449" i="4"/>
  <c r="G465" i="4"/>
  <c r="G781" i="4"/>
  <c r="G825" i="4"/>
  <c r="F412" i="3"/>
  <c r="F371" i="14" s="1"/>
  <c r="G371" i="14" s="1"/>
  <c r="G931" i="15"/>
  <c r="G1194" i="4"/>
  <c r="G172" i="4"/>
  <c r="G170" i="4" s="1"/>
  <c r="G1302" i="4" s="1"/>
  <c r="G279" i="4"/>
  <c r="G311" i="4"/>
  <c r="G310" i="4" s="1"/>
  <c r="G287" i="15"/>
  <c r="H287" i="15" s="1"/>
  <c r="G695" i="4"/>
  <c r="G311" i="5"/>
  <c r="G786" i="4"/>
  <c r="F848" i="3"/>
  <c r="G945" i="4"/>
  <c r="F172" i="3"/>
  <c r="F171" i="3" s="1"/>
  <c r="G21" i="4"/>
  <c r="G67" i="4"/>
  <c r="F193" i="3"/>
  <c r="G158" i="4"/>
  <c r="G198" i="4"/>
  <c r="G248" i="4"/>
  <c r="G247" i="4" s="1"/>
  <c r="G282" i="4"/>
  <c r="G259" i="15" s="1"/>
  <c r="G260" i="15"/>
  <c r="H260" i="15" s="1"/>
  <c r="G336" i="4"/>
  <c r="G627" i="5"/>
  <c r="G628" i="5" s="1"/>
  <c r="G525" i="4"/>
  <c r="G138" i="16" s="1"/>
  <c r="G575" i="4"/>
  <c r="G496" i="15"/>
  <c r="G597" i="4"/>
  <c r="G513" i="15" s="1"/>
  <c r="H513" i="15" s="1"/>
  <c r="G514" i="15"/>
  <c r="H514" i="15" s="1"/>
  <c r="G656" i="4"/>
  <c r="G670" i="4"/>
  <c r="G669" i="4" s="1"/>
  <c r="F709" i="3"/>
  <c r="G812" i="4"/>
  <c r="G709" i="15"/>
  <c r="H709" i="15" s="1"/>
  <c r="G863" i="4"/>
  <c r="G891" i="4"/>
  <c r="F1048" i="3"/>
  <c r="F1093" i="3"/>
  <c r="F1092" i="3" s="1"/>
  <c r="G996" i="4"/>
  <c r="G1074" i="4"/>
  <c r="H938" i="15"/>
  <c r="G1118" i="4"/>
  <c r="G1133" i="4"/>
  <c r="G993" i="15"/>
  <c r="H993" i="15" s="1"/>
  <c r="F13" i="3"/>
  <c r="G1242" i="4"/>
  <c r="G276" i="4"/>
  <c r="G365" i="4"/>
  <c r="G432" i="4"/>
  <c r="G431" i="4" s="1"/>
  <c r="G579" i="4"/>
  <c r="G690" i="4"/>
  <c r="G711" i="4"/>
  <c r="G228" i="5"/>
  <c r="G229" i="5" s="1"/>
  <c r="G901" i="4"/>
  <c r="G782" i="15" s="1"/>
  <c r="H784" i="15"/>
  <c r="G1082" i="4"/>
  <c r="H946" i="15"/>
  <c r="G64" i="4"/>
  <c r="G124" i="4"/>
  <c r="G222" i="4"/>
  <c r="G242" i="4"/>
  <c r="G303" i="4"/>
  <c r="G279" i="15"/>
  <c r="H279" i="15" s="1"/>
  <c r="G623" i="5"/>
  <c r="G622" i="5" s="1"/>
  <c r="G454" i="4"/>
  <c r="G640" i="4"/>
  <c r="F586" i="3"/>
  <c r="G714" i="4"/>
  <c r="G842" i="4"/>
  <c r="G930" i="4"/>
  <c r="G1126" i="4"/>
  <c r="G985" i="15" s="1"/>
  <c r="G986" i="15"/>
  <c r="H1022" i="15"/>
  <c r="G1210" i="4"/>
  <c r="G69" i="4"/>
  <c r="F195" i="3"/>
  <c r="G162" i="4"/>
  <c r="G218" i="4"/>
  <c r="G217" i="4" s="1"/>
  <c r="F325" i="3"/>
  <c r="F324" i="3" s="1"/>
  <c r="H210" i="15"/>
  <c r="G273" i="4"/>
  <c r="G254" i="15"/>
  <c r="G285" i="4"/>
  <c r="G307" i="4"/>
  <c r="G619" i="5"/>
  <c r="G417" i="4"/>
  <c r="G428" i="4"/>
  <c r="G486" i="4"/>
  <c r="G34" i="6"/>
  <c r="G33" i="6" s="1"/>
  <c r="G32" i="6" s="1"/>
  <c r="G31" i="6" s="1"/>
  <c r="G30" i="6" s="1"/>
  <c r="G29" i="6" s="1"/>
  <c r="G577" i="4"/>
  <c r="F241" i="3"/>
  <c r="G545" i="15"/>
  <c r="H545" i="15" s="1"/>
  <c r="G546" i="15"/>
  <c r="H546" i="15" s="1"/>
  <c r="G646" i="4"/>
  <c r="G660" i="4"/>
  <c r="G580" i="15"/>
  <c r="H580" i="15" s="1"/>
  <c r="G720" i="4"/>
  <c r="G730" i="4"/>
  <c r="H641" i="15" s="1"/>
  <c r="H642" i="15"/>
  <c r="F665" i="3"/>
  <c r="G752" i="4"/>
  <c r="G751" i="4" s="1"/>
  <c r="G805" i="4"/>
  <c r="G894" i="4"/>
  <c r="F1080" i="3"/>
  <c r="G963" i="4"/>
  <c r="F319" i="3"/>
  <c r="F282" i="14" s="1"/>
  <c r="G282" i="14" s="1"/>
  <c r="G873" i="15"/>
  <c r="G1045" i="4"/>
  <c r="G908" i="15" s="1"/>
  <c r="H908" i="15" s="1"/>
  <c r="G909" i="15"/>
  <c r="H909" i="15" s="1"/>
  <c r="G1078" i="4"/>
  <c r="G942" i="15"/>
  <c r="H942" i="15" s="1"/>
  <c r="G740" i="5"/>
  <c r="G952" i="5"/>
  <c r="G951" i="5" s="1"/>
  <c r="G1166" i="4"/>
  <c r="G1228" i="4"/>
  <c r="H1081" i="15"/>
  <c r="G1129" i="4"/>
  <c r="G983" i="4"/>
  <c r="G626" i="4"/>
  <c r="G179" i="4"/>
  <c r="G170" i="15"/>
  <c r="H170" i="15" s="1"/>
  <c r="G974" i="5"/>
  <c r="G832" i="5"/>
  <c r="G407" i="5"/>
  <c r="G689" i="5"/>
  <c r="G839" i="5"/>
  <c r="G864" i="5"/>
  <c r="G323" i="5"/>
  <c r="G322" i="5" s="1"/>
  <c r="G59" i="5"/>
  <c r="G19" i="6"/>
  <c r="G18" i="6" s="1"/>
  <c r="G17" i="6" s="1"/>
  <c r="F55" i="3"/>
  <c r="F463" i="3"/>
  <c r="F588" i="3"/>
  <c r="F587" i="3" s="1"/>
  <c r="F652" i="3"/>
  <c r="F880" i="3"/>
  <c r="F879" i="3" s="1"/>
  <c r="L855" i="3" s="1"/>
  <c r="F234" i="3"/>
  <c r="F468" i="3"/>
  <c r="F696" i="3"/>
  <c r="F169" i="3"/>
  <c r="F15" i="3"/>
  <c r="F128" i="3"/>
  <c r="F222" i="3"/>
  <c r="F244" i="3"/>
  <c r="F397" i="3"/>
  <c r="F357" i="14"/>
  <c r="G357" i="14" s="1"/>
  <c r="F574" i="3"/>
  <c r="F605" i="3"/>
  <c r="F626" i="3"/>
  <c r="F701" i="3"/>
  <c r="F923" i="3"/>
  <c r="F1010" i="3"/>
  <c r="F1068" i="3"/>
  <c r="F230" i="3"/>
  <c r="G202" i="14"/>
  <c r="G201" i="14" s="1"/>
  <c r="G200" i="14" s="1"/>
  <c r="F1032" i="3"/>
  <c r="F558" i="3"/>
  <c r="F886" i="3"/>
  <c r="F859" i="14"/>
  <c r="F39" i="3"/>
  <c r="F225" i="3"/>
  <c r="F248" i="3"/>
  <c r="G219" i="14"/>
  <c r="G218" i="14" s="1"/>
  <c r="F578" i="3"/>
  <c r="F609" i="3"/>
  <c r="F629" i="3"/>
  <c r="F1029" i="3"/>
  <c r="F93" i="3"/>
  <c r="C49" i="1"/>
  <c r="E49" i="1" s="1"/>
  <c r="C184" i="1"/>
  <c r="C40" i="1"/>
  <c r="C72" i="1"/>
  <c r="F471" i="3"/>
  <c r="G747" i="5"/>
  <c r="C57" i="1"/>
  <c r="C56" i="1"/>
  <c r="C32" i="1"/>
  <c r="C59" i="1"/>
  <c r="C44" i="1"/>
  <c r="E44" i="1" s="1"/>
  <c r="C18" i="1"/>
  <c r="G932" i="5"/>
  <c r="G934" i="5"/>
  <c r="G913" i="5"/>
  <c r="G915" i="5"/>
  <c r="G903" i="5"/>
  <c r="G905" i="5"/>
  <c r="G907" i="5"/>
  <c r="G909" i="5"/>
  <c r="G898" i="5"/>
  <c r="G900" i="5"/>
  <c r="G893" i="5"/>
  <c r="G895" i="5"/>
  <c r="G882" i="5"/>
  <c r="G884" i="5"/>
  <c r="G870" i="5"/>
  <c r="G872" i="5"/>
  <c r="G855" i="5"/>
  <c r="G866" i="5"/>
  <c r="G868" i="5"/>
  <c r="G874" i="5"/>
  <c r="G876" i="5"/>
  <c r="G862" i="5"/>
  <c r="G826" i="5"/>
  <c r="G783" i="5"/>
  <c r="G785" i="5"/>
  <c r="G750" i="5"/>
  <c r="G752" i="5"/>
  <c r="G735" i="5"/>
  <c r="G737" i="5"/>
  <c r="G742" i="5"/>
  <c r="G744" i="5"/>
  <c r="G717" i="5"/>
  <c r="G719" i="5"/>
  <c r="G730" i="5"/>
  <c r="G685" i="5"/>
  <c r="G687" i="5"/>
  <c r="G480" i="5"/>
  <c r="G482" i="5"/>
  <c r="G469" i="5"/>
  <c r="G461" i="5"/>
  <c r="G463" i="5"/>
  <c r="G465" i="5"/>
  <c r="G467" i="5"/>
  <c r="G450" i="5"/>
  <c r="G452" i="5"/>
  <c r="G442" i="5"/>
  <c r="G444" i="5"/>
  <c r="G287" i="5"/>
  <c r="G289" i="5"/>
  <c r="G256" i="5"/>
  <c r="G258" i="5"/>
  <c r="G303" i="5"/>
  <c r="G305" i="5"/>
  <c r="G274" i="5"/>
  <c r="G276" i="5"/>
  <c r="G242" i="5"/>
  <c r="G244" i="5"/>
  <c r="G57" i="5"/>
  <c r="G943" i="4"/>
  <c r="F1082" i="3"/>
  <c r="G485" i="5"/>
  <c r="F1044" i="3"/>
  <c r="G939" i="4"/>
  <c r="F1078" i="3"/>
  <c r="G928" i="4"/>
  <c r="F1067" i="3"/>
  <c r="G920" i="5"/>
  <c r="F1061" i="3"/>
  <c r="G502" i="5"/>
  <c r="G503" i="5" s="1"/>
  <c r="F1095" i="3"/>
  <c r="F1007" i="3"/>
  <c r="F942" i="3"/>
  <c r="F974" i="3"/>
  <c r="F955" i="3"/>
  <c r="G38" i="6"/>
  <c r="G37" i="6" s="1"/>
  <c r="G36" i="6" s="1"/>
  <c r="G35" i="6" s="1"/>
  <c r="F1009" i="3"/>
  <c r="G350" i="4"/>
  <c r="F769" i="3"/>
  <c r="F761" i="3"/>
  <c r="G353" i="4"/>
  <c r="F772" i="3"/>
  <c r="G356" i="4"/>
  <c r="F775" i="3"/>
  <c r="F802" i="3"/>
  <c r="F859" i="3"/>
  <c r="F858" i="3" s="1"/>
  <c r="G832" i="4"/>
  <c r="F816" i="3"/>
  <c r="G859" i="4"/>
  <c r="F846" i="3"/>
  <c r="G638" i="4"/>
  <c r="F557" i="3"/>
  <c r="G279" i="5"/>
  <c r="F583" i="3"/>
  <c r="G249" i="5"/>
  <c r="F641" i="3"/>
  <c r="F661" i="3"/>
  <c r="F660" i="3" s="1"/>
  <c r="F659" i="3" s="1"/>
  <c r="F658" i="3" s="1"/>
  <c r="G803" i="4"/>
  <c r="F719" i="3"/>
  <c r="G235" i="5"/>
  <c r="F570" i="3"/>
  <c r="G718" i="4"/>
  <c r="F634" i="3"/>
  <c r="F644" i="3"/>
  <c r="G292" i="5"/>
  <c r="F657" i="3"/>
  <c r="G853" i="4"/>
  <c r="G850" i="4" s="1"/>
  <c r="F840" i="3"/>
  <c r="G1164" i="4"/>
  <c r="G1159" i="4" s="1"/>
  <c r="F509" i="3"/>
  <c r="G709" i="4"/>
  <c r="F625" i="3"/>
  <c r="G261" i="5"/>
  <c r="F650" i="3"/>
  <c r="G809" i="4"/>
  <c r="F725" i="3"/>
  <c r="G840" i="4"/>
  <c r="F824" i="3"/>
  <c r="G1174" i="4"/>
  <c r="F522" i="3"/>
  <c r="F521" i="3" s="1"/>
  <c r="G644" i="4"/>
  <c r="F563" i="3"/>
  <c r="G297" i="5"/>
  <c r="F733" i="3"/>
  <c r="G838" i="4"/>
  <c r="F822" i="3"/>
  <c r="G857" i="4"/>
  <c r="F844" i="3"/>
  <c r="G1192" i="4"/>
  <c r="F535" i="3"/>
  <c r="G196" i="4"/>
  <c r="F274" i="3"/>
  <c r="G593" i="4"/>
  <c r="G592" i="4" s="1"/>
  <c r="F184" i="3"/>
  <c r="F404" i="3"/>
  <c r="F455" i="3"/>
  <c r="F458" i="3"/>
  <c r="F413" i="14" s="1"/>
  <c r="F275" i="3"/>
  <c r="F268" i="3"/>
  <c r="G1014" i="4"/>
  <c r="F359" i="3"/>
  <c r="G610" i="4"/>
  <c r="F362" i="3"/>
  <c r="G1020" i="4"/>
  <c r="F365" i="3"/>
  <c r="F408" i="3"/>
  <c r="G367" i="14" s="1"/>
  <c r="F271" i="3"/>
  <c r="F272" i="3"/>
  <c r="G231" i="4"/>
  <c r="F327" i="3"/>
  <c r="F305" i="3"/>
  <c r="F416" i="3"/>
  <c r="G375" i="14" s="1"/>
  <c r="F207" i="3"/>
  <c r="G83" i="4"/>
  <c r="F77" i="3"/>
  <c r="G85" i="4"/>
  <c r="F79" i="3"/>
  <c r="G93" i="4"/>
  <c r="F87" i="3"/>
  <c r="G88" i="4"/>
  <c r="F82" i="3"/>
  <c r="G90" i="4"/>
  <c r="F84" i="3"/>
  <c r="G1238" i="4"/>
  <c r="F116" i="3"/>
  <c r="G95" i="4"/>
  <c r="F89" i="3"/>
  <c r="G257" i="4"/>
  <c r="F720" i="3"/>
  <c r="F61" i="3"/>
  <c r="F379" i="3"/>
  <c r="F378" i="3" s="1"/>
  <c r="G967" i="4"/>
  <c r="G1071" i="4"/>
  <c r="G1116" i="4"/>
  <c r="G327" i="4"/>
  <c r="G496" i="4"/>
  <c r="G817" i="4"/>
  <c r="F273" i="3"/>
  <c r="G664" i="4"/>
  <c r="F1020" i="3"/>
  <c r="G194" i="4"/>
  <c r="G229" i="4"/>
  <c r="G516" i="4"/>
  <c r="G513" i="4" s="1"/>
  <c r="G725" i="4"/>
  <c r="G991" i="4"/>
  <c r="G460" i="4"/>
  <c r="G323" i="4"/>
  <c r="G1063" i="4"/>
  <c r="F495" i="3"/>
  <c r="F1084" i="3"/>
  <c r="G255" i="4"/>
  <c r="G266" i="4"/>
  <c r="G342" i="4"/>
  <c r="G520" i="4"/>
  <c r="G861" i="4"/>
  <c r="G905" i="4"/>
  <c r="G969" i="4"/>
  <c r="F460" i="3"/>
  <c r="F1042" i="3"/>
  <c r="F467" i="3"/>
  <c r="F504" i="3"/>
  <c r="G461" i="14"/>
  <c r="F1027" i="3"/>
  <c r="G190" i="4"/>
  <c r="G478" i="4"/>
  <c r="G484" i="4"/>
  <c r="G734" i="4"/>
  <c r="G741" i="4"/>
  <c r="G882" i="4"/>
  <c r="G889" i="4"/>
  <c r="G1040" i="4"/>
  <c r="G1107" i="4"/>
  <c r="G50" i="5"/>
  <c r="G382" i="4"/>
  <c r="G379" i="4" s="1"/>
  <c r="G378" i="4" s="1"/>
  <c r="G239" i="5"/>
  <c r="G654" i="4"/>
  <c r="F565" i="3"/>
  <c r="G283" i="5"/>
  <c r="F572" i="3"/>
  <c r="G1029" i="4"/>
  <c r="G1028" i="4" s="1"/>
  <c r="G967" i="5"/>
  <c r="G603" i="4"/>
  <c r="G793" i="4"/>
  <c r="F708" i="3"/>
  <c r="G941" i="4"/>
  <c r="G1017" i="4"/>
  <c r="F52" i="3"/>
  <c r="F58" i="3"/>
  <c r="F645" i="3"/>
  <c r="G14" i="4"/>
  <c r="G547" i="5"/>
  <c r="G403" i="4"/>
  <c r="G70" i="5"/>
  <c r="G509" i="4"/>
  <c r="G152" i="5"/>
  <c r="G634" i="4"/>
  <c r="G667" i="4"/>
  <c r="G28" i="5"/>
  <c r="G146" i="4"/>
  <c r="G728" i="4"/>
  <c r="G253" i="5"/>
  <c r="G749" i="4"/>
  <c r="F636" i="3"/>
  <c r="G414" i="4"/>
  <c r="G909" i="4"/>
  <c r="G1059" i="4"/>
  <c r="G1224" i="4"/>
  <c r="F38" i="3"/>
  <c r="G1048" i="4"/>
  <c r="G911" i="15" s="1"/>
  <c r="H911" i="15" s="1"/>
  <c r="F452" i="3"/>
  <c r="G148" i="4"/>
  <c r="G380" i="4"/>
  <c r="G550" i="5"/>
  <c r="G405" i="4"/>
  <c r="F875" i="3"/>
  <c r="G373" i="4"/>
  <c r="G60" i="4"/>
  <c r="F54" i="3"/>
  <c r="G423" i="5"/>
  <c r="G419" i="5" s="1"/>
  <c r="G187" i="4"/>
  <c r="F264" i="3"/>
  <c r="G325" i="4"/>
  <c r="G544" i="5"/>
  <c r="G401" i="4"/>
  <c r="F871" i="3"/>
  <c r="G412" i="4"/>
  <c r="G613" i="4"/>
  <c r="G612" i="4" s="1"/>
  <c r="F617" i="3"/>
  <c r="G268" i="5"/>
  <c r="G499" i="5"/>
  <c r="G954" i="4"/>
  <c r="G651" i="4"/>
  <c r="G702" i="4"/>
  <c r="G738" i="4"/>
  <c r="G25" i="5"/>
  <c r="G1003" i="4"/>
  <c r="G1067" i="4"/>
  <c r="G930" i="15" s="1"/>
  <c r="H930" i="15" s="1"/>
  <c r="G1110" i="4"/>
  <c r="G722" i="5"/>
  <c r="G922" i="4"/>
  <c r="G956" i="4"/>
  <c r="G1005" i="4"/>
  <c r="G872" i="15" s="1"/>
  <c r="G1112" i="4"/>
  <c r="G971" i="15" s="1"/>
  <c r="H971" i="15" s="1"/>
  <c r="G1122" i="4"/>
  <c r="F945" i="3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7" i="2"/>
  <c r="D18" i="13" s="1"/>
  <c r="F918" i="3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338" i="10" l="1"/>
  <c r="G337" i="10" s="1"/>
  <c r="G373" i="10"/>
  <c r="G358" i="10" s="1"/>
  <c r="G777" i="10"/>
  <c r="G770" i="10" s="1"/>
  <c r="G984" i="10" s="1"/>
  <c r="F917" i="3"/>
  <c r="G655" i="10"/>
  <c r="G645" i="10" s="1"/>
  <c r="G1027" i="4"/>
  <c r="G477" i="4"/>
  <c r="G476" i="4" s="1"/>
  <c r="G1158" i="4"/>
  <c r="F168" i="3"/>
  <c r="G120" i="4"/>
  <c r="G1000" i="10"/>
  <c r="G121" i="10"/>
  <c r="G97" i="10" s="1"/>
  <c r="G56" i="10" s="1"/>
  <c r="G279" i="10"/>
  <c r="G1001" i="10" s="1"/>
  <c r="G459" i="4"/>
  <c r="G458" i="4" s="1"/>
  <c r="G13" i="4"/>
  <c r="G966" i="4"/>
  <c r="G962" i="4" s="1"/>
  <c r="K1270" i="4"/>
  <c r="G1272" i="4"/>
  <c r="H1021" i="15"/>
  <c r="G1173" i="4"/>
  <c r="G306" i="4"/>
  <c r="G733" i="10"/>
  <c r="G725" i="10" s="1"/>
  <c r="G704" i="10" s="1"/>
  <c r="G989" i="10" s="1"/>
  <c r="G848" i="10"/>
  <c r="G847" i="10" s="1"/>
  <c r="G236" i="10"/>
  <c r="G235" i="10" s="1"/>
  <c r="G195" i="10"/>
  <c r="G1006" i="10"/>
  <c r="G900" i="10"/>
  <c r="G899" i="10" s="1"/>
  <c r="G278" i="10"/>
  <c r="G207" i="15"/>
  <c r="G1109" i="15" s="1"/>
  <c r="F212" i="3"/>
  <c r="F211" i="3" s="1"/>
  <c r="G278" i="15"/>
  <c r="G302" i="4"/>
  <c r="G219" i="16"/>
  <c r="G218" i="16" s="1"/>
  <c r="G217" i="16" s="1"/>
  <c r="G216" i="16" s="1"/>
  <c r="G990" i="10"/>
  <c r="G926" i="10"/>
  <c r="G925" i="10" s="1"/>
  <c r="G390" i="10"/>
  <c r="G994" i="10" s="1"/>
  <c r="G411" i="4"/>
  <c r="G826" i="10"/>
  <c r="G800" i="10" s="1"/>
  <c r="G675" i="10"/>
  <c r="G674" i="10" s="1"/>
  <c r="G47" i="6"/>
  <c r="G322" i="4"/>
  <c r="G321" i="4" s="1"/>
  <c r="G30" i="10"/>
  <c r="G29" i="10" s="1"/>
  <c r="G615" i="15"/>
  <c r="H32" i="14"/>
  <c r="G548" i="14"/>
  <c r="H220" i="16"/>
  <c r="H221" i="16" s="1"/>
  <c r="G501" i="14"/>
  <c r="G500" i="14" s="1"/>
  <c r="G499" i="14" s="1"/>
  <c r="F500" i="14"/>
  <c r="F499" i="14" s="1"/>
  <c r="H1080" i="15"/>
  <c r="G1069" i="15"/>
  <c r="G400" i="4"/>
  <c r="G399" i="4" s="1"/>
  <c r="F567" i="14"/>
  <c r="F543" i="14" s="1"/>
  <c r="H252" i="16"/>
  <c r="H251" i="16" s="1"/>
  <c r="H250" i="16" s="1"/>
  <c r="H254" i="16"/>
  <c r="G837" i="4"/>
  <c r="G836" i="4" s="1"/>
  <c r="H281" i="16"/>
  <c r="H280" i="16" s="1"/>
  <c r="H279" i="16" s="1"/>
  <c r="H283" i="16"/>
  <c r="G586" i="14"/>
  <c r="G585" i="14" s="1"/>
  <c r="G584" i="14" s="1"/>
  <c r="G580" i="14" s="1"/>
  <c r="H277" i="16"/>
  <c r="H102" i="16"/>
  <c r="H101" i="16" s="1"/>
  <c r="H104" i="16"/>
  <c r="G514" i="14"/>
  <c r="G513" i="14" s="1"/>
  <c r="G512" i="14" s="1"/>
  <c r="H264" i="16"/>
  <c r="G579" i="14"/>
  <c r="G578" i="14" s="1"/>
  <c r="G577" i="14" s="1"/>
  <c r="H246" i="16"/>
  <c r="G139" i="16"/>
  <c r="G137" i="16"/>
  <c r="G136" i="16" s="1"/>
  <c r="G135" i="16" s="1"/>
  <c r="G134" i="16" s="1"/>
  <c r="G237" i="16"/>
  <c r="G236" i="16" s="1"/>
  <c r="G239" i="16"/>
  <c r="H235" i="16"/>
  <c r="H233" i="16"/>
  <c r="H232" i="16" s="1"/>
  <c r="H239" i="16"/>
  <c r="H237" i="16"/>
  <c r="H236" i="16" s="1"/>
  <c r="G235" i="16"/>
  <c r="G233" i="16"/>
  <c r="G232" i="16" s="1"/>
  <c r="G485" i="14"/>
  <c r="G573" i="14"/>
  <c r="G572" i="14" s="1"/>
  <c r="G571" i="14" s="1"/>
  <c r="G80" i="16"/>
  <c r="G79" i="16" s="1"/>
  <c r="G78" i="16" s="1"/>
  <c r="G82" i="16"/>
  <c r="D107" i="1"/>
  <c r="G226" i="15"/>
  <c r="G225" i="15" s="1"/>
  <c r="G246" i="4"/>
  <c r="G1289" i="4" s="1"/>
  <c r="G570" i="14"/>
  <c r="G569" i="14" s="1"/>
  <c r="G568" i="14" s="1"/>
  <c r="G87" i="16"/>
  <c r="G86" i="16" s="1"/>
  <c r="G85" i="16" s="1"/>
  <c r="G89" i="16"/>
  <c r="G418" i="5"/>
  <c r="G412" i="5" s="1"/>
  <c r="G1000" i="4"/>
  <c r="G546" i="10"/>
  <c r="G459" i="10"/>
  <c r="G995" i="10"/>
  <c r="G507" i="10"/>
  <c r="G978" i="10"/>
  <c r="G171" i="4"/>
  <c r="G856" i="4"/>
  <c r="G855" i="4" s="1"/>
  <c r="G57" i="4"/>
  <c r="H209" i="15"/>
  <c r="G288" i="14"/>
  <c r="G287" i="14" s="1"/>
  <c r="G572" i="4"/>
  <c r="G571" i="4" s="1"/>
  <c r="F241" i="14"/>
  <c r="G579" i="15"/>
  <c r="H579" i="15" s="1"/>
  <c r="G193" i="4"/>
  <c r="G192" i="4" s="1"/>
  <c r="G254" i="4"/>
  <c r="D142" i="1" s="1"/>
  <c r="G938" i="4"/>
  <c r="F212" i="14"/>
  <c r="F211" i="14" s="1"/>
  <c r="F210" i="14" s="1"/>
  <c r="G519" i="15"/>
  <c r="G518" i="15" s="1"/>
  <c r="H135" i="15"/>
  <c r="F162" i="14"/>
  <c r="F161" i="14" s="1"/>
  <c r="G134" i="15"/>
  <c r="H1087" i="15"/>
  <c r="H1086" i="15" s="1"/>
  <c r="G111" i="14"/>
  <c r="G110" i="14" s="1"/>
  <c r="G109" i="14" s="1"/>
  <c r="G108" i="14" s="1"/>
  <c r="G239" i="14"/>
  <c r="G238" i="14" s="1"/>
  <c r="G237" i="14" s="1"/>
  <c r="H180" i="15"/>
  <c r="H179" i="15" s="1"/>
  <c r="H175" i="15" s="1"/>
  <c r="G928" i="14"/>
  <c r="G927" i="14" s="1"/>
  <c r="G926" i="14" s="1"/>
  <c r="H807" i="15"/>
  <c r="H806" i="15" s="1"/>
  <c r="F14" i="14"/>
  <c r="F13" i="14" s="1"/>
  <c r="G1052" i="15"/>
  <c r="G1051" i="15" s="1"/>
  <c r="H205" i="16"/>
  <c r="H206" i="16" s="1"/>
  <c r="G629" i="14"/>
  <c r="G628" i="14" s="1"/>
  <c r="G627" i="14" s="1"/>
  <c r="H699" i="15"/>
  <c r="H698" i="15" s="1"/>
  <c r="H654" i="16"/>
  <c r="H655" i="16" s="1"/>
  <c r="G410" i="14"/>
  <c r="G409" i="14" s="1"/>
  <c r="G408" i="14" s="1"/>
  <c r="H969" i="15"/>
  <c r="H968" i="15" s="1"/>
  <c r="H82" i="15"/>
  <c r="G76" i="14"/>
  <c r="G75" i="14" s="1"/>
  <c r="H80" i="15"/>
  <c r="G74" i="14"/>
  <c r="G73" i="14" s="1"/>
  <c r="H85" i="15"/>
  <c r="G79" i="14"/>
  <c r="G78" i="14" s="1"/>
  <c r="H1076" i="15"/>
  <c r="H1075" i="15" s="1"/>
  <c r="G38" i="14"/>
  <c r="G37" i="14" s="1"/>
  <c r="G31" i="14" s="1"/>
  <c r="G940" i="14"/>
  <c r="G939" i="14" s="1"/>
  <c r="H819" i="15"/>
  <c r="G732" i="15"/>
  <c r="G981" i="15"/>
  <c r="G980" i="15" s="1"/>
  <c r="G964" i="15" s="1"/>
  <c r="F422" i="14"/>
  <c r="F421" i="14" s="1"/>
  <c r="F420" i="14" s="1"/>
  <c r="F404" i="14" s="1"/>
  <c r="F399" i="14" s="1"/>
  <c r="H499" i="15"/>
  <c r="H498" i="15" s="1"/>
  <c r="G498" i="15"/>
  <c r="G493" i="15" s="1"/>
  <c r="H63" i="15"/>
  <c r="F56" i="14"/>
  <c r="F55" i="14" s="1"/>
  <c r="G62" i="15"/>
  <c r="G55" i="15" s="1"/>
  <c r="H845" i="15"/>
  <c r="F148" i="14"/>
  <c r="F147" i="14" s="1"/>
  <c r="G844" i="15"/>
  <c r="F912" i="14"/>
  <c r="F911" i="14" s="1"/>
  <c r="F910" i="14" s="1"/>
  <c r="G791" i="15"/>
  <c r="G790" i="15" s="1"/>
  <c r="F625" i="14"/>
  <c r="F624" i="14" s="1"/>
  <c r="F623" i="14" s="1"/>
  <c r="G695" i="15"/>
  <c r="G694" i="15" s="1"/>
  <c r="H66" i="15"/>
  <c r="F59" i="14"/>
  <c r="F58" i="14" s="1"/>
  <c r="F57" i="14" s="1"/>
  <c r="H843" i="15"/>
  <c r="F146" i="14"/>
  <c r="F145" i="14" s="1"/>
  <c r="G842" i="15"/>
  <c r="F468" i="14"/>
  <c r="F465" i="14"/>
  <c r="G936" i="14"/>
  <c r="G935" i="14" s="1"/>
  <c r="H815" i="15"/>
  <c r="G721" i="14"/>
  <c r="G720" i="14" s="1"/>
  <c r="H735" i="15"/>
  <c r="G729" i="14"/>
  <c r="G728" i="14" s="1"/>
  <c r="G727" i="14" s="1"/>
  <c r="H743" i="15"/>
  <c r="H742" i="15" s="1"/>
  <c r="G183" i="15"/>
  <c r="G182" i="15" s="1"/>
  <c r="H184" i="15"/>
  <c r="F717" i="14"/>
  <c r="F442" i="14"/>
  <c r="F441" i="14" s="1"/>
  <c r="F440" i="14" s="1"/>
  <c r="G1001" i="15"/>
  <c r="G1000" i="15" s="1"/>
  <c r="G660" i="15"/>
  <c r="G659" i="15" s="1"/>
  <c r="G658" i="15" s="1"/>
  <c r="H137" i="15"/>
  <c r="F164" i="14"/>
  <c r="F163" i="14" s="1"/>
  <c r="G136" i="15"/>
  <c r="F948" i="14"/>
  <c r="F947" i="14" s="1"/>
  <c r="F946" i="14" s="1"/>
  <c r="G827" i="15"/>
  <c r="G826" i="15" s="1"/>
  <c r="H698" i="16"/>
  <c r="H697" i="16" s="1"/>
  <c r="H696" i="16" s="1"/>
  <c r="G258" i="14"/>
  <c r="G257" i="14" s="1"/>
  <c r="G256" i="14" s="1"/>
  <c r="H199" i="15"/>
  <c r="H198" i="15" s="1"/>
  <c r="G823" i="14"/>
  <c r="G822" i="14" s="1"/>
  <c r="G821" i="14" s="1"/>
  <c r="G820" i="14" s="1"/>
  <c r="G819" i="14" s="1"/>
  <c r="G818" i="14" s="1"/>
  <c r="G438" i="15"/>
  <c r="G437" i="15" s="1"/>
  <c r="H1019" i="15"/>
  <c r="H1018" i="15" s="1"/>
  <c r="G460" i="14"/>
  <c r="G459" i="14" s="1"/>
  <c r="G458" i="14" s="1"/>
  <c r="H1011" i="15"/>
  <c r="H1006" i="15" s="1"/>
  <c r="G452" i="14"/>
  <c r="G451" i="14" s="1"/>
  <c r="G446" i="14" s="1"/>
  <c r="H747" i="15"/>
  <c r="H752" i="15"/>
  <c r="G737" i="14" s="1"/>
  <c r="G736" i="14" s="1"/>
  <c r="G731" i="14" s="1"/>
  <c r="F737" i="14"/>
  <c r="F736" i="14" s="1"/>
  <c r="F731" i="14" s="1"/>
  <c r="G751" i="15"/>
  <c r="G746" i="15" s="1"/>
  <c r="H455" i="16"/>
  <c r="H454" i="16" s="1"/>
  <c r="G950" i="14"/>
  <c r="G949" i="14" s="1"/>
  <c r="H829" i="15"/>
  <c r="H438" i="16"/>
  <c r="H439" i="16" s="1"/>
  <c r="G908" i="14"/>
  <c r="G907" i="14" s="1"/>
  <c r="G906" i="14" s="1"/>
  <c r="G902" i="14" s="1"/>
  <c r="H787" i="15"/>
  <c r="H786" i="15" s="1"/>
  <c r="H652" i="15"/>
  <c r="H651" i="15" s="1"/>
  <c r="H48" i="16"/>
  <c r="H49" i="16" s="1"/>
  <c r="G702" i="14"/>
  <c r="G701" i="14" s="1"/>
  <c r="G700" i="14" s="1"/>
  <c r="H349" i="15"/>
  <c r="H348" i="15" s="1"/>
  <c r="H645" i="15"/>
  <c r="H644" i="15" s="1"/>
  <c r="H749" i="15"/>
  <c r="H818" i="15"/>
  <c r="F938" i="14"/>
  <c r="F937" i="14" s="1"/>
  <c r="F934" i="14" s="1"/>
  <c r="G817" i="15"/>
  <c r="G814" i="15" s="1"/>
  <c r="G586" i="15"/>
  <c r="G585" i="15" s="1"/>
  <c r="F672" i="14"/>
  <c r="F671" i="14" s="1"/>
  <c r="F670" i="14" s="1"/>
  <c r="G322" i="15"/>
  <c r="G321" i="15" s="1"/>
  <c r="G712" i="14"/>
  <c r="G711" i="14" s="1"/>
  <c r="G710" i="14" s="1"/>
  <c r="H724" i="15"/>
  <c r="H723" i="15" s="1"/>
  <c r="G643" i="14"/>
  <c r="G642" i="14" s="1"/>
  <c r="G641" i="14" s="1"/>
  <c r="H713" i="15"/>
  <c r="H712" i="15" s="1"/>
  <c r="H583" i="15"/>
  <c r="H582" i="15" s="1"/>
  <c r="G173" i="14"/>
  <c r="G172" i="14" s="1"/>
  <c r="G171" i="14" s="1"/>
  <c r="G170" i="14" s="1"/>
  <c r="H249" i="15"/>
  <c r="H248" i="15" s="1"/>
  <c r="H247" i="15" s="1"/>
  <c r="H838" i="16"/>
  <c r="H837" i="16" s="1"/>
  <c r="H836" i="16" s="1"/>
  <c r="H835" i="16" s="1"/>
  <c r="H834" i="16" s="1"/>
  <c r="H807" i="16" s="1"/>
  <c r="H795" i="16" s="1"/>
  <c r="G922" i="14"/>
  <c r="G921" i="14" s="1"/>
  <c r="G920" i="14" s="1"/>
  <c r="H801" i="15"/>
  <c r="H800" i="15" s="1"/>
  <c r="H240" i="15"/>
  <c r="H237" i="15" s="1"/>
  <c r="G879" i="14"/>
  <c r="G878" i="14" s="1"/>
  <c r="G875" i="14" s="1"/>
  <c r="H87" i="15"/>
  <c r="G81" i="14"/>
  <c r="G80" i="14" s="1"/>
  <c r="H1028" i="15"/>
  <c r="H1025" i="15" s="1"/>
  <c r="G469" i="14"/>
  <c r="G328" i="14"/>
  <c r="G327" i="14" s="1"/>
  <c r="G326" i="14" s="1"/>
  <c r="H529" i="15"/>
  <c r="H528" i="15" s="1"/>
  <c r="H858" i="15"/>
  <c r="H857" i="15" s="1"/>
  <c r="G268" i="14"/>
  <c r="G267" i="14" s="1"/>
  <c r="G266" i="14" s="1"/>
  <c r="G325" i="14"/>
  <c r="G324" i="14" s="1"/>
  <c r="G323" i="14" s="1"/>
  <c r="H884" i="15"/>
  <c r="H883" i="15" s="1"/>
  <c r="H733" i="15"/>
  <c r="G719" i="14"/>
  <c r="G718" i="14" s="1"/>
  <c r="G245" i="14"/>
  <c r="G244" i="14" s="1"/>
  <c r="G241" i="14" s="1"/>
  <c r="H186" i="15"/>
  <c r="H511" i="15"/>
  <c r="H510" i="15" s="1"/>
  <c r="G152" i="14"/>
  <c r="G151" i="14" s="1"/>
  <c r="G150" i="14" s="1"/>
  <c r="H184" i="16"/>
  <c r="H185" i="16" s="1"/>
  <c r="H620" i="15"/>
  <c r="H619" i="15" s="1"/>
  <c r="H196" i="16"/>
  <c r="H195" i="16" s="1"/>
  <c r="H194" i="16" s="1"/>
  <c r="H629" i="15"/>
  <c r="H628" i="15" s="1"/>
  <c r="G705" i="15"/>
  <c r="G704" i="15" s="1"/>
  <c r="F635" i="14"/>
  <c r="F634" i="14" s="1"/>
  <c r="F633" i="14" s="1"/>
  <c r="H163" i="16"/>
  <c r="H162" i="16" s="1"/>
  <c r="H161" i="16" s="1"/>
  <c r="H557" i="15"/>
  <c r="H556" i="15" s="1"/>
  <c r="H171" i="16"/>
  <c r="H170" i="16" s="1"/>
  <c r="H169" i="16" s="1"/>
  <c r="H563" i="15"/>
  <c r="H562" i="15" s="1"/>
  <c r="F669" i="14"/>
  <c r="F668" i="14" s="1"/>
  <c r="F667" i="14" s="1"/>
  <c r="G319" i="15"/>
  <c r="G318" i="15" s="1"/>
  <c r="F675" i="14"/>
  <c r="F674" i="14" s="1"/>
  <c r="F673" i="14" s="1"/>
  <c r="G325" i="15"/>
  <c r="G324" i="15" s="1"/>
  <c r="H75" i="15"/>
  <c r="H74" i="15" s="1"/>
  <c r="G69" i="14"/>
  <c r="G68" i="14" s="1"/>
  <c r="G67" i="14" s="1"/>
  <c r="G253" i="15"/>
  <c r="G272" i="4"/>
  <c r="G271" i="4" s="1"/>
  <c r="H725" i="16"/>
  <c r="G165" i="4"/>
  <c r="G1301" i="4" s="1"/>
  <c r="D146" i="1"/>
  <c r="G84" i="15"/>
  <c r="G74" i="15"/>
  <c r="H497" i="15"/>
  <c r="F52" i="14"/>
  <c r="F51" i="14" s="1"/>
  <c r="G79" i="15"/>
  <c r="F118" i="14"/>
  <c r="G693" i="4"/>
  <c r="G524" i="4"/>
  <c r="G364" i="4"/>
  <c r="G694" i="4"/>
  <c r="G583" i="5"/>
  <c r="G579" i="5" s="1"/>
  <c r="G575" i="5" s="1"/>
  <c r="F194" i="3"/>
  <c r="F411" i="3"/>
  <c r="F370" i="14" s="1"/>
  <c r="G370" i="14" s="1"/>
  <c r="G318" i="5"/>
  <c r="G317" i="5" s="1"/>
  <c r="F585" i="3"/>
  <c r="F584" i="3" s="1"/>
  <c r="G85" i="14"/>
  <c r="G227" i="5"/>
  <c r="G226" i="5" s="1"/>
  <c r="G824" i="4"/>
  <c r="G625" i="4"/>
  <c r="G624" i="4" s="1"/>
  <c r="F664" i="3"/>
  <c r="F663" i="3" s="1"/>
  <c r="F662" i="3" s="1"/>
  <c r="G813" i="5"/>
  <c r="G814" i="5" s="1"/>
  <c r="H227" i="15"/>
  <c r="H226" i="15" s="1"/>
  <c r="H225" i="15" s="1"/>
  <c r="G653" i="16"/>
  <c r="G655" i="16"/>
  <c r="G164" i="16"/>
  <c r="G162" i="16"/>
  <c r="G161" i="16" s="1"/>
  <c r="G49" i="16"/>
  <c r="G47" i="16"/>
  <c r="G46" i="16" s="1"/>
  <c r="G45" i="16" s="1"/>
  <c r="G44" i="16" s="1"/>
  <c r="G43" i="16" s="1"/>
  <c r="G31" i="16" s="1"/>
  <c r="G333" i="15"/>
  <c r="G332" i="15"/>
  <c r="G605" i="15"/>
  <c r="G604" i="15"/>
  <c r="G269" i="15"/>
  <c r="G268" i="15"/>
  <c r="G437" i="16"/>
  <c r="G436" i="16" s="1"/>
  <c r="G431" i="16" s="1"/>
  <c r="G430" i="16" s="1"/>
  <c r="G429" i="16" s="1"/>
  <c r="G439" i="16"/>
  <c r="H1002" i="15"/>
  <c r="G859" i="16"/>
  <c r="H873" i="15"/>
  <c r="H28" i="16" s="1"/>
  <c r="H27" i="16" s="1"/>
  <c r="G28" i="16"/>
  <c r="G303" i="16"/>
  <c r="G867" i="16"/>
  <c r="G31" i="17"/>
  <c r="G30" i="17" s="1"/>
  <c r="G29" i="17" s="1"/>
  <c r="G28" i="17" s="1"/>
  <c r="G27" i="17" s="1"/>
  <c r="G45" i="17" s="1"/>
  <c r="H587" i="15"/>
  <c r="H706" i="15"/>
  <c r="G213" i="16"/>
  <c r="H792" i="15"/>
  <c r="G445" i="16"/>
  <c r="H326" i="15"/>
  <c r="G557" i="16"/>
  <c r="G296" i="16"/>
  <c r="G716" i="15"/>
  <c r="G715" i="15"/>
  <c r="H541" i="15"/>
  <c r="H540" i="15" s="1"/>
  <c r="H539" i="15" s="1"/>
  <c r="H538" i="15" s="1"/>
  <c r="G541" i="15"/>
  <c r="G540" i="15" s="1"/>
  <c r="G539" i="15" s="1"/>
  <c r="G538" i="15" s="1"/>
  <c r="G454" i="15"/>
  <c r="H659" i="16"/>
  <c r="G454" i="16"/>
  <c r="G456" i="16"/>
  <c r="G204" i="16"/>
  <c r="G203" i="16" s="1"/>
  <c r="G206" i="16"/>
  <c r="G170" i="16"/>
  <c r="G169" i="16" s="1"/>
  <c r="G172" i="16"/>
  <c r="G195" i="16"/>
  <c r="G194" i="16" s="1"/>
  <c r="G197" i="16"/>
  <c r="G65" i="16"/>
  <c r="G64" i="16" s="1"/>
  <c r="G63" i="16" s="1"/>
  <c r="G62" i="16" s="1"/>
  <c r="G61" i="16" s="1"/>
  <c r="G60" i="16" s="1"/>
  <c r="G67" i="16"/>
  <c r="G839" i="16"/>
  <c r="G837" i="16"/>
  <c r="G836" i="16" s="1"/>
  <c r="G835" i="16" s="1"/>
  <c r="G834" i="16" s="1"/>
  <c r="G807" i="16" s="1"/>
  <c r="G795" i="16" s="1"/>
  <c r="G183" i="16"/>
  <c r="G182" i="16" s="1"/>
  <c r="G185" i="16"/>
  <c r="H872" i="15"/>
  <c r="H866" i="15" s="1"/>
  <c r="G866" i="15"/>
  <c r="G492" i="5"/>
  <c r="G491" i="5" s="1"/>
  <c r="F847" i="3"/>
  <c r="G672" i="16"/>
  <c r="H320" i="15"/>
  <c r="G549" i="16"/>
  <c r="H323" i="15"/>
  <c r="G553" i="16"/>
  <c r="G452" i="16"/>
  <c r="H67" i="16"/>
  <c r="H65" i="16"/>
  <c r="H64" i="16" s="1"/>
  <c r="H63" i="16" s="1"/>
  <c r="H62" i="16" s="1"/>
  <c r="H61" i="16" s="1"/>
  <c r="H60" i="16" s="1"/>
  <c r="H312" i="15"/>
  <c r="H514" i="16" s="1"/>
  <c r="H513" i="16" s="1"/>
  <c r="H509" i="16" s="1"/>
  <c r="H504" i="16" s="1"/>
  <c r="H503" i="16" s="1"/>
  <c r="H502" i="16" s="1"/>
  <c r="G514" i="16"/>
  <c r="H259" i="15"/>
  <c r="H783" i="15"/>
  <c r="H931" i="15"/>
  <c r="H731" i="16" s="1"/>
  <c r="H730" i="16" s="1"/>
  <c r="H729" i="16" s="1"/>
  <c r="H728" i="16" s="1"/>
  <c r="H727" i="16" s="1"/>
  <c r="H726" i="16" s="1"/>
  <c r="H711" i="16" s="1"/>
  <c r="G731" i="16"/>
  <c r="H739" i="16"/>
  <c r="G725" i="16"/>
  <c r="G723" i="16"/>
  <c r="G722" i="16" s="1"/>
  <c r="G721" i="16" s="1"/>
  <c r="G720" i="16" s="1"/>
  <c r="G719" i="16" s="1"/>
  <c r="H903" i="15"/>
  <c r="H902" i="15" s="1"/>
  <c r="G902" i="15"/>
  <c r="G737" i="16"/>
  <c r="G736" i="16" s="1"/>
  <c r="G735" i="16" s="1"/>
  <c r="G734" i="16" s="1"/>
  <c r="G733" i="16" s="1"/>
  <c r="G739" i="16"/>
  <c r="G661" i="16"/>
  <c r="G659" i="16"/>
  <c r="F858" i="14"/>
  <c r="G182" i="14"/>
  <c r="F182" i="14"/>
  <c r="H696" i="15"/>
  <c r="G156" i="16"/>
  <c r="D148" i="12"/>
  <c r="D147" i="12" s="1"/>
  <c r="C147" i="12"/>
  <c r="G698" i="16"/>
  <c r="G697" i="16" s="1"/>
  <c r="G696" i="16" s="1"/>
  <c r="F240" i="3"/>
  <c r="F239" i="3" s="1"/>
  <c r="G624" i="5"/>
  <c r="G854" i="5"/>
  <c r="F318" i="3"/>
  <c r="G739" i="5"/>
  <c r="G738" i="5" s="1"/>
  <c r="F192" i="3"/>
  <c r="G823" i="4"/>
  <c r="G312" i="5"/>
  <c r="G288" i="4"/>
  <c r="G289" i="4"/>
  <c r="G363" i="4"/>
  <c r="G741" i="5"/>
  <c r="G310" i="5"/>
  <c r="G309" i="5" s="1"/>
  <c r="G308" i="5" s="1"/>
  <c r="F123" i="3"/>
  <c r="F122" i="3" s="1"/>
  <c r="G620" i="5"/>
  <c r="G618" i="5"/>
  <c r="G617" i="5" s="1"/>
  <c r="J617" i="5" s="1"/>
  <c r="G626" i="5"/>
  <c r="G625" i="5" s="1"/>
  <c r="G74" i="5"/>
  <c r="G58" i="5"/>
  <c r="G1121" i="4"/>
  <c r="G650" i="4"/>
  <c r="H570" i="15"/>
  <c r="G737" i="4"/>
  <c r="H649" i="15"/>
  <c r="G186" i="4"/>
  <c r="G633" i="4"/>
  <c r="G632" i="4" s="1"/>
  <c r="H892" i="15"/>
  <c r="H893" i="15"/>
  <c r="G733" i="4"/>
  <c r="G265" i="4"/>
  <c r="G264" i="4" s="1"/>
  <c r="G263" i="4" s="1"/>
  <c r="G1062" i="4"/>
  <c r="H926" i="15"/>
  <c r="G495" i="4"/>
  <c r="G1019" i="4"/>
  <c r="G1011" i="4"/>
  <c r="G881" i="15"/>
  <c r="H881" i="15" s="1"/>
  <c r="G701" i="4"/>
  <c r="G700" i="4" s="1"/>
  <c r="G372" i="4"/>
  <c r="G1223" i="4"/>
  <c r="G1217" i="4" s="1"/>
  <c r="G748" i="4"/>
  <c r="G747" i="4" s="1"/>
  <c r="G792" i="4"/>
  <c r="G791" i="4" s="1"/>
  <c r="G653" i="4"/>
  <c r="H573" i="15"/>
  <c r="G888" i="4"/>
  <c r="G887" i="4" s="1"/>
  <c r="H773" i="15"/>
  <c r="G724" i="4"/>
  <c r="G635" i="15" s="1"/>
  <c r="G636" i="15"/>
  <c r="H636" i="15" s="1"/>
  <c r="G808" i="4"/>
  <c r="G637" i="4"/>
  <c r="F503" i="14" s="1"/>
  <c r="F502" i="14" s="1"/>
  <c r="G355" i="4"/>
  <c r="G927" i="4"/>
  <c r="G926" i="4" s="1"/>
  <c r="G1077" i="4"/>
  <c r="G941" i="15"/>
  <c r="G416" i="4"/>
  <c r="G1209" i="4"/>
  <c r="G453" i="4"/>
  <c r="G221" i="4"/>
  <c r="G1081" i="4"/>
  <c r="G689" i="4"/>
  <c r="G1132" i="4"/>
  <c r="G992" i="15"/>
  <c r="G1073" i="4"/>
  <c r="G811" i="4"/>
  <c r="G708" i="15"/>
  <c r="G157" i="4"/>
  <c r="G66" i="4"/>
  <c r="H64" i="15" s="1"/>
  <c r="G785" i="4"/>
  <c r="G286" i="15"/>
  <c r="G285" i="15" s="1"/>
  <c r="G780" i="4"/>
  <c r="G447" i="4"/>
  <c r="G921" i="4"/>
  <c r="G1058" i="4"/>
  <c r="G508" i="4"/>
  <c r="G1016" i="4"/>
  <c r="G602" i="4"/>
  <c r="G881" i="4"/>
  <c r="G880" i="4" s="1"/>
  <c r="G663" i="4"/>
  <c r="G816" i="4"/>
  <c r="G1115" i="4"/>
  <c r="G1237" i="4"/>
  <c r="G609" i="4"/>
  <c r="G717" i="4"/>
  <c r="G349" i="4"/>
  <c r="G908" i="4"/>
  <c r="G727" i="4"/>
  <c r="H638" i="15" s="1"/>
  <c r="H639" i="15"/>
  <c r="G666" i="4"/>
  <c r="G1106" i="4"/>
  <c r="G740" i="4"/>
  <c r="G189" i="4"/>
  <c r="G904" i="4"/>
  <c r="G339" i="4"/>
  <c r="G335" i="4" s="1"/>
  <c r="G311" i="15"/>
  <c r="H311" i="15" s="1"/>
  <c r="G990" i="4"/>
  <c r="G1070" i="4"/>
  <c r="H934" i="15"/>
  <c r="G1189" i="4"/>
  <c r="G1188" i="4" s="1"/>
  <c r="G643" i="4"/>
  <c r="G708" i="4"/>
  <c r="G352" i="4"/>
  <c r="G162" i="5"/>
  <c r="G427" i="4"/>
  <c r="G161" i="4"/>
  <c r="G146" i="15" s="1"/>
  <c r="G241" i="4"/>
  <c r="G995" i="4"/>
  <c r="F12" i="3"/>
  <c r="G164" i="5"/>
  <c r="G831" i="4"/>
  <c r="G688" i="5"/>
  <c r="G982" i="4"/>
  <c r="G69" i="5"/>
  <c r="G966" i="5"/>
  <c r="G273" i="5"/>
  <c r="G684" i="5"/>
  <c r="G716" i="5"/>
  <c r="G825" i="5"/>
  <c r="G902" i="5"/>
  <c r="G892" i="5"/>
  <c r="G906" i="5"/>
  <c r="G912" i="5"/>
  <c r="G925" i="5"/>
  <c r="G286" i="5"/>
  <c r="G449" i="5"/>
  <c r="G448" i="5" s="1"/>
  <c r="G460" i="5"/>
  <c r="G479" i="5"/>
  <c r="G621" i="5"/>
  <c r="G881" i="5"/>
  <c r="G897" i="5"/>
  <c r="G931" i="5"/>
  <c r="G782" i="5"/>
  <c r="G781" i="5" s="1"/>
  <c r="G861" i="5"/>
  <c r="G873" i="5"/>
  <c r="G838" i="5"/>
  <c r="G406" i="5"/>
  <c r="G973" i="5"/>
  <c r="G151" i="5"/>
  <c r="G150" i="5" s="1"/>
  <c r="G149" i="5" s="1"/>
  <c r="G302" i="5"/>
  <c r="G301" i="5" s="1"/>
  <c r="G255" i="5"/>
  <c r="G441" i="5"/>
  <c r="G440" i="5" s="1"/>
  <c r="G464" i="5"/>
  <c r="G468" i="5"/>
  <c r="G241" i="5"/>
  <c r="G734" i="5"/>
  <c r="G749" i="5"/>
  <c r="G865" i="5"/>
  <c r="G869" i="5"/>
  <c r="G950" i="5"/>
  <c r="G831" i="5"/>
  <c r="G178" i="4"/>
  <c r="G169" i="15"/>
  <c r="F263" i="3"/>
  <c r="F571" i="3"/>
  <c r="F1040" i="3"/>
  <c r="F81" i="3"/>
  <c r="F569" i="3"/>
  <c r="F1008" i="3"/>
  <c r="F466" i="3"/>
  <c r="F732" i="3"/>
  <c r="F724" i="3"/>
  <c r="F656" i="3"/>
  <c r="F774" i="3"/>
  <c r="F1094" i="3"/>
  <c r="F229" i="3"/>
  <c r="F695" i="3"/>
  <c r="F462" i="3"/>
  <c r="F944" i="3"/>
  <c r="F616" i="3"/>
  <c r="F615" i="3" s="1"/>
  <c r="F870" i="3"/>
  <c r="F754" i="14"/>
  <c r="F451" i="3"/>
  <c r="F57" i="3"/>
  <c r="F707" i="3"/>
  <c r="F706" i="3" s="1"/>
  <c r="F564" i="3"/>
  <c r="F1026" i="3"/>
  <c r="F1025" i="3" s="1"/>
  <c r="F459" i="3"/>
  <c r="F88" i="3"/>
  <c r="F83" i="3"/>
  <c r="F86" i="3"/>
  <c r="F76" i="3"/>
  <c r="F361" i="3"/>
  <c r="F267" i="3"/>
  <c r="F718" i="3"/>
  <c r="F768" i="3"/>
  <c r="F938" i="3"/>
  <c r="F935" i="3" s="1"/>
  <c r="F470" i="3"/>
  <c r="F115" i="3"/>
  <c r="F78" i="3"/>
  <c r="F364" i="3"/>
  <c r="F358" i="3"/>
  <c r="F322" i="14"/>
  <c r="G322" i="14" s="1"/>
  <c r="F183" i="3"/>
  <c r="F182" i="3" s="1"/>
  <c r="F53" i="3"/>
  <c r="F37" i="3"/>
  <c r="F635" i="3"/>
  <c r="F494" i="3"/>
  <c r="F60" i="3"/>
  <c r="F304" i="3"/>
  <c r="F454" i="3"/>
  <c r="F843" i="3"/>
  <c r="F518" i="3"/>
  <c r="F649" i="3"/>
  <c r="F508" i="3"/>
  <c r="F643" i="3"/>
  <c r="F640" i="3"/>
  <c r="F815" i="3"/>
  <c r="F760" i="3"/>
  <c r="F661" i="14"/>
  <c r="G661" i="14" s="1"/>
  <c r="F973" i="3"/>
  <c r="F1116" i="3"/>
  <c r="F1066" i="3"/>
  <c r="F1081" i="3"/>
  <c r="F247" i="3"/>
  <c r="F992" i="3"/>
  <c r="F243" i="3"/>
  <c r="F51" i="3"/>
  <c r="F1019" i="3"/>
  <c r="F1018" i="3" s="1"/>
  <c r="F326" i="3"/>
  <c r="F372" i="3"/>
  <c r="F371" i="3" s="1"/>
  <c r="G335" i="14"/>
  <c r="F534" i="3"/>
  <c r="F821" i="3"/>
  <c r="F823" i="3"/>
  <c r="F839" i="3"/>
  <c r="F836" i="3" s="1"/>
  <c r="F832" i="3" s="1"/>
  <c r="F582" i="3"/>
  <c r="F845" i="3"/>
  <c r="F771" i="3"/>
  <c r="F954" i="3"/>
  <c r="F1006" i="3"/>
  <c r="F1060" i="3"/>
  <c r="F1077" i="3"/>
  <c r="F1105" i="3"/>
  <c r="F608" i="3"/>
  <c r="F700" i="3"/>
  <c r="F604" i="3"/>
  <c r="F383" i="3"/>
  <c r="F356" i="14"/>
  <c r="F233" i="3"/>
  <c r="C17" i="1"/>
  <c r="E17" i="1" s="1"/>
  <c r="E10" i="1" s="1"/>
  <c r="C183" i="1"/>
  <c r="C43" i="1"/>
  <c r="D43" i="1" s="1"/>
  <c r="F415" i="3"/>
  <c r="G820" i="5"/>
  <c r="F407" i="3"/>
  <c r="G806" i="5"/>
  <c r="F403" i="3"/>
  <c r="G799" i="5"/>
  <c r="G748" i="5"/>
  <c r="G746" i="5"/>
  <c r="F456" i="3"/>
  <c r="F411" i="14" s="1"/>
  <c r="G728" i="5"/>
  <c r="G919" i="5"/>
  <c r="G921" i="5"/>
  <c r="G721" i="5"/>
  <c r="G723" i="5"/>
  <c r="G543" i="5"/>
  <c r="G545" i="5"/>
  <c r="G546" i="5"/>
  <c r="G548" i="5"/>
  <c r="G549" i="5"/>
  <c r="G551" i="5"/>
  <c r="G501" i="5"/>
  <c r="G498" i="5"/>
  <c r="G500" i="5"/>
  <c r="G484" i="5"/>
  <c r="G486" i="5"/>
  <c r="G267" i="5"/>
  <c r="G269" i="5"/>
  <c r="G296" i="5"/>
  <c r="G298" i="5"/>
  <c r="G291" i="5"/>
  <c r="G293" i="5"/>
  <c r="G260" i="5"/>
  <c r="G262" i="5"/>
  <c r="G248" i="5"/>
  <c r="G250" i="5"/>
  <c r="G252" i="5"/>
  <c r="G254" i="5"/>
  <c r="G278" i="5"/>
  <c r="G280" i="5"/>
  <c r="G282" i="5"/>
  <c r="G284" i="5"/>
  <c r="G234" i="5"/>
  <c r="G236" i="5"/>
  <c r="G238" i="5"/>
  <c r="G240" i="5"/>
  <c r="G24" i="5"/>
  <c r="G26" i="5"/>
  <c r="G27" i="5"/>
  <c r="G29" i="5"/>
  <c r="G699" i="5"/>
  <c r="G802" i="4"/>
  <c r="G220" i="5"/>
  <c r="F624" i="3"/>
  <c r="G199" i="5"/>
  <c r="F556" i="3"/>
  <c r="G178" i="5"/>
  <c r="F562" i="3"/>
  <c r="G186" i="5"/>
  <c r="F633" i="3"/>
  <c r="G211" i="5"/>
  <c r="F801" i="3"/>
  <c r="F1038" i="3"/>
  <c r="F1079" i="3"/>
  <c r="F1083" i="3"/>
  <c r="F270" i="3"/>
  <c r="G228" i="4"/>
  <c r="G92" i="4"/>
  <c r="D147" i="1" s="1"/>
  <c r="E147" i="1" s="1"/>
  <c r="G82" i="4"/>
  <c r="G1039" i="4"/>
  <c r="G87" i="4"/>
  <c r="D140" i="1" s="1"/>
  <c r="E140" i="1" s="1"/>
  <c r="I985" i="10"/>
  <c r="F206" i="3"/>
  <c r="F1103" i="3"/>
  <c r="G1066" i="4"/>
  <c r="G145" i="4"/>
  <c r="G144" i="4" s="1"/>
  <c r="G1109" i="4"/>
  <c r="G953" i="4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28" i="10" l="1"/>
  <c r="G981" i="10" s="1"/>
  <c r="G1003" i="10"/>
  <c r="G1009" i="10" s="1"/>
  <c r="G277" i="10"/>
  <c r="G987" i="10" s="1"/>
  <c r="G270" i="3"/>
  <c r="F269" i="3"/>
  <c r="G784" i="10"/>
  <c r="G985" i="10" s="1"/>
  <c r="G937" i="4"/>
  <c r="G936" i="4" s="1"/>
  <c r="G56" i="4"/>
  <c r="G1266" i="4"/>
  <c r="L1268" i="4" s="1"/>
  <c r="G459" i="5"/>
  <c r="G458" i="5" s="1"/>
  <c r="G457" i="5" s="1"/>
  <c r="G1172" i="4"/>
  <c r="G830" i="4"/>
  <c r="G829" i="4" s="1"/>
  <c r="G647" i="15"/>
  <c r="G736" i="4"/>
  <c r="G156" i="4"/>
  <c r="F228" i="3"/>
  <c r="C10" i="1"/>
  <c r="C190" i="1" s="1"/>
  <c r="G389" i="10"/>
  <c r="G388" i="10" s="1"/>
  <c r="G988" i="10" s="1"/>
  <c r="G506" i="10"/>
  <c r="G986" i="10" s="1"/>
  <c r="G1010" i="4"/>
  <c r="D141" i="1"/>
  <c r="E141" i="1" s="1"/>
  <c r="G227" i="4"/>
  <c r="G853" i="5"/>
  <c r="H100" i="16"/>
  <c r="H99" i="16" s="1"/>
  <c r="H98" i="16" s="1"/>
  <c r="H97" i="16" s="1"/>
  <c r="H278" i="15"/>
  <c r="H277" i="15" s="1"/>
  <c r="G277" i="15"/>
  <c r="G276" i="15" s="1"/>
  <c r="G275" i="15" s="1"/>
  <c r="G594" i="14"/>
  <c r="G593" i="14" s="1"/>
  <c r="G592" i="14" s="1"/>
  <c r="G591" i="14" s="1"/>
  <c r="G1105" i="4"/>
  <c r="G1100" i="4" s="1"/>
  <c r="G1294" i="4" s="1"/>
  <c r="H48" i="14"/>
  <c r="G72" i="14"/>
  <c r="G704" i="4"/>
  <c r="I32" i="14"/>
  <c r="G636" i="4"/>
  <c r="G177" i="16"/>
  <c r="H219" i="16"/>
  <c r="H218" i="16" s="1"/>
  <c r="H217" i="16" s="1"/>
  <c r="H216" i="16" s="1"/>
  <c r="G616" i="5"/>
  <c r="G615" i="5" s="1"/>
  <c r="G614" i="5" s="1"/>
  <c r="F666" i="14"/>
  <c r="G348" i="4"/>
  <c r="H615" i="15"/>
  <c r="H1069" i="15"/>
  <c r="H1068" i="15" s="1"/>
  <c r="H1067" i="15" s="1"/>
  <c r="H249" i="16"/>
  <c r="H248" i="16" s="1"/>
  <c r="H20" i="16"/>
  <c r="H19" i="16" s="1"/>
  <c r="H18" i="16" s="1"/>
  <c r="H17" i="16" s="1"/>
  <c r="H9" i="16" s="1"/>
  <c r="H276" i="16"/>
  <c r="H275" i="16" s="1"/>
  <c r="H270" i="16" s="1"/>
  <c r="H278" i="16"/>
  <c r="H265" i="16"/>
  <c r="H263" i="16"/>
  <c r="H262" i="16" s="1"/>
  <c r="G517" i="14"/>
  <c r="G516" i="14" s="1"/>
  <c r="G515" i="14" s="1"/>
  <c r="G508" i="14" s="1"/>
  <c r="G480" i="14" s="1"/>
  <c r="G479" i="14" s="1"/>
  <c r="H268" i="16"/>
  <c r="H267" i="16" s="1"/>
  <c r="H266" i="16" s="1"/>
  <c r="H269" i="16"/>
  <c r="H247" i="16"/>
  <c r="H245" i="16"/>
  <c r="H244" i="16" s="1"/>
  <c r="H231" i="16" s="1"/>
  <c r="H230" i="16" s="1"/>
  <c r="G131" i="16"/>
  <c r="G130" i="16" s="1"/>
  <c r="G129" i="16" s="1"/>
  <c r="G128" i="16" s="1"/>
  <c r="G127" i="16" s="1"/>
  <c r="G109" i="16" s="1"/>
  <c r="G133" i="16"/>
  <c r="G231" i="16"/>
  <c r="G230" i="16" s="1"/>
  <c r="G215" i="16" s="1"/>
  <c r="G567" i="14"/>
  <c r="H656" i="15"/>
  <c r="H655" i="15" s="1"/>
  <c r="H654" i="15" s="1"/>
  <c r="G589" i="14"/>
  <c r="G588" i="14" s="1"/>
  <c r="G587" i="14" s="1"/>
  <c r="H572" i="15"/>
  <c r="F510" i="14"/>
  <c r="F509" i="14" s="1"/>
  <c r="G84" i="16"/>
  <c r="G83" i="16" s="1"/>
  <c r="G70" i="16"/>
  <c r="G69" i="16" s="1"/>
  <c r="G574" i="5"/>
  <c r="G573" i="5" s="1"/>
  <c r="G572" i="5" s="1"/>
  <c r="G20" i="5"/>
  <c r="H84" i="15"/>
  <c r="G673" i="10"/>
  <c r="F281" i="14"/>
  <c r="G281" i="14" s="1"/>
  <c r="F313" i="3"/>
  <c r="F312" i="3" s="1"/>
  <c r="G839" i="15"/>
  <c r="G27" i="10"/>
  <c r="H164" i="16"/>
  <c r="H456" i="16"/>
  <c r="H204" i="16"/>
  <c r="H203" i="16" s="1"/>
  <c r="H197" i="16"/>
  <c r="H727" i="15"/>
  <c r="H726" i="15" s="1"/>
  <c r="G290" i="14"/>
  <c r="G289" i="14" s="1"/>
  <c r="G286" i="14" s="1"/>
  <c r="H211" i="15"/>
  <c r="H208" i="15" s="1"/>
  <c r="H437" i="16"/>
  <c r="H436" i="16" s="1"/>
  <c r="H431" i="16" s="1"/>
  <c r="H430" i="16" s="1"/>
  <c r="H429" i="16" s="1"/>
  <c r="G75" i="4"/>
  <c r="G659" i="4"/>
  <c r="G252" i="15"/>
  <c r="G251" i="15" s="1"/>
  <c r="G1144" i="15" s="1"/>
  <c r="H653" i="16"/>
  <c r="H652" i="16" s="1"/>
  <c r="H732" i="15"/>
  <c r="H252" i="15"/>
  <c r="H251" i="15" s="1"/>
  <c r="H1144" i="15" s="1"/>
  <c r="H751" i="15"/>
  <c r="H746" i="15" s="1"/>
  <c r="F160" i="14"/>
  <c r="H160" i="14" s="1"/>
  <c r="G717" i="14"/>
  <c r="G801" i="4"/>
  <c r="H183" i="15"/>
  <c r="H182" i="15" s="1"/>
  <c r="G77" i="14"/>
  <c r="H183" i="16"/>
  <c r="H182" i="16" s="1"/>
  <c r="H177" i="16" s="1"/>
  <c r="H79" i="15"/>
  <c r="H553" i="16"/>
  <c r="H554" i="16" s="1"/>
  <c r="G672" i="14"/>
  <c r="G671" i="14" s="1"/>
  <c r="G670" i="14" s="1"/>
  <c r="H322" i="15"/>
  <c r="H321" i="15" s="1"/>
  <c r="H672" i="16"/>
  <c r="H673" i="16" s="1"/>
  <c r="G422" i="14"/>
  <c r="G421" i="14" s="1"/>
  <c r="G420" i="14" s="1"/>
  <c r="G404" i="14" s="1"/>
  <c r="G399" i="14" s="1"/>
  <c r="H981" i="15"/>
  <c r="H980" i="15" s="1"/>
  <c r="H964" i="15" s="1"/>
  <c r="G56" i="14"/>
  <c r="G55" i="14" s="1"/>
  <c r="H62" i="15"/>
  <c r="H55" i="15" s="1"/>
  <c r="H296" i="16"/>
  <c r="H295" i="16" s="1"/>
  <c r="H294" i="16" s="1"/>
  <c r="H293" i="16" s="1"/>
  <c r="G468" i="14"/>
  <c r="G465" i="14"/>
  <c r="G164" i="14"/>
  <c r="G163" i="14" s="1"/>
  <c r="H136" i="15"/>
  <c r="F142" i="14"/>
  <c r="H139" i="14" s="1"/>
  <c r="G59" i="14"/>
  <c r="G58" i="14" s="1"/>
  <c r="G57" i="14" s="1"/>
  <c r="H65" i="15"/>
  <c r="G148" i="14"/>
  <c r="G147" i="14" s="1"/>
  <c r="H844" i="15"/>
  <c r="G162" i="14"/>
  <c r="G161" i="14" s="1"/>
  <c r="H134" i="15"/>
  <c r="H156" i="16"/>
  <c r="H157" i="16" s="1"/>
  <c r="G625" i="14"/>
  <c r="G624" i="14" s="1"/>
  <c r="G623" i="14" s="1"/>
  <c r="H695" i="15"/>
  <c r="H694" i="15" s="1"/>
  <c r="H839" i="16"/>
  <c r="H172" i="16"/>
  <c r="H452" i="16"/>
  <c r="H453" i="16" s="1"/>
  <c r="G948" i="14"/>
  <c r="G947" i="14" s="1"/>
  <c r="G946" i="14" s="1"/>
  <c r="H827" i="15"/>
  <c r="H826" i="15" s="1"/>
  <c r="H47" i="16"/>
  <c r="H46" i="16" s="1"/>
  <c r="H45" i="16" s="1"/>
  <c r="H44" i="16" s="1"/>
  <c r="H43" i="16" s="1"/>
  <c r="H31" i="16" s="1"/>
  <c r="H303" i="16"/>
  <c r="H302" i="16" s="1"/>
  <c r="H301" i="16" s="1"/>
  <c r="H300" i="16" s="1"/>
  <c r="H660" i="15"/>
  <c r="H659" i="15" s="1"/>
  <c r="H658" i="15" s="1"/>
  <c r="H859" i="16"/>
  <c r="H858" i="16" s="1"/>
  <c r="H857" i="16" s="1"/>
  <c r="H856" i="16" s="1"/>
  <c r="H855" i="16" s="1"/>
  <c r="H854" i="16" s="1"/>
  <c r="H853" i="16" s="1"/>
  <c r="H1001" i="15"/>
  <c r="H1000" i="15" s="1"/>
  <c r="H999" i="15" s="1"/>
  <c r="H998" i="15" s="1"/>
  <c r="G442" i="14"/>
  <c r="G441" i="14" s="1"/>
  <c r="G440" i="14" s="1"/>
  <c r="G52" i="14"/>
  <c r="G51" i="14" s="1"/>
  <c r="H496" i="15"/>
  <c r="H493" i="15" s="1"/>
  <c r="H492" i="15" s="1"/>
  <c r="G938" i="14"/>
  <c r="G937" i="14" s="1"/>
  <c r="G934" i="14" s="1"/>
  <c r="H817" i="15"/>
  <c r="H814" i="15" s="1"/>
  <c r="G146" i="14"/>
  <c r="G145" i="14" s="1"/>
  <c r="H842" i="15"/>
  <c r="H867" i="16"/>
  <c r="H868" i="16" s="1"/>
  <c r="G212" i="14"/>
  <c r="G211" i="14" s="1"/>
  <c r="G210" i="14" s="1"/>
  <c r="H519" i="15"/>
  <c r="H518" i="15" s="1"/>
  <c r="H445" i="16"/>
  <c r="H446" i="16" s="1"/>
  <c r="G912" i="14"/>
  <c r="G911" i="14" s="1"/>
  <c r="G910" i="14" s="1"/>
  <c r="H791" i="15"/>
  <c r="H790" i="15" s="1"/>
  <c r="H586" i="15"/>
  <c r="H585" i="15" s="1"/>
  <c r="H578" i="15" s="1"/>
  <c r="H438" i="15"/>
  <c r="H437" i="15" s="1"/>
  <c r="H1052" i="15"/>
  <c r="H1051" i="15" s="1"/>
  <c r="G14" i="14"/>
  <c r="G13" i="14" s="1"/>
  <c r="G133" i="15"/>
  <c r="H213" i="16"/>
  <c r="H212" i="16" s="1"/>
  <c r="H211" i="16" s="1"/>
  <c r="H705" i="15"/>
  <c r="H704" i="15" s="1"/>
  <c r="H697" i="15" s="1"/>
  <c r="G635" i="14"/>
  <c r="G634" i="14" s="1"/>
  <c r="G633" i="14" s="1"/>
  <c r="H549" i="16"/>
  <c r="H550" i="16" s="1"/>
  <c r="G669" i="14"/>
  <c r="G668" i="14" s="1"/>
  <c r="G667" i="14" s="1"/>
  <c r="H319" i="15"/>
  <c r="H318" i="15" s="1"/>
  <c r="H324" i="15"/>
  <c r="H557" i="16"/>
  <c r="H558" i="16" s="1"/>
  <c r="G675" i="14"/>
  <c r="G674" i="14" s="1"/>
  <c r="G673" i="14" s="1"/>
  <c r="H325" i="15"/>
  <c r="G859" i="14"/>
  <c r="G858" i="14" s="1"/>
  <c r="F48" i="14"/>
  <c r="H13" i="14" s="1"/>
  <c r="G70" i="15"/>
  <c r="D160" i="1"/>
  <c r="G245" i="4"/>
  <c r="G185" i="4"/>
  <c r="H29" i="16"/>
  <c r="G955" i="14"/>
  <c r="F955" i="14"/>
  <c r="F410" i="3"/>
  <c r="F409" i="3" s="1"/>
  <c r="F191" i="3"/>
  <c r="F190" i="3" s="1"/>
  <c r="F164" i="3"/>
  <c r="G812" i="5"/>
  <c r="G811" i="5" s="1"/>
  <c r="G160" i="16"/>
  <c r="G319" i="5"/>
  <c r="G493" i="5"/>
  <c r="G1026" i="4"/>
  <c r="H160" i="16"/>
  <c r="G570" i="4"/>
  <c r="G1297" i="4"/>
  <c r="G652" i="16"/>
  <c r="F11" i="3"/>
  <c r="G301" i="4"/>
  <c r="G300" i="4" s="1"/>
  <c r="G578" i="15"/>
  <c r="H891" i="15"/>
  <c r="H890" i="15" s="1"/>
  <c r="H201" i="15"/>
  <c r="G201" i="15"/>
  <c r="G29" i="16"/>
  <c r="G27" i="16"/>
  <c r="H332" i="15"/>
  <c r="H333" i="15"/>
  <c r="G219" i="15"/>
  <c r="G297" i="16"/>
  <c r="G295" i="16"/>
  <c r="G294" i="16" s="1"/>
  <c r="G293" i="16" s="1"/>
  <c r="G214" i="16"/>
  <c r="G212" i="16"/>
  <c r="G211" i="16" s="1"/>
  <c r="G202" i="16" s="1"/>
  <c r="H849" i="15"/>
  <c r="H848" i="15" s="1"/>
  <c r="H847" i="15" s="1"/>
  <c r="H846" i="15" s="1"/>
  <c r="G849" i="15"/>
  <c r="G848" i="15" s="1"/>
  <c r="G847" i="15" s="1"/>
  <c r="G846" i="15" s="1"/>
  <c r="G722" i="15"/>
  <c r="H992" i="15"/>
  <c r="H991" i="15" s="1"/>
  <c r="G991" i="15"/>
  <c r="G1112" i="15" s="1"/>
  <c r="H407" i="15"/>
  <c r="H406" i="15" s="1"/>
  <c r="G407" i="15"/>
  <c r="G406" i="15" s="1"/>
  <c r="H374" i="15"/>
  <c r="G374" i="15"/>
  <c r="H515" i="16"/>
  <c r="G304" i="16"/>
  <c r="G302" i="16"/>
  <c r="G301" i="16" s="1"/>
  <c r="G300" i="16" s="1"/>
  <c r="G860" i="16"/>
  <c r="G858" i="16"/>
  <c r="G857" i="16" s="1"/>
  <c r="G856" i="16" s="1"/>
  <c r="G855" i="16" s="1"/>
  <c r="G854" i="16" s="1"/>
  <c r="G853" i="16" s="1"/>
  <c r="H268" i="15"/>
  <c r="H269" i="15"/>
  <c r="H1042" i="15"/>
  <c r="H1041" i="15" s="1"/>
  <c r="H1040" i="15" s="1"/>
  <c r="H1039" i="15" s="1"/>
  <c r="H1038" i="15" s="1"/>
  <c r="G1042" i="15"/>
  <c r="G1041" i="15" s="1"/>
  <c r="G1040" i="15" s="1"/>
  <c r="G1039" i="15" s="1"/>
  <c r="G1038" i="15" s="1"/>
  <c r="H716" i="15"/>
  <c r="H715" i="15"/>
  <c r="G868" i="16"/>
  <c r="G866" i="16"/>
  <c r="G865" i="16" s="1"/>
  <c r="G864" i="16" s="1"/>
  <c r="G863" i="16" s="1"/>
  <c r="H464" i="15"/>
  <c r="H732" i="16"/>
  <c r="G453" i="16"/>
  <c r="G451" i="16"/>
  <c r="G450" i="16" s="1"/>
  <c r="G449" i="16" s="1"/>
  <c r="G448" i="16" s="1"/>
  <c r="G447" i="16" s="1"/>
  <c r="G550" i="16"/>
  <c r="G548" i="16"/>
  <c r="G547" i="16" s="1"/>
  <c r="H454" i="15"/>
  <c r="H605" i="15"/>
  <c r="H604" i="15"/>
  <c r="H524" i="15"/>
  <c r="H523" i="15" s="1"/>
  <c r="H522" i="15" s="1"/>
  <c r="H521" i="15" s="1"/>
  <c r="G524" i="15"/>
  <c r="G523" i="15" s="1"/>
  <c r="G522" i="15" s="1"/>
  <c r="G521" i="15" s="1"/>
  <c r="H687" i="15"/>
  <c r="H686" i="15" s="1"/>
  <c r="G687" i="15"/>
  <c r="G686" i="15" s="1"/>
  <c r="G999" i="15"/>
  <c r="G998" i="15" s="1"/>
  <c r="G554" i="16"/>
  <c r="G552" i="16"/>
  <c r="G551" i="16" s="1"/>
  <c r="G673" i="16"/>
  <c r="G671" i="16"/>
  <c r="G670" i="16" s="1"/>
  <c r="G558" i="16"/>
  <c r="G556" i="16"/>
  <c r="G555" i="16" s="1"/>
  <c r="G446" i="16"/>
  <c r="G444" i="16"/>
  <c r="G443" i="16" s="1"/>
  <c r="G442" i="16" s="1"/>
  <c r="G441" i="16" s="1"/>
  <c r="G440" i="16" s="1"/>
  <c r="H31" i="17"/>
  <c r="H30" i="17" s="1"/>
  <c r="H29" i="17" s="1"/>
  <c r="H28" i="17" s="1"/>
  <c r="H27" i="17" s="1"/>
  <c r="H45" i="17" s="1"/>
  <c r="G515" i="16"/>
  <c r="G513" i="16"/>
  <c r="G509" i="16" s="1"/>
  <c r="G504" i="16" s="1"/>
  <c r="G503" i="16" s="1"/>
  <c r="G502" i="16" s="1"/>
  <c r="H169" i="15"/>
  <c r="H168" i="15" s="1"/>
  <c r="H167" i="15" s="1"/>
  <c r="H166" i="15" s="1"/>
  <c r="H165" i="15" s="1"/>
  <c r="G168" i="15"/>
  <c r="G167" i="15" s="1"/>
  <c r="G166" i="15" s="1"/>
  <c r="G165" i="15" s="1"/>
  <c r="G1105" i="15" s="1"/>
  <c r="H286" i="15"/>
  <c r="H285" i="15" s="1"/>
  <c r="H569" i="15"/>
  <c r="G649" i="4"/>
  <c r="H600" i="15"/>
  <c r="H599" i="15" s="1"/>
  <c r="G600" i="15"/>
  <c r="G599" i="15" s="1"/>
  <c r="H635" i="15"/>
  <c r="H634" i="15" s="1"/>
  <c r="G634" i="15"/>
  <c r="H682" i="15"/>
  <c r="H681" i="15" s="1"/>
  <c r="G682" i="15"/>
  <c r="G681" i="15" s="1"/>
  <c r="H708" i="15"/>
  <c r="H707" i="15" s="1"/>
  <c r="G707" i="15"/>
  <c r="H862" i="15"/>
  <c r="H861" i="15" s="1"/>
  <c r="H860" i="15" s="1"/>
  <c r="G862" i="15"/>
  <c r="G861" i="15" s="1"/>
  <c r="G860" i="15" s="1"/>
  <c r="H878" i="15"/>
  <c r="H877" i="15" s="1"/>
  <c r="H876" i="15" s="1"/>
  <c r="H875" i="15" s="1"/>
  <c r="G877" i="15"/>
  <c r="G876" i="15" s="1"/>
  <c r="G875" i="15" s="1"/>
  <c r="G891" i="15"/>
  <c r="G890" i="15" s="1"/>
  <c r="H945" i="15"/>
  <c r="H944" i="15" s="1"/>
  <c r="G944" i="15"/>
  <c r="H937" i="15"/>
  <c r="H936" i="15" s="1"/>
  <c r="G936" i="15"/>
  <c r="H941" i="15"/>
  <c r="H940" i="15" s="1"/>
  <c r="G940" i="15"/>
  <c r="G732" i="16"/>
  <c r="G730" i="16"/>
  <c r="G729" i="16" s="1"/>
  <c r="G728" i="16" s="1"/>
  <c r="G727" i="16" s="1"/>
  <c r="G726" i="16" s="1"/>
  <c r="G711" i="16" s="1"/>
  <c r="C146" i="12"/>
  <c r="D146" i="12"/>
  <c r="G204" i="14"/>
  <c r="G199" i="14" s="1"/>
  <c r="F204" i="14"/>
  <c r="F199" i="14" s="1"/>
  <c r="F902" i="14"/>
  <c r="G356" i="14"/>
  <c r="G342" i="14" s="1"/>
  <c r="F342" i="14"/>
  <c r="G616" i="14"/>
  <c r="G615" i="14" s="1"/>
  <c r="F616" i="14"/>
  <c r="F615" i="14" s="1"/>
  <c r="G332" i="14"/>
  <c r="G331" i="14" s="1"/>
  <c r="F331" i="14"/>
  <c r="G157" i="16"/>
  <c r="G155" i="16"/>
  <c r="G154" i="16" s="1"/>
  <c r="G153" i="16" s="1"/>
  <c r="G142" i="16" s="1"/>
  <c r="G141" i="16" s="1"/>
  <c r="G1068" i="15"/>
  <c r="G1067" i="15" s="1"/>
  <c r="F12" i="14"/>
  <c r="F11" i="14" s="1"/>
  <c r="G492" i="15"/>
  <c r="G797" i="14"/>
  <c r="G796" i="14" s="1"/>
  <c r="F797" i="14"/>
  <c r="F796" i="14" s="1"/>
  <c r="H413" i="15"/>
  <c r="H412" i="15" s="1"/>
  <c r="G413" i="15"/>
  <c r="G412" i="15" s="1"/>
  <c r="G744" i="14"/>
  <c r="F744" i="14"/>
  <c r="H115" i="15"/>
  <c r="H114" i="15" s="1"/>
  <c r="H113" i="15" s="1"/>
  <c r="G115" i="15"/>
  <c r="G114" i="15" s="1"/>
  <c r="G113" i="15" s="1"/>
  <c r="H14" i="15"/>
  <c r="H13" i="15" s="1"/>
  <c r="H12" i="15" s="1"/>
  <c r="H11" i="15" s="1"/>
  <c r="H10" i="15" s="1"/>
  <c r="G14" i="15"/>
  <c r="G13" i="15" s="1"/>
  <c r="G12" i="15" s="1"/>
  <c r="G11" i="15" s="1"/>
  <c r="G10" i="15" s="1"/>
  <c r="G117" i="14"/>
  <c r="F117" i="14"/>
  <c r="H146" i="15"/>
  <c r="F1076" i="3"/>
  <c r="G1216" i="4"/>
  <c r="G608" i="4"/>
  <c r="G607" i="4" s="1"/>
  <c r="F820" i="3"/>
  <c r="F819" i="3" s="1"/>
  <c r="G723" i="4"/>
  <c r="F85" i="3"/>
  <c r="G73" i="5"/>
  <c r="G72" i="5" s="1"/>
  <c r="G161" i="5"/>
  <c r="G160" i="5" s="1"/>
  <c r="G148" i="5" s="1"/>
  <c r="G405" i="5"/>
  <c r="G108" i="5"/>
  <c r="G106" i="5"/>
  <c r="G105" i="5" s="1"/>
  <c r="G104" i="5" s="1"/>
  <c r="G849" i="4"/>
  <c r="G848" i="4" s="1"/>
  <c r="G1069" i="4"/>
  <c r="H1148" i="15"/>
  <c r="G1148" i="15"/>
  <c r="H1149" i="15"/>
  <c r="G1149" i="15"/>
  <c r="G410" i="4"/>
  <c r="G398" i="4" s="1"/>
  <c r="G907" i="4"/>
  <c r="G1278" i="4" s="1"/>
  <c r="G507" i="4"/>
  <c r="G920" i="4"/>
  <c r="G233" i="4"/>
  <c r="G688" i="4"/>
  <c r="G1208" i="4"/>
  <c r="G371" i="4"/>
  <c r="G591" i="4"/>
  <c r="G952" i="4"/>
  <c r="G951" i="4" s="1"/>
  <c r="G253" i="4"/>
  <c r="G1275" i="4" s="1"/>
  <c r="G139" i="4"/>
  <c r="G1065" i="4"/>
  <c r="G929" i="15"/>
  <c r="G989" i="4"/>
  <c r="G900" i="4"/>
  <c r="G1136" i="15"/>
  <c r="G471" i="4"/>
  <c r="F370" i="3"/>
  <c r="G240" i="4"/>
  <c r="G1236" i="4"/>
  <c r="G815" i="4"/>
  <c r="G512" i="4"/>
  <c r="G511" i="4" s="1"/>
  <c r="G601" i="4"/>
  <c r="G12" i="4"/>
  <c r="G1057" i="4"/>
  <c r="H920" i="15"/>
  <c r="G779" i="4"/>
  <c r="G784" i="4"/>
  <c r="G452" i="4"/>
  <c r="G494" i="4"/>
  <c r="G493" i="4" s="1"/>
  <c r="G1061" i="4"/>
  <c r="G119" i="4"/>
  <c r="G981" i="4"/>
  <c r="G901" i="5"/>
  <c r="G918" i="5"/>
  <c r="G972" i="5"/>
  <c r="G321" i="5"/>
  <c r="G320" i="5" s="1"/>
  <c r="G247" i="5"/>
  <c r="G483" i="5"/>
  <c r="G237" i="5"/>
  <c r="G295" i="5"/>
  <c r="G177" i="4"/>
  <c r="G949" i="5"/>
  <c r="G837" i="5"/>
  <c r="G233" i="5"/>
  <c r="G266" i="5"/>
  <c r="G265" i="5" s="1"/>
  <c r="G277" i="5"/>
  <c r="G316" i="5"/>
  <c r="G315" i="5" s="1"/>
  <c r="G896" i="5"/>
  <c r="G965" i="5"/>
  <c r="F50" i="3"/>
  <c r="F75" i="3"/>
  <c r="G281" i="5"/>
  <c r="G251" i="5"/>
  <c r="G259" i="5"/>
  <c r="G290" i="5"/>
  <c r="G285" i="5" s="1"/>
  <c r="G745" i="5"/>
  <c r="G490" i="5"/>
  <c r="G930" i="5"/>
  <c r="G880" i="5"/>
  <c r="G924" i="5"/>
  <c r="G911" i="5"/>
  <c r="G891" i="5"/>
  <c r="G824" i="5"/>
  <c r="G683" i="5"/>
  <c r="G68" i="5"/>
  <c r="F800" i="3"/>
  <c r="F799" i="3" s="1"/>
  <c r="F406" i="3"/>
  <c r="G366" i="14"/>
  <c r="F238" i="3"/>
  <c r="F237" i="3"/>
  <c r="F699" i="3"/>
  <c r="F757" i="3"/>
  <c r="F753" i="3" s="1"/>
  <c r="F660" i="14"/>
  <c r="G660" i="14" s="1"/>
  <c r="F639" i="3"/>
  <c r="F266" i="3"/>
  <c r="F773" i="3"/>
  <c r="F723" i="3"/>
  <c r="F465" i="3"/>
  <c r="F453" i="3"/>
  <c r="F842" i="3"/>
  <c r="F841" i="3" s="1"/>
  <c r="F1005" i="3"/>
  <c r="L961" i="3" s="1"/>
  <c r="F632" i="3"/>
  <c r="F555" i="3"/>
  <c r="F623" i="3"/>
  <c r="F402" i="3"/>
  <c r="F414" i="3"/>
  <c r="G374" i="14"/>
  <c r="F561" i="3"/>
  <c r="F770" i="3"/>
  <c r="F1115" i="3"/>
  <c r="F363" i="3"/>
  <c r="F767" i="3"/>
  <c r="F869" i="3"/>
  <c r="F857" i="3" s="1"/>
  <c r="G275" i="14"/>
  <c r="G270" i="14" s="1"/>
  <c r="G269" i="14" s="1"/>
  <c r="F503" i="3"/>
  <c r="F502" i="3" s="1"/>
  <c r="F80" i="3"/>
  <c r="F63" i="14" s="1"/>
  <c r="F603" i="3"/>
  <c r="F1059" i="3"/>
  <c r="F953" i="3"/>
  <c r="F581" i="3"/>
  <c r="F531" i="3"/>
  <c r="F530" i="3" s="1"/>
  <c r="F323" i="3"/>
  <c r="F242" i="3"/>
  <c r="F1065" i="3"/>
  <c r="F1064" i="3" s="1"/>
  <c r="F972" i="3"/>
  <c r="F814" i="3"/>
  <c r="F813" i="3" s="1"/>
  <c r="F642" i="3"/>
  <c r="F648" i="3"/>
  <c r="F303" i="3"/>
  <c r="F59" i="3"/>
  <c r="F493" i="3"/>
  <c r="F36" i="3"/>
  <c r="F30" i="3" s="1"/>
  <c r="F355" i="3"/>
  <c r="F321" i="14"/>
  <c r="F114" i="3"/>
  <c r="F934" i="3"/>
  <c r="F717" i="3"/>
  <c r="F360" i="3"/>
  <c r="F450" i="3"/>
  <c r="F916" i="3"/>
  <c r="F694" i="3"/>
  <c r="F1091" i="3"/>
  <c r="F655" i="3"/>
  <c r="F731" i="3"/>
  <c r="F568" i="3"/>
  <c r="G807" i="5"/>
  <c r="G805" i="5"/>
  <c r="G729" i="5"/>
  <c r="G727" i="5"/>
  <c r="G800" i="5"/>
  <c r="G798" i="5"/>
  <c r="G821" i="5"/>
  <c r="G819" i="5"/>
  <c r="G623" i="4"/>
  <c r="G497" i="5"/>
  <c r="G542" i="5"/>
  <c r="G541" i="5" s="1"/>
  <c r="G404" i="5"/>
  <c r="G219" i="5"/>
  <c r="G221" i="5"/>
  <c r="G198" i="5"/>
  <c r="G200" i="5"/>
  <c r="G210" i="5"/>
  <c r="G212" i="5"/>
  <c r="G185" i="5"/>
  <c r="G187" i="5"/>
  <c r="G177" i="5"/>
  <c r="G179" i="5"/>
  <c r="G47" i="5"/>
  <c r="G49" i="5"/>
  <c r="G830" i="5"/>
  <c r="G33" i="5"/>
  <c r="F1100" i="3"/>
  <c r="F1099" i="3" s="1"/>
  <c r="F205" i="3"/>
  <c r="F204" i="3" s="1"/>
  <c r="G999" i="4"/>
  <c r="G994" i="4"/>
  <c r="G1284" i="4" s="1"/>
  <c r="I988" i="10"/>
  <c r="I989" i="10"/>
  <c r="I987" i="10"/>
  <c r="G534" i="11"/>
  <c r="G748" i="10" l="1"/>
  <c r="G220" i="10"/>
  <c r="H568" i="15"/>
  <c r="G1249" i="4"/>
  <c r="G498" i="10"/>
  <c r="G321" i="14"/>
  <c r="F320" i="14"/>
  <c r="F1075" i="3"/>
  <c r="F1074" i="3" s="1"/>
  <c r="F716" i="3"/>
  <c r="F49" i="3"/>
  <c r="F10" i="3"/>
  <c r="F9" i="3" s="1"/>
  <c r="D10" i="2" s="1"/>
  <c r="G1056" i="4"/>
  <c r="G1025" i="4" s="1"/>
  <c r="G790" i="4"/>
  <c r="G1269" i="4"/>
  <c r="G1256" i="4"/>
  <c r="L351" i="3"/>
  <c r="F491" i="3"/>
  <c r="H648" i="15"/>
  <c r="H647" i="15" s="1"/>
  <c r="H610" i="15" s="1"/>
  <c r="K1269" i="4"/>
  <c r="G879" i="4"/>
  <c r="K1272" i="4"/>
  <c r="K1267" i="4"/>
  <c r="G1263" i="4"/>
  <c r="K1265" i="4"/>
  <c r="G631" i="4"/>
  <c r="G630" i="4" s="1"/>
  <c r="G699" i="4"/>
  <c r="G698" i="4" s="1"/>
  <c r="F354" i="3"/>
  <c r="H30" i="16"/>
  <c r="H207" i="15"/>
  <c r="H1109" i="15" s="1"/>
  <c r="G1140" i="15"/>
  <c r="H1140" i="15"/>
  <c r="F10" i="14"/>
  <c r="D12" i="13" s="1"/>
  <c r="G543" i="14"/>
  <c r="G542" i="14" s="1"/>
  <c r="G610" i="15"/>
  <c r="G609" i="15" s="1"/>
  <c r="F542" i="14"/>
  <c r="D34" i="13" s="1"/>
  <c r="F449" i="3"/>
  <c r="F444" i="3" s="1"/>
  <c r="G1293" i="4"/>
  <c r="G647" i="16"/>
  <c r="G646" i="16" s="1"/>
  <c r="G645" i="16" s="1"/>
  <c r="G644" i="16" s="1"/>
  <c r="H959" i="15"/>
  <c r="G959" i="15"/>
  <c r="G531" i="3"/>
  <c r="G12" i="14"/>
  <c r="G11" i="14" s="1"/>
  <c r="G10" i="14" s="1"/>
  <c r="E12" i="13" s="1"/>
  <c r="G191" i="3"/>
  <c r="G323" i="3"/>
  <c r="G71" i="3"/>
  <c r="H64" i="14"/>
  <c r="H215" i="16"/>
  <c r="F619" i="3"/>
  <c r="H1112" i="15"/>
  <c r="G397" i="4"/>
  <c r="H276" i="15"/>
  <c r="H275" i="15" s="1"/>
  <c r="H274" i="15" s="1"/>
  <c r="H273" i="15" s="1"/>
  <c r="G320" i="4"/>
  <c r="G319" i="4" s="1"/>
  <c r="G20" i="16"/>
  <c r="G19" i="16" s="1"/>
  <c r="G18" i="16" s="1"/>
  <c r="G17" i="16" s="1"/>
  <c r="G9" i="16" s="1"/>
  <c r="G406" i="16"/>
  <c r="H257" i="16"/>
  <c r="H256" i="16" s="1"/>
  <c r="H255" i="16" s="1"/>
  <c r="G77" i="16"/>
  <c r="G76" i="16" s="1"/>
  <c r="G68" i="16" s="1"/>
  <c r="G30" i="16" s="1"/>
  <c r="G274" i="15"/>
  <c r="G273" i="15" s="1"/>
  <c r="G721" i="15"/>
  <c r="G720" i="15" s="1"/>
  <c r="H70" i="15"/>
  <c r="G55" i="4"/>
  <c r="G54" i="4" s="1"/>
  <c r="H839" i="15"/>
  <c r="H835" i="15" s="1"/>
  <c r="H834" i="15" s="1"/>
  <c r="H833" i="15" s="1"/>
  <c r="H832" i="15" s="1"/>
  <c r="G991" i="10"/>
  <c r="H444" i="16"/>
  <c r="H443" i="16" s="1"/>
  <c r="H442" i="16" s="1"/>
  <c r="H441" i="16" s="1"/>
  <c r="H440" i="16" s="1"/>
  <c r="H556" i="16"/>
  <c r="H555" i="16" s="1"/>
  <c r="H548" i="16"/>
  <c r="H547" i="16" s="1"/>
  <c r="G370" i="4"/>
  <c r="G369" i="4" s="1"/>
  <c r="H866" i="16"/>
  <c r="H865" i="16" s="1"/>
  <c r="H864" i="16" s="1"/>
  <c r="H863" i="16" s="1"/>
  <c r="H862" i="16" s="1"/>
  <c r="H202" i="16"/>
  <c r="H159" i="16" s="1"/>
  <c r="H158" i="16" s="1"/>
  <c r="H671" i="16"/>
  <c r="H670" i="16" s="1"/>
  <c r="H647" i="16" s="1"/>
  <c r="H646" i="16" s="1"/>
  <c r="H645" i="16" s="1"/>
  <c r="H644" i="16" s="1"/>
  <c r="F138" i="14"/>
  <c r="G142" i="14"/>
  <c r="G138" i="14" s="1"/>
  <c r="H155" i="16"/>
  <c r="H154" i="16" s="1"/>
  <c r="H153" i="16" s="1"/>
  <c r="H142" i="16" s="1"/>
  <c r="H141" i="16" s="1"/>
  <c r="H860" i="16"/>
  <c r="G252" i="4"/>
  <c r="G251" i="4" s="1"/>
  <c r="K1271" i="4" s="1"/>
  <c r="H451" i="16"/>
  <c r="H450" i="16" s="1"/>
  <c r="H449" i="16" s="1"/>
  <c r="H448" i="16" s="1"/>
  <c r="H447" i="16" s="1"/>
  <c r="G184" i="4"/>
  <c r="G183" i="4" s="1"/>
  <c r="G216" i="4"/>
  <c r="G215" i="4" s="1"/>
  <c r="H214" i="16"/>
  <c r="H297" i="16"/>
  <c r="H552" i="16"/>
  <c r="H551" i="16" s="1"/>
  <c r="G160" i="14"/>
  <c r="G48" i="14"/>
  <c r="G47" i="14" s="1"/>
  <c r="H304" i="16"/>
  <c r="H133" i="15"/>
  <c r="H132" i="15" s="1"/>
  <c r="H131" i="15" s="1"/>
  <c r="H130" i="15" s="1"/>
  <c r="H299" i="16"/>
  <c r="H298" i="16" s="1"/>
  <c r="H491" i="15"/>
  <c r="H490" i="15" s="1"/>
  <c r="G491" i="15"/>
  <c r="G490" i="15" s="1"/>
  <c r="F68" i="3"/>
  <c r="L8" i="3" s="1"/>
  <c r="G226" i="4"/>
  <c r="G225" i="4" s="1"/>
  <c r="F369" i="14"/>
  <c r="F368" i="14" s="1"/>
  <c r="F47" i="14"/>
  <c r="F159" i="14"/>
  <c r="E25" i="13"/>
  <c r="F330" i="14"/>
  <c r="G159" i="16"/>
  <c r="G158" i="16" s="1"/>
  <c r="F716" i="14"/>
  <c r="F715" i="14" s="1"/>
  <c r="F933" i="14"/>
  <c r="F932" i="14" s="1"/>
  <c r="H509" i="15"/>
  <c r="H508" i="15" s="1"/>
  <c r="G509" i="15"/>
  <c r="G508" i="15" s="1"/>
  <c r="H789" i="15"/>
  <c r="G789" i="15"/>
  <c r="H741" i="15"/>
  <c r="G741" i="15"/>
  <c r="H1017" i="15"/>
  <c r="G1017" i="15"/>
  <c r="H856" i="15"/>
  <c r="H855" i="15" s="1"/>
  <c r="H854" i="15" s="1"/>
  <c r="H853" i="15" s="1"/>
  <c r="G856" i="15"/>
  <c r="G855" i="15" s="1"/>
  <c r="G854" i="15" s="1"/>
  <c r="G853" i="15" s="1"/>
  <c r="H449" i="15"/>
  <c r="G449" i="15"/>
  <c r="G330" i="14"/>
  <c r="H458" i="15"/>
  <c r="H453" i="15" s="1"/>
  <c r="G458" i="15"/>
  <c r="G453" i="15" s="1"/>
  <c r="H517" i="15"/>
  <c r="G517" i="15"/>
  <c r="G1104" i="15" s="1"/>
  <c r="H711" i="15"/>
  <c r="G711" i="15"/>
  <c r="H1136" i="15"/>
  <c r="H347" i="15"/>
  <c r="G347" i="15"/>
  <c r="H236" i="15"/>
  <c r="H1121" i="15" s="1"/>
  <c r="G236" i="15"/>
  <c r="G1121" i="15" s="1"/>
  <c r="H246" i="15"/>
  <c r="H245" i="15" s="1"/>
  <c r="H244" i="15" s="1"/>
  <c r="H243" i="15" s="1"/>
  <c r="G246" i="15"/>
  <c r="G245" i="15" s="1"/>
  <c r="G244" i="15" s="1"/>
  <c r="G243" i="15" s="1"/>
  <c r="H340" i="15"/>
  <c r="G340" i="15"/>
  <c r="G546" i="16"/>
  <c r="G545" i="16" s="1"/>
  <c r="G544" i="16" s="1"/>
  <c r="G464" i="16" s="1"/>
  <c r="J464" i="16" s="1"/>
  <c r="G862" i="16"/>
  <c r="G861" i="16"/>
  <c r="H292" i="16"/>
  <c r="H291" i="16" s="1"/>
  <c r="H722" i="15"/>
  <c r="H825" i="15"/>
  <c r="H824" i="15" s="1"/>
  <c r="G825" i="15"/>
  <c r="G824" i="15" s="1"/>
  <c r="H317" i="15"/>
  <c r="G317" i="15"/>
  <c r="H436" i="15"/>
  <c r="G436" i="15"/>
  <c r="G835" i="15"/>
  <c r="G834" i="15" s="1"/>
  <c r="G833" i="15" s="1"/>
  <c r="G832" i="15" s="1"/>
  <c r="H782" i="15"/>
  <c r="H799" i="15"/>
  <c r="H798" i="15" s="1"/>
  <c r="H1145" i="15" s="1"/>
  <c r="G799" i="15"/>
  <c r="G798" i="15" s="1"/>
  <c r="G1145" i="15" s="1"/>
  <c r="H555" i="15"/>
  <c r="H1115" i="15" s="1"/>
  <c r="G555" i="15"/>
  <c r="G299" i="16"/>
  <c r="G298" i="16" s="1"/>
  <c r="G697" i="15"/>
  <c r="G292" i="16"/>
  <c r="G291" i="16" s="1"/>
  <c r="H772" i="15"/>
  <c r="H771" i="15" s="1"/>
  <c r="G771" i="15"/>
  <c r="H929" i="15"/>
  <c r="H928" i="15" s="1"/>
  <c r="G928" i="15"/>
  <c r="H925" i="15"/>
  <c r="H924" i="15" s="1"/>
  <c r="G924" i="15"/>
  <c r="H933" i="15"/>
  <c r="H932" i="15" s="1"/>
  <c r="G932" i="15"/>
  <c r="F892" i="14"/>
  <c r="G954" i="14"/>
  <c r="G953" i="14" s="1"/>
  <c r="F954" i="14"/>
  <c r="F953" i="14" s="1"/>
  <c r="F209" i="14"/>
  <c r="F208" i="14"/>
  <c r="G622" i="14"/>
  <c r="F622" i="14"/>
  <c r="G693" i="15"/>
  <c r="H194" i="15"/>
  <c r="H193" i="15" s="1"/>
  <c r="H192" i="15" s="1"/>
  <c r="G194" i="15"/>
  <c r="G193" i="15" s="1"/>
  <c r="G192" i="15" s="1"/>
  <c r="H1085" i="15"/>
  <c r="H1084" i="15" s="1"/>
  <c r="H1083" i="15" s="1"/>
  <c r="H106" i="14" s="1"/>
  <c r="G1085" i="15"/>
  <c r="G1084" i="15" s="1"/>
  <c r="G1083" i="15" s="1"/>
  <c r="H1050" i="15"/>
  <c r="H1049" i="15" s="1"/>
  <c r="H1048" i="15" s="1"/>
  <c r="G1050" i="15"/>
  <c r="G1049" i="15" s="1"/>
  <c r="G1048" i="15" s="1"/>
  <c r="H1024" i="15"/>
  <c r="G1024" i="15"/>
  <c r="H1005" i="15"/>
  <c r="H1004" i="15" s="1"/>
  <c r="G1005" i="15"/>
  <c r="G1004" i="15" s="1"/>
  <c r="H813" i="15"/>
  <c r="H812" i="15" s="1"/>
  <c r="G813" i="15"/>
  <c r="G812" i="15" s="1"/>
  <c r="H805" i="15"/>
  <c r="H804" i="15" s="1"/>
  <c r="G805" i="15"/>
  <c r="G804" i="15" s="1"/>
  <c r="H745" i="15"/>
  <c r="G745" i="15"/>
  <c r="H731" i="15"/>
  <c r="H730" i="15" s="1"/>
  <c r="G731" i="15"/>
  <c r="G730" i="15" s="1"/>
  <c r="H423" i="15"/>
  <c r="H422" i="15" s="1"/>
  <c r="G423" i="15"/>
  <c r="G422" i="15" s="1"/>
  <c r="G752" i="14"/>
  <c r="G743" i="14" s="1"/>
  <c r="F752" i="14"/>
  <c r="F743" i="14" s="1"/>
  <c r="F742" i="14" s="1"/>
  <c r="H368" i="15"/>
  <c r="H359" i="15" s="1"/>
  <c r="H358" i="15" s="1"/>
  <c r="G368" i="15"/>
  <c r="H296" i="15"/>
  <c r="G296" i="15"/>
  <c r="H174" i="15"/>
  <c r="H173" i="15" s="1"/>
  <c r="H172" i="15" s="1"/>
  <c r="G174" i="15"/>
  <c r="G173" i="15" s="1"/>
  <c r="G172" i="15" s="1"/>
  <c r="G1106" i="15" s="1"/>
  <c r="G240" i="14"/>
  <c r="F240" i="14"/>
  <c r="G132" i="15"/>
  <c r="G131" i="15" s="1"/>
  <c r="G130" i="15" s="1"/>
  <c r="H54" i="15"/>
  <c r="G54" i="15"/>
  <c r="G1009" i="4"/>
  <c r="G1008" i="4" s="1"/>
  <c r="G264" i="5"/>
  <c r="G925" i="4"/>
  <c r="G852" i="5"/>
  <c r="G851" i="5" s="1"/>
  <c r="G232" i="5"/>
  <c r="G118" i="4"/>
  <c r="G239" i="4"/>
  <c r="G299" i="4"/>
  <c r="H1131" i="15"/>
  <c r="G1131" i="15"/>
  <c r="G11" i="4"/>
  <c r="G10" i="4" s="1"/>
  <c r="G1235" i="4"/>
  <c r="G569" i="4"/>
  <c r="G138" i="4"/>
  <c r="G590" i="4"/>
  <c r="G1207" i="4"/>
  <c r="G1287" i="4"/>
  <c r="G919" i="4"/>
  <c r="G1298" i="4" s="1"/>
  <c r="G606" i="4"/>
  <c r="G1215" i="4"/>
  <c r="G1157" i="4"/>
  <c r="G600" i="4"/>
  <c r="G988" i="4"/>
  <c r="G506" i="4"/>
  <c r="G505" i="4" s="1"/>
  <c r="G835" i="4"/>
  <c r="G1299" i="4"/>
  <c r="G823" i="5"/>
  <c r="G822" i="5" s="1"/>
  <c r="G961" i="4"/>
  <c r="G622" i="4"/>
  <c r="G980" i="4"/>
  <c r="F554" i="3"/>
  <c r="G246" i="5"/>
  <c r="G829" i="5"/>
  <c r="G176" i="5"/>
  <c r="G209" i="5"/>
  <c r="G218" i="5"/>
  <c r="G217" i="5" s="1"/>
  <c r="G496" i="5"/>
  <c r="G929" i="5"/>
  <c r="G917" i="5"/>
  <c r="G797" i="5"/>
  <c r="G804" i="5"/>
  <c r="G890" i="5"/>
  <c r="G836" i="5"/>
  <c r="G818" i="5"/>
  <c r="G720" i="5"/>
  <c r="G715" i="5" s="1"/>
  <c r="G714" i="5" s="1"/>
  <c r="G713" i="5" s="1"/>
  <c r="G964" i="5"/>
  <c r="G300" i="5"/>
  <c r="G176" i="4"/>
  <c r="G682" i="5"/>
  <c r="G675" i="5" s="1"/>
  <c r="G674" i="5" s="1"/>
  <c r="G927" i="5"/>
  <c r="G923" i="5"/>
  <c r="G439" i="5"/>
  <c r="G294" i="5"/>
  <c r="G971" i="5"/>
  <c r="G19" i="5"/>
  <c r="G948" i="5"/>
  <c r="G184" i="5"/>
  <c r="G197" i="5"/>
  <c r="G272" i="5"/>
  <c r="G67" i="5"/>
  <c r="G910" i="5"/>
  <c r="G879" i="5"/>
  <c r="G489" i="5"/>
  <c r="G810" i="5"/>
  <c r="G520" i="5"/>
  <c r="J520" i="5" s="1"/>
  <c r="G478" i="5"/>
  <c r="F1004" i="3"/>
  <c r="F517" i="3"/>
  <c r="F730" i="3"/>
  <c r="F1090" i="3"/>
  <c r="F1089" i="3" s="1"/>
  <c r="F812" i="3"/>
  <c r="F322" i="3"/>
  <c r="L289" i="3" s="1"/>
  <c r="F1058" i="3"/>
  <c r="F307" i="3"/>
  <c r="F1114" i="3"/>
  <c r="F766" i="3"/>
  <c r="F738" i="3" s="1"/>
  <c r="F818" i="3"/>
  <c r="F413" i="3"/>
  <c r="F405" i="3"/>
  <c r="F181" i="3"/>
  <c r="F638" i="3"/>
  <c r="F262" i="3"/>
  <c r="F577" i="3"/>
  <c r="F567" i="3"/>
  <c r="F651" i="3"/>
  <c r="F668" i="3"/>
  <c r="F929" i="3"/>
  <c r="F113" i="3"/>
  <c r="F112" i="3" s="1"/>
  <c r="F108" i="14"/>
  <c r="F492" i="3"/>
  <c r="F302" i="3"/>
  <c r="F971" i="3"/>
  <c r="F952" i="3"/>
  <c r="F401" i="3"/>
  <c r="G32" i="5"/>
  <c r="G46" i="5"/>
  <c r="G45" i="5" s="1"/>
  <c r="G11" i="5"/>
  <c r="I981" i="10"/>
  <c r="G993" i="4"/>
  <c r="H1104" i="15" l="1"/>
  <c r="G975" i="10"/>
  <c r="G977" i="10" s="1"/>
  <c r="G295" i="15"/>
  <c r="G294" i="15" s="1"/>
  <c r="F319" i="14"/>
  <c r="G320" i="14"/>
  <c r="F705" i="3"/>
  <c r="F704" i="3" s="1"/>
  <c r="F400" i="3"/>
  <c r="F369" i="3" s="1"/>
  <c r="L1269" i="4"/>
  <c r="G1282" i="4"/>
  <c r="F438" i="3"/>
  <c r="D29" i="2" s="1"/>
  <c r="F549" i="3"/>
  <c r="G1115" i="15"/>
  <c r="G766" i="15"/>
  <c r="G765" i="15" s="1"/>
  <c r="G1124" i="15"/>
  <c r="H1097" i="15"/>
  <c r="G1097" i="15"/>
  <c r="G359" i="15"/>
  <c r="H609" i="15"/>
  <c r="G140" i="16"/>
  <c r="I13" i="14"/>
  <c r="I64" i="14"/>
  <c r="G175" i="5"/>
  <c r="G192" i="5"/>
  <c r="G550" i="15"/>
  <c r="G549" i="15" s="1"/>
  <c r="G53" i="15"/>
  <c r="G52" i="15" s="1"/>
  <c r="G32" i="15" s="1"/>
  <c r="G1292" i="4"/>
  <c r="H766" i="15"/>
  <c r="H765" i="15" s="1"/>
  <c r="H550" i="15"/>
  <c r="H549" i="15" s="1"/>
  <c r="G692" i="15"/>
  <c r="G691" i="15" s="1"/>
  <c r="H406" i="16"/>
  <c r="H206" i="15"/>
  <c r="H205" i="15" s="1"/>
  <c r="H191" i="15" s="1"/>
  <c r="G206" i="15"/>
  <c r="G205" i="15" s="1"/>
  <c r="G191" i="15" s="1"/>
  <c r="G1107" i="15" s="1"/>
  <c r="G1108" i="15" s="1"/>
  <c r="G271" i="5"/>
  <c r="H721" i="15"/>
  <c r="H720" i="15" s="1"/>
  <c r="H295" i="15"/>
  <c r="H294" i="15" s="1"/>
  <c r="G435" i="15"/>
  <c r="G434" i="15" s="1"/>
  <c r="G411" i="15" s="1"/>
  <c r="H435" i="15"/>
  <c r="H434" i="15" s="1"/>
  <c r="H411" i="15" s="1"/>
  <c r="H53" i="15"/>
  <c r="H52" i="15" s="1"/>
  <c r="H861" i="16"/>
  <c r="H140" i="16"/>
  <c r="G1295" i="4"/>
  <c r="H546" i="16"/>
  <c r="H545" i="16" s="1"/>
  <c r="H544" i="16" s="1"/>
  <c r="H464" i="16" s="1"/>
  <c r="L464" i="16" s="1"/>
  <c r="G953" i="15"/>
  <c r="G516" i="15"/>
  <c r="G507" i="15" s="1"/>
  <c r="G489" i="15" s="1"/>
  <c r="G488" i="15" s="1"/>
  <c r="H516" i="15"/>
  <c r="H507" i="15" s="1"/>
  <c r="H489" i="15" s="1"/>
  <c r="H488" i="15" s="1"/>
  <c r="G63" i="14"/>
  <c r="G46" i="14" s="1"/>
  <c r="G45" i="14" s="1"/>
  <c r="E14" i="13" s="1"/>
  <c r="H448" i="15"/>
  <c r="H447" i="15" s="1"/>
  <c r="G448" i="15"/>
  <c r="G447" i="15" s="1"/>
  <c r="G589" i="4"/>
  <c r="G369" i="14"/>
  <c r="G368" i="14" s="1"/>
  <c r="G878" i="4"/>
  <c r="G159" i="14"/>
  <c r="G235" i="15"/>
  <c r="G234" i="15" s="1"/>
  <c r="G218" i="15" s="1"/>
  <c r="H235" i="15"/>
  <c r="H234" i="15" s="1"/>
  <c r="H218" i="15" s="1"/>
  <c r="G716" i="14"/>
  <c r="G715" i="14" s="1"/>
  <c r="G149" i="14"/>
  <c r="F149" i="14"/>
  <c r="G933" i="14"/>
  <c r="G932" i="14" s="1"/>
  <c r="H740" i="15"/>
  <c r="H729" i="15" s="1"/>
  <c r="G1016" i="15"/>
  <c r="G1003" i="15" s="1"/>
  <c r="H339" i="15"/>
  <c r="H338" i="15" s="1"/>
  <c r="H337" i="15" s="1"/>
  <c r="H1047" i="15"/>
  <c r="H1046" i="15" s="1"/>
  <c r="H953" i="15"/>
  <c r="H1016" i="15"/>
  <c r="H1003" i="15" s="1"/>
  <c r="H919" i="15"/>
  <c r="H889" i="15" s="1"/>
  <c r="F46" i="14"/>
  <c r="F45" i="14" s="1"/>
  <c r="G803" i="15"/>
  <c r="G740" i="15"/>
  <c r="G729" i="15" s="1"/>
  <c r="G1047" i="15"/>
  <c r="G339" i="15"/>
  <c r="G338" i="15" s="1"/>
  <c r="G337" i="15" s="1"/>
  <c r="G919" i="15"/>
  <c r="G889" i="15" s="1"/>
  <c r="G742" i="14"/>
  <c r="E39" i="13" s="1"/>
  <c r="D39" i="13"/>
  <c r="G726" i="14"/>
  <c r="F726" i="14"/>
  <c r="G233" i="14"/>
  <c r="G232" i="14" s="1"/>
  <c r="G231" i="14" s="1"/>
  <c r="F233" i="14"/>
  <c r="F232" i="14" s="1"/>
  <c r="F231" i="14" s="1"/>
  <c r="G365" i="14"/>
  <c r="G364" i="14" s="1"/>
  <c r="F364" i="14"/>
  <c r="G666" i="14"/>
  <c r="G644" i="14" s="1"/>
  <c r="F644" i="14"/>
  <c r="G709" i="14"/>
  <c r="F709" i="14"/>
  <c r="G457" i="14"/>
  <c r="G919" i="14"/>
  <c r="G918" i="14" s="1"/>
  <c r="F919" i="14"/>
  <c r="F918" i="14" s="1"/>
  <c r="G945" i="14"/>
  <c r="G944" i="14" s="1"/>
  <c r="F945" i="14"/>
  <c r="F944" i="14" s="1"/>
  <c r="G874" i="14"/>
  <c r="G873" i="14" s="1"/>
  <c r="G872" i="14" s="1"/>
  <c r="E45" i="13" s="1"/>
  <c r="F874" i="14"/>
  <c r="F873" i="14" s="1"/>
  <c r="F872" i="14" s="1"/>
  <c r="D45" i="13" s="1"/>
  <c r="G208" i="14"/>
  <c r="G209" i="14"/>
  <c r="G966" i="14"/>
  <c r="G965" i="14" s="1"/>
  <c r="G952" i="14" s="1"/>
  <c r="F966" i="14"/>
  <c r="F965" i="14" s="1"/>
  <c r="F952" i="14" s="1"/>
  <c r="G265" i="14"/>
  <c r="G264" i="14" s="1"/>
  <c r="G263" i="14" s="1"/>
  <c r="F265" i="14"/>
  <c r="F264" i="14" s="1"/>
  <c r="F263" i="14" s="1"/>
  <c r="D24" i="13" s="1"/>
  <c r="F438" i="14"/>
  <c r="F439" i="14"/>
  <c r="G626" i="14"/>
  <c r="F626" i="14"/>
  <c r="G699" i="14"/>
  <c r="G691" i="14" s="1"/>
  <c r="G690" i="14" s="1"/>
  <c r="F699" i="14"/>
  <c r="F691" i="14" s="1"/>
  <c r="F690" i="14" s="1"/>
  <c r="G373" i="14"/>
  <c r="G372" i="14" s="1"/>
  <c r="F372" i="14"/>
  <c r="G169" i="14"/>
  <c r="G168" i="14" s="1"/>
  <c r="F169" i="14"/>
  <c r="F168" i="14" s="1"/>
  <c r="G640" i="14"/>
  <c r="F640" i="14"/>
  <c r="H693" i="15"/>
  <c r="H692" i="15" s="1"/>
  <c r="H691" i="15" s="1"/>
  <c r="G285" i="14"/>
  <c r="G284" i="14" s="1"/>
  <c r="G283" i="14" s="1"/>
  <c r="E26" i="13" s="1"/>
  <c r="F285" i="14"/>
  <c r="F284" i="14" s="1"/>
  <c r="F283" i="14" s="1"/>
  <c r="D26" i="13" s="1"/>
  <c r="G252" i="14"/>
  <c r="G251" i="14" s="1"/>
  <c r="G250" i="14" s="1"/>
  <c r="F252" i="14"/>
  <c r="F251" i="14" s="1"/>
  <c r="F250" i="14" s="1"/>
  <c r="G107" i="14"/>
  <c r="G106" i="14" s="1"/>
  <c r="E15" i="13" s="1"/>
  <c r="F107" i="14"/>
  <c r="F106" i="14" s="1"/>
  <c r="D15" i="13" s="1"/>
  <c r="G30" i="14"/>
  <c r="G29" i="14" s="1"/>
  <c r="E13" i="13" s="1"/>
  <c r="F30" i="14"/>
  <c r="F29" i="14" s="1"/>
  <c r="G464" i="14"/>
  <c r="F464" i="14"/>
  <c r="G1156" i="4"/>
  <c r="G445" i="14"/>
  <c r="G444" i="14" s="1"/>
  <c r="F445" i="14"/>
  <c r="F444" i="14" s="1"/>
  <c r="H803" i="15"/>
  <c r="G925" i="14"/>
  <c r="G924" i="14" s="1"/>
  <c r="F925" i="14"/>
  <c r="F924" i="14" s="1"/>
  <c r="G730" i="14"/>
  <c r="F730" i="14"/>
  <c r="G807" i="14"/>
  <c r="G806" i="14" s="1"/>
  <c r="G795" i="14" s="1"/>
  <c r="F807" i="14"/>
  <c r="F806" i="14" s="1"/>
  <c r="F795" i="14" s="1"/>
  <c r="G214" i="4"/>
  <c r="G231" i="5"/>
  <c r="G245" i="5"/>
  <c r="G605" i="4"/>
  <c r="G1206" i="4"/>
  <c r="G9" i="4"/>
  <c r="G492" i="4"/>
  <c r="G457" i="4" s="1"/>
  <c r="G834" i="4"/>
  <c r="G960" i="4"/>
  <c r="G262" i="4"/>
  <c r="G261" i="4" s="1"/>
  <c r="G238" i="4"/>
  <c r="G182" i="4"/>
  <c r="H1124" i="15"/>
  <c r="G1300" i="4"/>
  <c r="G1296" i="4"/>
  <c r="G34" i="4"/>
  <c r="H1146" i="15"/>
  <c r="G1146" i="15"/>
  <c r="G987" i="4"/>
  <c r="H1134" i="15"/>
  <c r="G1134" i="15"/>
  <c r="G924" i="4"/>
  <c r="G1234" i="4"/>
  <c r="G1214" i="4" s="1"/>
  <c r="G298" i="4"/>
  <c r="G307" i="5"/>
  <c r="G306" i="5" s="1"/>
  <c r="G979" i="4"/>
  <c r="G103" i="5"/>
  <c r="G102" i="5" s="1"/>
  <c r="G101" i="5" s="1"/>
  <c r="G878" i="5"/>
  <c r="G175" i="4"/>
  <c r="G796" i="5"/>
  <c r="G916" i="5"/>
  <c r="G928" i="5"/>
  <c r="G495" i="5"/>
  <c r="G488" i="5"/>
  <c r="G809" i="5"/>
  <c r="G66" i="5"/>
  <c r="G947" i="5"/>
  <c r="G946" i="5" s="1"/>
  <c r="G437" i="5"/>
  <c r="G438" i="5"/>
  <c r="G299" i="5"/>
  <c r="G263" i="5"/>
  <c r="G314" i="5"/>
  <c r="G313" i="5" s="1"/>
  <c r="G477" i="5"/>
  <c r="G18" i="5"/>
  <c r="G969" i="5"/>
  <c r="G970" i="5"/>
  <c r="G963" i="5"/>
  <c r="G817" i="5"/>
  <c r="G540" i="5"/>
  <c r="G519" i="5" s="1"/>
  <c r="G518" i="5" s="1"/>
  <c r="G850" i="5"/>
  <c r="G447" i="5"/>
  <c r="G446" i="5" s="1"/>
  <c r="G922" i="5"/>
  <c r="G803" i="5"/>
  <c r="G411" i="5"/>
  <c r="G403" i="5" s="1"/>
  <c r="F29" i="3"/>
  <c r="F306" i="3"/>
  <c r="F1063" i="3"/>
  <c r="F1003" i="3"/>
  <c r="F1098" i="3"/>
  <c r="F501" i="3"/>
  <c r="F301" i="3"/>
  <c r="F261" i="3"/>
  <c r="F260" i="3" s="1"/>
  <c r="F353" i="3"/>
  <c r="F516" i="3"/>
  <c r="F291" i="3"/>
  <c r="F951" i="3"/>
  <c r="F970" i="3"/>
  <c r="F969" i="3" s="1"/>
  <c r="F1057" i="3"/>
  <c r="F667" i="3"/>
  <c r="F203" i="3"/>
  <c r="F202" i="3" s="1"/>
  <c r="F163" i="3"/>
  <c r="F791" i="3"/>
  <c r="F831" i="3"/>
  <c r="F1113" i="3"/>
  <c r="F321" i="3"/>
  <c r="F48" i="3"/>
  <c r="H1142" i="15"/>
  <c r="G1142" i="15"/>
  <c r="G629" i="5"/>
  <c r="G1139" i="15" l="1"/>
  <c r="F318" i="14"/>
  <c r="G319" i="14"/>
  <c r="G1258" i="4"/>
  <c r="G1102" i="15"/>
  <c r="G1103" i="15" s="1"/>
  <c r="G358" i="15"/>
  <c r="F666" i="3"/>
  <c r="F614" i="3" s="1"/>
  <c r="G764" i="15"/>
  <c r="G31" i="15"/>
  <c r="D14" i="13"/>
  <c r="I45" i="14"/>
  <c r="H32" i="15"/>
  <c r="H31" i="15" s="1"/>
  <c r="H45" i="14"/>
  <c r="G33" i="4"/>
  <c r="G548" i="15"/>
  <c r="I1098" i="15"/>
  <c r="H1139" i="15"/>
  <c r="J1098" i="15"/>
  <c r="G877" i="4"/>
  <c r="G1132" i="15"/>
  <c r="J540" i="5"/>
  <c r="G174" i="5"/>
  <c r="G173" i="5" s="1"/>
  <c r="G230" i="5"/>
  <c r="G621" i="14"/>
  <c r="G620" i="14" s="1"/>
  <c r="F621" i="14"/>
  <c r="F620" i="14" s="1"/>
  <c r="E40" i="13"/>
  <c r="E38" i="13" s="1"/>
  <c r="D40" i="13"/>
  <c r="D38" i="13" s="1"/>
  <c r="H446" i="15"/>
  <c r="H445" i="15" s="1"/>
  <c r="H1119" i="15" s="1"/>
  <c r="D33" i="13"/>
  <c r="G446" i="15"/>
  <c r="G445" i="15" s="1"/>
  <c r="G1119" i="15" s="1"/>
  <c r="G1120" i="15" s="1"/>
  <c r="G1046" i="15"/>
  <c r="E33" i="13"/>
  <c r="G893" i="16"/>
  <c r="E24" i="13"/>
  <c r="G249" i="14"/>
  <c r="G293" i="15"/>
  <c r="H293" i="15"/>
  <c r="G357" i="15"/>
  <c r="F836" i="14"/>
  <c r="F689" i="14"/>
  <c r="D36" i="13" s="1"/>
  <c r="G230" i="14"/>
  <c r="E21" i="13"/>
  <c r="E20" i="13" s="1"/>
  <c r="G725" i="14"/>
  <c r="G714" i="14" s="1"/>
  <c r="E37" i="13" s="1"/>
  <c r="G689" i="14"/>
  <c r="E36" i="13" s="1"/>
  <c r="F923" i="14"/>
  <c r="D48" i="13" s="1"/>
  <c r="H874" i="15"/>
  <c r="H831" i="15" s="1"/>
  <c r="H548" i="15"/>
  <c r="H537" i="15" s="1"/>
  <c r="D21" i="13"/>
  <c r="D20" i="13" s="1"/>
  <c r="F230" i="14"/>
  <c r="F725" i="14"/>
  <c r="F714" i="14" s="1"/>
  <c r="H764" i="15"/>
  <c r="H756" i="15" s="1"/>
  <c r="H357" i="15"/>
  <c r="G923" i="14"/>
  <c r="E48" i="13" s="1"/>
  <c r="G836" i="14"/>
  <c r="G829" i="14" s="1"/>
  <c r="G456" i="14"/>
  <c r="G443" i="14" s="1"/>
  <c r="E31" i="13" s="1"/>
  <c r="G874" i="15"/>
  <c r="F456" i="14"/>
  <c r="F443" i="14" s="1"/>
  <c r="D31" i="13" s="1"/>
  <c r="F951" i="14"/>
  <c r="D50" i="13"/>
  <c r="D49" i="13" s="1"/>
  <c r="G951" i="14"/>
  <c r="E50" i="13"/>
  <c r="E49" i="13" s="1"/>
  <c r="G438" i="14"/>
  <c r="G439" i="14"/>
  <c r="F359" i="14"/>
  <c r="F393" i="14"/>
  <c r="D30" i="13" s="1"/>
  <c r="G359" i="14"/>
  <c r="G137" i="14"/>
  <c r="F137" i="14"/>
  <c r="F136" i="14" s="1"/>
  <c r="D23" i="13"/>
  <c r="D22" i="13" s="1"/>
  <c r="F249" i="14"/>
  <c r="E23" i="13"/>
  <c r="D13" i="13"/>
  <c r="F500" i="3"/>
  <c r="G706" i="5"/>
  <c r="G705" i="5" s="1"/>
  <c r="G368" i="4"/>
  <c r="G318" i="4" s="1"/>
  <c r="H1143" i="15"/>
  <c r="G1143" i="15"/>
  <c r="G1094" i="4"/>
  <c r="G959" i="4"/>
  <c r="G986" i="4"/>
  <c r="G1261" i="4" s="1"/>
  <c r="G789" i="4"/>
  <c r="H1147" i="15"/>
  <c r="G1147" i="15"/>
  <c r="G568" i="4"/>
  <c r="G1205" i="4"/>
  <c r="G828" i="4"/>
  <c r="G1286" i="4"/>
  <c r="G504" i="4"/>
  <c r="G1285" i="4"/>
  <c r="G802" i="5"/>
  <c r="G17" i="5"/>
  <c r="G487" i="5"/>
  <c r="G961" i="5"/>
  <c r="G962" i="5"/>
  <c r="G976" i="5"/>
  <c r="G780" i="5"/>
  <c r="G795" i="5"/>
  <c r="G44" i="5"/>
  <c r="G65" i="5"/>
  <c r="G889" i="5"/>
  <c r="G808" i="5"/>
  <c r="G816" i="5"/>
  <c r="G476" i="5"/>
  <c r="G494" i="5"/>
  <c r="G1257" i="4"/>
  <c r="G270" i="5"/>
  <c r="F968" i="3"/>
  <c r="D24" i="2"/>
  <c r="F290" i="3"/>
  <c r="F352" i="3"/>
  <c r="F300" i="3"/>
  <c r="F1097" i="3"/>
  <c r="F1062" i="3"/>
  <c r="F817" i="3"/>
  <c r="F856" i="3"/>
  <c r="F111" i="3"/>
  <c r="F47" i="3"/>
  <c r="F320" i="3"/>
  <c r="F790" i="3"/>
  <c r="F1047" i="3"/>
  <c r="F950" i="3"/>
  <c r="F915" i="3" s="1"/>
  <c r="F1002" i="3"/>
  <c r="F28" i="3"/>
  <c r="I991" i="10"/>
  <c r="G1116" i="15" l="1"/>
  <c r="G1117" i="15" s="1"/>
  <c r="F317" i="14"/>
  <c r="F316" i="14" s="1"/>
  <c r="F315" i="14" s="1"/>
  <c r="D28" i="13" s="1"/>
  <c r="H7" i="14"/>
  <c r="G318" i="14"/>
  <c r="G147" i="5"/>
  <c r="G1259" i="4"/>
  <c r="G1007" i="4"/>
  <c r="G1264" i="4" s="1"/>
  <c r="G1265" i="4" s="1"/>
  <c r="G445" i="5"/>
  <c r="G877" i="5"/>
  <c r="G537" i="15"/>
  <c r="G1113" i="15"/>
  <c r="G1114" i="15" s="1"/>
  <c r="G756" i="15"/>
  <c r="G1122" i="15"/>
  <c r="G1123" i="15" s="1"/>
  <c r="G831" i="15"/>
  <c r="G1110" i="15"/>
  <c r="G567" i="4"/>
  <c r="G136" i="14"/>
  <c r="G9" i="14" s="1"/>
  <c r="F829" i="14"/>
  <c r="H830" i="14" s="1"/>
  <c r="H1102" i="15"/>
  <c r="K518" i="5"/>
  <c r="E43" i="13"/>
  <c r="E41" i="13" s="1"/>
  <c r="I830" i="14"/>
  <c r="D37" i="13"/>
  <c r="F961" i="3"/>
  <c r="K961" i="3" s="1"/>
  <c r="G396" i="4"/>
  <c r="G629" i="4"/>
  <c r="G1267" i="4" s="1"/>
  <c r="E35" i="13"/>
  <c r="G242" i="15"/>
  <c r="H242" i="15"/>
  <c r="H1094" i="15" s="1"/>
  <c r="H1096" i="15" s="1"/>
  <c r="D17" i="13"/>
  <c r="D11" i="13" s="1"/>
  <c r="F9" i="14"/>
  <c r="E22" i="13"/>
  <c r="F329" i="14"/>
  <c r="D29" i="13" s="1"/>
  <c r="G329" i="14"/>
  <c r="E29" i="13" s="1"/>
  <c r="F741" i="14"/>
  <c r="H742" i="14" s="1"/>
  <c r="G741" i="14"/>
  <c r="I742" i="14" s="1"/>
  <c r="D35" i="13"/>
  <c r="G393" i="14"/>
  <c r="E30" i="13" s="1"/>
  <c r="D43" i="13"/>
  <c r="D41" i="13" s="1"/>
  <c r="F548" i="3"/>
  <c r="D32" i="2" s="1"/>
  <c r="G1291" i="4"/>
  <c r="G1304" i="4" s="1"/>
  <c r="G1262" i="4"/>
  <c r="G1141" i="15"/>
  <c r="H1141" i="15"/>
  <c r="G1213" i="4"/>
  <c r="G260" i="4"/>
  <c r="G1254" i="4" s="1"/>
  <c r="H1133" i="15"/>
  <c r="G1133" i="15"/>
  <c r="H1106" i="15"/>
  <c r="G503" i="4"/>
  <c r="G1273" i="4" s="1"/>
  <c r="H1132" i="15"/>
  <c r="G953" i="5"/>
  <c r="G43" i="5"/>
  <c r="D39" i="2"/>
  <c r="H1105" i="15"/>
  <c r="G815" i="5"/>
  <c r="G794" i="5"/>
  <c r="G801" i="5"/>
  <c r="G64" i="5"/>
  <c r="G779" i="5"/>
  <c r="G968" i="5"/>
  <c r="G9" i="5"/>
  <c r="D44" i="2"/>
  <c r="D25" i="2"/>
  <c r="D28" i="2"/>
  <c r="D23" i="2"/>
  <c r="F289" i="3"/>
  <c r="K289" i="3" s="1"/>
  <c r="D22" i="2"/>
  <c r="F259" i="3"/>
  <c r="D20" i="2"/>
  <c r="D30" i="2"/>
  <c r="F351" i="3"/>
  <c r="D38" i="2"/>
  <c r="F162" i="3"/>
  <c r="F8" i="3" s="1"/>
  <c r="K8" i="3" s="1"/>
  <c r="D11" i="2"/>
  <c r="F1046" i="3"/>
  <c r="F789" i="3"/>
  <c r="D12" i="2"/>
  <c r="D13" i="2"/>
  <c r="D36" i="2"/>
  <c r="F1096" i="3"/>
  <c r="D49" i="2"/>
  <c r="D27" i="2"/>
  <c r="G1127" i="15" l="1"/>
  <c r="D27" i="13"/>
  <c r="G317" i="14"/>
  <c r="G316" i="14" s="1"/>
  <c r="G315" i="14" s="1"/>
  <c r="E28" i="13" s="1"/>
  <c r="E27" i="13" s="1"/>
  <c r="I7" i="14"/>
  <c r="G793" i="5"/>
  <c r="G996" i="5"/>
  <c r="G1094" i="15"/>
  <c r="C18" i="18" s="1"/>
  <c r="G1111" i="15"/>
  <c r="G1128" i="15" s="1"/>
  <c r="H351" i="3"/>
  <c r="K351" i="3"/>
  <c r="E17" i="13"/>
  <c r="E11" i="13" s="1"/>
  <c r="F855" i="3"/>
  <c r="K855" i="3" s="1"/>
  <c r="G621" i="4"/>
  <c r="E56" i="13"/>
  <c r="F478" i="14"/>
  <c r="G1270" i="4"/>
  <c r="G259" i="4"/>
  <c r="F314" i="14"/>
  <c r="D18" i="18"/>
  <c r="G314" i="14"/>
  <c r="D32" i="13"/>
  <c r="E34" i="13"/>
  <c r="E32" i="13" s="1"/>
  <c r="G478" i="14"/>
  <c r="G958" i="4"/>
  <c r="G1255" i="4"/>
  <c r="H1107" i="15"/>
  <c r="H1108" i="15" s="1"/>
  <c r="H1103" i="15"/>
  <c r="H1138" i="15"/>
  <c r="H1151" i="15" s="1"/>
  <c r="G1138" i="15"/>
  <c r="G778" i="5"/>
  <c r="I877" i="5"/>
  <c r="G31" i="5"/>
  <c r="G30" i="5" s="1"/>
  <c r="G71" i="5"/>
  <c r="F1045" i="3"/>
  <c r="F1017" i="3" s="1"/>
  <c r="F1016" i="3" s="1"/>
  <c r="D35" i="2"/>
  <c r="D16" i="2"/>
  <c r="D9" i="2" s="1"/>
  <c r="D34" i="2"/>
  <c r="D47" i="2"/>
  <c r="D42" i="2"/>
  <c r="D40" i="2" s="1"/>
  <c r="D48" i="2"/>
  <c r="D37" i="2"/>
  <c r="D19" i="2"/>
  <c r="D21" i="2"/>
  <c r="D56" i="13" l="1"/>
  <c r="G1129" i="15"/>
  <c r="L1015" i="3"/>
  <c r="G1271" i="4"/>
  <c r="G1276" i="4"/>
  <c r="G1280" i="4" s="1"/>
  <c r="G869" i="4"/>
  <c r="G1245" i="4" s="1"/>
  <c r="F1119" i="3" s="1"/>
  <c r="H895" i="16"/>
  <c r="G1151" i="15"/>
  <c r="G895" i="16" s="1"/>
  <c r="G897" i="16" s="1"/>
  <c r="G909" i="14"/>
  <c r="F909" i="14"/>
  <c r="H1122" i="15"/>
  <c r="H1123" i="15" s="1"/>
  <c r="H1116" i="15"/>
  <c r="H1117" i="15" s="1"/>
  <c r="H1110" i="15"/>
  <c r="H1111" i="15" s="1"/>
  <c r="H1113" i="15"/>
  <c r="H1114" i="15" s="1"/>
  <c r="G1274" i="4"/>
  <c r="I518" i="5"/>
  <c r="D26" i="2"/>
  <c r="F613" i="3"/>
  <c r="F1043" i="3"/>
  <c r="G1277" i="4" l="1"/>
  <c r="H1127" i="15"/>
  <c r="H1130" i="15" s="1"/>
  <c r="G1248" i="4"/>
  <c r="F887" i="14"/>
  <c r="G887" i="14"/>
  <c r="G886" i="14" s="1"/>
  <c r="H1120" i="15"/>
  <c r="H1128" i="15" s="1"/>
  <c r="I30" i="5"/>
  <c r="D33" i="2"/>
  <c r="F547" i="3"/>
  <c r="H547" i="3" l="1"/>
  <c r="K547" i="3"/>
  <c r="C19" i="7"/>
  <c r="F886" i="14"/>
  <c r="D47" i="13" s="1"/>
  <c r="D46" i="13" s="1"/>
  <c r="D55" i="2"/>
  <c r="D51" i="2"/>
  <c r="E47" i="13"/>
  <c r="E46" i="13" s="1"/>
  <c r="G885" i="14"/>
  <c r="G970" i="14" s="1"/>
  <c r="E52" i="13" s="1"/>
  <c r="H1129" i="15"/>
  <c r="D31" i="2"/>
  <c r="D51" i="13" l="1"/>
  <c r="D58" i="13" s="1"/>
  <c r="D59" i="13"/>
  <c r="F885" i="14"/>
  <c r="G1130" i="15"/>
  <c r="L1130" i="15" s="1"/>
  <c r="E51" i="13"/>
  <c r="G1096" i="15"/>
  <c r="E1095" i="15" s="1"/>
  <c r="F971" i="14"/>
  <c r="D46" i="2"/>
  <c r="F1015" i="3"/>
  <c r="F970" i="14" l="1"/>
  <c r="D52" i="13" s="1"/>
  <c r="H1015" i="3"/>
  <c r="K1015" i="3"/>
  <c r="E58" i="13"/>
  <c r="L1128" i="15"/>
  <c r="L1095" i="15"/>
  <c r="G971" i="14"/>
  <c r="G972" i="14" s="1"/>
  <c r="D45" i="2"/>
  <c r="F1118" i="3"/>
  <c r="F972" i="14" l="1"/>
  <c r="D50" i="2"/>
  <c r="D56" i="2" s="1"/>
  <c r="M1128" i="15"/>
  <c r="F1120" i="3"/>
  <c r="D52" i="2" l="1"/>
  <c r="I147" i="5" l="1"/>
  <c r="D122" i="12" l="1"/>
  <c r="D123" i="12" l="1"/>
  <c r="C127" i="12" l="1"/>
  <c r="C126" i="12" s="1"/>
  <c r="C129" i="12"/>
  <c r="D129" i="12" l="1"/>
  <c r="C131" i="12"/>
  <c r="D131" i="12" s="1"/>
  <c r="D119" i="12" l="1"/>
  <c r="D118" i="12" s="1"/>
  <c r="D117" i="12" s="1"/>
  <c r="D75" i="12" s="1"/>
  <c r="D74" i="12" s="1"/>
  <c r="C119" i="12"/>
  <c r="D158" i="12" l="1"/>
  <c r="H1098" i="15" s="1"/>
  <c r="H1099" i="15" s="1"/>
  <c r="D157" i="12"/>
  <c r="C134" i="1"/>
  <c r="C133" i="1" s="1"/>
  <c r="C76" i="1" s="1"/>
  <c r="H1100" i="15" l="1"/>
  <c r="D162" i="12"/>
  <c r="C75" i="1"/>
  <c r="I133" i="1"/>
  <c r="C118" i="12"/>
  <c r="C117" i="12" s="1"/>
  <c r="C75" i="12" s="1"/>
  <c r="C74" i="12" s="1"/>
  <c r="E53" i="13"/>
  <c r="E55" i="13" s="1"/>
  <c r="D17" i="18"/>
  <c r="D19" i="18" s="1"/>
  <c r="D11" i="18" s="1"/>
  <c r="D10" i="18" s="1"/>
  <c r="C191" i="1" l="1"/>
  <c r="E1247" i="4"/>
  <c r="G1250" i="4" s="1"/>
  <c r="C158" i="12"/>
  <c r="G1098" i="15" s="1"/>
  <c r="G1099" i="15" s="1"/>
  <c r="C157" i="12"/>
  <c r="C189" i="1"/>
  <c r="G1251" i="4" s="1"/>
  <c r="G1100" i="15" l="1"/>
  <c r="C162" i="12"/>
  <c r="D75" i="1"/>
  <c r="C17" i="18"/>
  <c r="C19" i="18" s="1"/>
  <c r="C11" i="18" s="1"/>
  <c r="C10" i="18" s="1"/>
  <c r="D53" i="13"/>
  <c r="D55" i="13" s="1"/>
  <c r="C18" i="7"/>
  <c r="D53" i="2"/>
  <c r="D54" i="2" s="1"/>
  <c r="C20" i="7" l="1"/>
  <c r="C14" i="7" s="1"/>
  <c r="C13" i="7" s="1"/>
  <c r="C13" i="18"/>
  <c r="C14" i="18" s="1"/>
  <c r="C11" i="7"/>
  <c r="D13" i="18" l="1"/>
  <c r="D14" i="18" s="1"/>
  <c r="C12" i="18"/>
  <c r="D12" i="18" s="1"/>
  <c r="D9" i="18" s="1"/>
  <c r="C15" i="7"/>
  <c r="C24" i="7" s="1"/>
  <c r="C10" i="7"/>
  <c r="H365" i="16" l="1"/>
  <c r="H364" i="16" s="1"/>
  <c r="H356" i="16" s="1"/>
  <c r="H893" i="16" s="1"/>
  <c r="H897" i="16" s="1"/>
  <c r="C9" i="18"/>
  <c r="L547" i="3" l="1"/>
  <c r="G1268" i="4" l="1"/>
  <c r="G1281" i="4" s="1"/>
  <c r="G983" i="5"/>
  <c r="G982" i="5" s="1"/>
  <c r="G981" i="5" s="1"/>
  <c r="G980" i="5" s="1"/>
  <c r="G979" i="5" s="1"/>
  <c r="G978" i="5" l="1"/>
  <c r="G977" i="5"/>
  <c r="G994" i="5" s="1"/>
  <c r="G997" i="5" s="1"/>
</calcChain>
</file>

<file path=xl/comments1.xml><?xml version="1.0" encoding="utf-8"?>
<comments xmlns="http://schemas.openxmlformats.org/spreadsheetml/2006/main">
  <authors>
    <author>Автор</author>
  </authors>
  <commentList>
    <comment ref="C86" authorId="0">
      <text>
        <r>
          <rPr>
            <b/>
            <sz val="9"/>
            <color indexed="81"/>
            <rFont val="Tahoma"/>
            <family val="2"/>
            <charset val="204"/>
          </rPr>
          <t>2581,3  таблица 24 Прил 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8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  <comment ref="C88" authorId="0">
      <text>
        <r>
          <rPr>
            <b/>
            <sz val="9"/>
            <color indexed="81"/>
            <rFont val="Tahoma"/>
            <family val="2"/>
            <charset val="204"/>
          </rPr>
          <t>1491,4   Таблица 38 Прил 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4" authorId="0">
      <text>
        <r>
          <rPr>
            <b/>
            <sz val="9"/>
            <color indexed="81"/>
            <rFont val="Tahoma"/>
            <family val="2"/>
            <charset val="204"/>
          </rPr>
          <t>в тч числе средства ФБ 3940,0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6" authorId="0">
      <text>
        <r>
          <rPr>
            <b/>
            <sz val="9"/>
            <color indexed="81"/>
            <rFont val="Tahoma"/>
            <family val="2"/>
            <charset val="204"/>
          </rPr>
          <t>591,6   таблица 22 приложения 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6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- 2238,2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00" authorId="0">
      <text>
        <r>
          <rPr>
            <b/>
            <sz val="9"/>
            <color indexed="81"/>
            <rFont val="Tahoma"/>
            <family val="2"/>
            <charset val="204"/>
          </rPr>
          <t>21 435,2   таблица 41 прил 12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средства ФБ 1120,3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тч средства ФБ 3940,0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1" authorId="0">
      <text>
        <r>
          <rPr>
            <b/>
            <sz val="9"/>
            <color indexed="81"/>
            <rFont val="Tahoma"/>
            <family val="2"/>
            <charset val="204"/>
          </rPr>
          <t>16158,3  табл 65 прил 12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6" authorId="0">
      <text>
        <r>
          <rPr>
            <b/>
            <sz val="9"/>
            <color indexed="81"/>
            <rFont val="Tahoma"/>
            <family val="2"/>
            <charset val="204"/>
          </rPr>
          <t>124618,9  табл 4 прил 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52" authorId="0">
      <text>
        <r>
          <rPr>
            <b/>
            <sz val="9"/>
            <color indexed="81"/>
            <rFont val="Tahoma"/>
            <family val="2"/>
            <charset val="204"/>
          </rPr>
          <t>10 000,8  табл 18 прил 13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средстыва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<sst xmlns="http://schemas.openxmlformats.org/spreadsheetml/2006/main" count="48709" uniqueCount="1830">
  <si>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</si>
  <si>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</si>
  <si>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</si>
  <si>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</si>
  <si>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</si>
  <si>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</si>
  <si>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</si>
  <si>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</si>
  <si>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</si>
  <si>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</si>
  <si>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</si>
  <si>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</si>
  <si>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</si>
  <si>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</si>
  <si>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</si>
  <si>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</si>
  <si>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</si>
  <si>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</si>
  <si>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</si>
  <si>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</si>
  <si>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</si>
  <si>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</si>
  <si>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</si>
  <si>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</si>
  <si>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</si>
  <si>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</si>
  <si>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</si>
  <si>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</si>
  <si>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</si>
  <si>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</si>
  <si>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</si>
  <si>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</si>
  <si>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</si>
  <si>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</si>
  <si>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</si>
  <si>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</si>
  <si>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</si>
  <si>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</si>
  <si>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</si>
  <si>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</si>
  <si>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</si>
  <si>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</si>
  <si>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</si>
  <si>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</si>
  <si>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</si>
  <si>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</si>
  <si>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</si>
  <si>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</si>
  <si>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</si>
  <si>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</si>
  <si>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</si>
  <si>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</si>
  <si>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</si>
  <si>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</si>
  <si>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</si>
  <si>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</si>
  <si>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</si>
  <si>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</si>
  <si>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</si>
  <si>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</si>
  <si>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</si>
  <si>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</si>
  <si>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</si>
  <si>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</si>
  <si>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</si>
  <si>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</si>
  <si>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</si>
  <si>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</si>
  <si>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</si>
  <si>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</si>
  <si>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</si>
  <si>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</si>
  <si>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</si>
  <si>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</si>
  <si>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</si>
  <si>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</si>
  <si>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</si>
  <si>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</si>
  <si>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</si>
  <si>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</si>
  <si>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</si>
  <si>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</si>
  <si>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</si>
  <si>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</si>
  <si>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</si>
  <si>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</si>
  <si>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</si>
  <si>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</si>
  <si>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</si>
  <si>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</si>
  <si>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</si>
  <si>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</si>
  <si>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</si>
  <si>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</si>
  <si>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</si>
  <si>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</si>
  <si>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</si>
  <si>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</si>
  <si>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</si>
  <si>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</si>
  <si>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</si>
  <si>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</si>
  <si>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</si>
  <si>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</si>
  <si>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</si>
  <si>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</si>
  <si>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</si>
  <si>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</si>
  <si>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</si>
  <si>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</si>
  <si>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</si>
  <si>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</si>
  <si>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</si>
  <si>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</si>
  <si>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</si>
  <si>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</si>
  <si>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</si>
  <si>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</si>
  <si>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</si>
  <si>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</si>
  <si>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</si>
  <si>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</si>
  <si>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</si>
  <si>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</si>
  <si>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</si>
  <si>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</si>
  <si>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</si>
  <si>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</si>
  <si>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</si>
  <si>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</si>
  <si>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</si>
  <si>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</si>
  <si>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</si>
  <si>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</si>
  <si>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</si>
  <si>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</si>
  <si>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</si>
  <si>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</si>
  <si>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</si>
  <si>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</si>
  <si>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</si>
  <si>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</si>
  <si>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</si>
  <si>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</si>
  <si>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</si>
  <si>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</si>
  <si>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</si>
  <si>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</si>
  <si>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</si>
  <si>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</si>
  <si>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</si>
  <si>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</si>
  <si>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</si>
  <si>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</si>
  <si>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</si>
  <si>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</si>
  <si>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</si>
  <si>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</si>
  <si>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</si>
  <si>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</si>
  <si>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</si>
  <si>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</si>
  <si>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</si>
  <si>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</si>
  <si>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</si>
  <si>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</si>
  <si>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</si>
  <si>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</si>
  <si>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</si>
  <si>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</si>
  <si>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</si>
  <si>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</si>
  <si>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</si>
  <si>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</si>
  <si>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</si>
  <si>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</si>
  <si>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</si>
  <si>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</si>
  <si>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</si>
  <si>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</si>
  <si>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</si>
  <si>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</si>
  <si>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</si>
  <si>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</si>
  <si>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</si>
  <si>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</si>
  <si>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</si>
  <si>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</si>
  <si>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</si>
  <si>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</si>
  <si>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</si>
  <si>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</si>
  <si>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</si>
  <si>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</si>
  <si>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</si>
  <si>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</si>
  <si>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</si>
  <si>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</si>
  <si>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</si>
  <si>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</si>
  <si>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</si>
  <si>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</si>
  <si>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</si>
  <si>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</si>
  <si>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</si>
  <si>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</si>
  <si>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</si>
  <si>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</si>
  <si>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</si>
  <si>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</si>
  <si>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</si>
  <si>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</si>
  <si>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</si>
  <si>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</si>
  <si>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</si>
  <si>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</si>
  <si>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</si>
  <si>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</si>
  <si>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</si>
  <si>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</si>
  <si>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</si>
  <si>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</si>
  <si>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</si>
  <si>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</si>
  <si>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</si>
  <si>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</si>
  <si>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</si>
  <si>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</si>
  <si>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</si>
  <si>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</si>
  <si>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</si>
  <si>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</si>
  <si>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</si>
  <si>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</si>
  <si>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</si>
  <si>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</si>
  <si>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</si>
  <si>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</si>
  <si>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</si>
  <si>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</si>
  <si>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</si>
  <si>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</si>
  <si>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</si>
  <si>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</si>
  <si>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</si>
  <si>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</si>
  <si>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</si>
  <si>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</si>
  <si>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</si>
  <si>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</si>
  <si>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</si>
  <si>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</si>
  <si>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</si>
  <si>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</si>
  <si>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</si>
  <si>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</si>
  <si>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</si>
  <si>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</si>
  <si>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</si>
  <si>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</si>
  <si>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</si>
  <si>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</si>
  <si>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</si>
  <si>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</si>
  <si>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</si>
  <si>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</si>
  <si>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</si>
  <si>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</si>
  <si>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</si>
  <si>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</si>
  <si>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</si>
  <si>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</si>
  <si>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</si>
  <si>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</si>
  <si>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</si>
  <si>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</si>
  <si>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</si>
  <si>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</si>
  <si>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</si>
  <si>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</si>
  <si>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</si>
  <si>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</si>
  <si>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</si>
  <si>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</si>
  <si>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</si>
  <si>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</si>
  <si>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</si>
  <si>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</si>
  <si>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</si>
  <si>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</si>
  <si>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</si>
  <si>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</si>
  <si>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</si>
  <si>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</si>
  <si>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</si>
  <si>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</si>
  <si>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</si>
  <si>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</si>
  <si>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</si>
  <si>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</si>
  <si>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</si>
  <si>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</si>
  <si>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</si>
  <si>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</si>
  <si>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</si>
  <si>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</si>
  <si>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</si>
  <si>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</si>
  <si>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</si>
  <si>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</si>
  <si>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</si>
  <si>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</si>
  <si>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</si>
  <si>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</si>
  <si>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</si>
  <si>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</si>
  <si>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</si>
  <si>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</si>
  <si>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</si>
  <si>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</si>
  <si>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</si>
  <si>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</si>
  <si>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</si>
  <si>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</si>
  <si>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</si>
  <si>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</si>
  <si>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</si>
  <si>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</si>
  <si>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</si>
  <si>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</si>
  <si>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</si>
  <si>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</si>
  <si>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</si>
  <si>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</si>
  <si>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</si>
  <si>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</si>
  <si>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</si>
  <si>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</si>
  <si>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</si>
  <si>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</si>
  <si>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</si>
  <si>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</si>
  <si>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</si>
  <si>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</si>
  <si>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</si>
  <si>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</si>
  <si>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</si>
  <si>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</si>
  <si>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</si>
  <si>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</si>
  <si>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</si>
  <si>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</si>
  <si>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</si>
  <si>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</si>
  <si>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</si>
  <si>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</si>
  <si>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</si>
  <si>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</si>
  <si>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</si>
  <si>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</si>
  <si>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</si>
  <si>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</si>
  <si>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</si>
  <si>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</si>
  <si>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</si>
  <si>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</si>
  <si>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</si>
  <si>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</si>
  <si>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</si>
  <si>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</si>
  <si>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</si>
  <si>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</si>
  <si>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</si>
  <si>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</si>
  <si>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</si>
  <si>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</si>
  <si>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</si>
  <si>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</si>
  <si>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</si>
  <si>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</si>
  <si>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</si>
  <si>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</si>
  <si>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</si>
  <si>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</si>
  <si>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</si>
  <si>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</si>
  <si>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</si>
  <si>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</si>
  <si>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</si>
  <si>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</si>
  <si>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</si>
  <si>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</si>
  <si>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</si>
  <si>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</si>
  <si>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</si>
  <si>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</si>
  <si>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</si>
  <si>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</si>
  <si>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</si>
  <si>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</si>
  <si>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</si>
  <si>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</si>
  <si>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</si>
  <si>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</si>
  <si>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</si>
  <si>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</si>
  <si>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</si>
  <si>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</si>
  <si>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</si>
  <si>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</si>
  <si>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</si>
  <si>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</si>
  <si>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</si>
  <si>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</si>
  <si>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</si>
  <si>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</si>
  <si>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</si>
  <si>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</si>
  <si>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</si>
  <si>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</si>
  <si>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</si>
  <si>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</si>
  <si>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</si>
  <si>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</si>
  <si>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</si>
  <si>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</si>
  <si>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</si>
  <si>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</si>
  <si>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</si>
  <si>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</si>
  <si>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</si>
  <si>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</si>
  <si>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</si>
  <si>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</si>
  <si>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</si>
  <si>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</si>
  <si>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</si>
  <si>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</si>
  <si>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</si>
  <si>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</si>
  <si>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</si>
  <si>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</si>
  <si>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</si>
  <si>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</si>
  <si>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</si>
  <si>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</si>
  <si>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</si>
  <si>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</si>
  <si>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</si>
  <si>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</si>
  <si>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</si>
  <si>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</si>
  <si>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</si>
  <si>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</si>
  <si>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</si>
  <si>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</si>
  <si>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</si>
  <si>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</si>
  <si>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</si>
  <si>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</si>
  <si>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</si>
  <si>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</si>
  <si>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</si>
  <si>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</si>
  <si>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</si>
  <si>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</si>
  <si>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</si>
  <si>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</si>
  <si>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</si>
  <si>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</si>
  <si>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</si>
  <si>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</si>
  <si>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</si>
  <si>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</si>
  <si>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</si>
  <si>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</si>
  <si>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</si>
  <si>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</si>
  <si>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</si>
  <si>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</si>
  <si>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</si>
  <si>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</si>
  <si>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</si>
  <si>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</si>
  <si>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</si>
  <si>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</si>
  <si>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</si>
  <si>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</si>
  <si>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</si>
  <si>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</si>
  <si>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</si>
  <si>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</si>
  <si>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</si>
  <si>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</si>
  <si>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</si>
  <si>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</si>
  <si>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</si>
  <si>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</si>
  <si>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</si>
  <si>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</si>
  <si>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</si>
  <si>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</si>
  <si>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</si>
  <si>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</si>
  <si>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</si>
  <si>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</si>
  <si>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</si>
  <si>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</si>
  <si>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</si>
  <si>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</si>
  <si>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</si>
  <si>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</si>
  <si>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</si>
  <si>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</si>
  <si>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</si>
  <si>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</si>
  <si>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</si>
  <si>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</si>
  <si>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</si>
  <si>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</si>
  <si>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</si>
  <si>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</si>
  <si>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</si>
  <si>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</si>
  <si>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</si>
  <si>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</si>
  <si>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</si>
  <si>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</si>
  <si>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</si>
  <si>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</si>
  <si>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</si>
  <si>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</si>
  <si>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</si>
  <si>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</si>
  <si>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</si>
  <si>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</si>
  <si>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</si>
  <si>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</si>
  <si>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</si>
  <si>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</si>
  <si>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</si>
  <si>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</si>
  <si>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</si>
  <si>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</si>
  <si>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</si>
  <si>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</si>
  <si>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</si>
  <si>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</si>
  <si>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</si>
  <si>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</si>
  <si>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</si>
  <si>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</si>
  <si>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</si>
  <si>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</si>
  <si>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</si>
  <si>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</si>
  <si>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</si>
  <si>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</si>
  <si>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</si>
  <si>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</si>
  <si>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</si>
  <si>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</si>
  <si>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</si>
  <si>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</si>
  <si>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</si>
  <si>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</si>
  <si>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</si>
  <si>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</si>
  <si>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</si>
  <si>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</si>
  <si>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</si>
  <si>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</si>
  <si>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</si>
  <si>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</si>
  <si>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</si>
  <si>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</si>
  <si>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</si>
  <si>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</si>
  <si>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</si>
  <si>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</si>
  <si>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</si>
  <si>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</si>
  <si>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</si>
  <si>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</si>
  <si>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</si>
  <si>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</si>
  <si>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</si>
  <si>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</si>
  <si>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</si>
  <si>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</si>
  <si>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</si>
  <si>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</si>
  <si>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</si>
  <si>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</si>
  <si>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</si>
  <si>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</si>
  <si>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</si>
  <si>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</si>
  <si>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</si>
  <si>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</si>
  <si>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</si>
  <si>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</si>
  <si>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</si>
  <si>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</si>
  <si>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</si>
  <si>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</si>
  <si>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</si>
  <si>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</si>
  <si>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</si>
  <si>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</si>
  <si>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</si>
  <si>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</si>
  <si>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</si>
  <si>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</si>
  <si>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</si>
  <si>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</si>
  <si>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</si>
  <si>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</si>
  <si>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</si>
  <si>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</si>
  <si>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</si>
  <si>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</si>
  <si>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</si>
  <si>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</si>
  <si>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</si>
  <si>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</si>
  <si>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</si>
  <si>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</si>
  <si>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</si>
  <si>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</si>
  <si>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</si>
  <si>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</si>
  <si>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</si>
  <si>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</si>
  <si>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</si>
  <si>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</si>
  <si>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</si>
  <si>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</si>
  <si>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</si>
  <si>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</si>
  <si>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</si>
  <si>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</si>
  <si>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</si>
  <si>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</si>
  <si>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</si>
  <si>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</si>
  <si>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</si>
  <si>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</si>
  <si>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</si>
  <si>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</si>
  <si>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</si>
  <si>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</si>
  <si>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</si>
  <si>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</si>
  <si>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</si>
  <si>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</si>
  <si>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</si>
  <si>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</si>
  <si>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</si>
  <si>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</si>
  <si>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</si>
  <si>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</si>
  <si>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</si>
  <si>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</si>
  <si>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</si>
  <si>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</si>
  <si>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</si>
  <si>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</si>
  <si>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</si>
  <si>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</si>
  <si>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</si>
  <si>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</si>
  <si>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</si>
  <si>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</si>
  <si>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</si>
  <si>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</si>
  <si>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</si>
  <si>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</si>
  <si>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</si>
  <si>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</si>
  <si>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</si>
  <si>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</si>
  <si>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</si>
  <si>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</si>
  <si>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</si>
  <si>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</si>
  <si>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</si>
  <si>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</si>
  <si>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</si>
  <si>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</si>
  <si>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</si>
  <si>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</si>
  <si>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</si>
  <si>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</si>
  <si>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</si>
  <si>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</si>
  <si>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</si>
  <si>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</si>
  <si>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</si>
  <si>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</si>
  <si>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</si>
  <si>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</si>
  <si>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</si>
  <si>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</si>
  <si>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</si>
  <si>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</si>
  <si>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</si>
  <si>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</si>
  <si>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</si>
  <si>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</si>
  <si>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</si>
  <si>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</si>
  <si>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</si>
  <si>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</si>
  <si>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</si>
  <si>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</si>
  <si>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</si>
  <si>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</si>
  <si>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</si>
  <si>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</si>
  <si>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</si>
  <si>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</si>
  <si>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</si>
  <si>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</si>
  <si>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</si>
  <si>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</si>
  <si>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</si>
  <si>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</si>
  <si>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</si>
  <si>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</si>
  <si>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</si>
  <si>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</si>
  <si>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</si>
  <si>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</si>
  <si>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</si>
  <si>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</si>
  <si>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</si>
  <si>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</si>
  <si>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</si>
  <si>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</si>
  <si>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</si>
  <si>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</si>
  <si>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</si>
  <si>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</si>
  <si>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</si>
  <si>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</si>
  <si>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</si>
  <si>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</si>
  <si>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</si>
  <si>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</si>
  <si>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</si>
  <si>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</si>
  <si>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</si>
  <si>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</si>
  <si>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</si>
  <si>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</si>
  <si>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</si>
  <si>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</si>
  <si>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</si>
  <si>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</si>
  <si>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</si>
  <si>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</si>
  <si>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</si>
  <si>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</si>
  <si>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</si>
  <si>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</si>
  <si>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</si>
  <si>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</si>
  <si>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</si>
  <si>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</si>
  <si>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</si>
  <si>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</si>
  <si>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</si>
  <si>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</si>
  <si>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</si>
  <si>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</si>
  <si>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</si>
  <si>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</si>
  <si>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</si>
  <si>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</si>
  <si>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</si>
  <si>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</si>
  <si>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</si>
  <si>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</si>
  <si>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</si>
  <si>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</si>
  <si>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</si>
  <si>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</si>
  <si>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</si>
  <si>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</si>
  <si>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</si>
  <si>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</si>
  <si>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</si>
  <si>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</si>
  <si>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</si>
  <si>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</si>
  <si>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</si>
  <si>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</si>
  <si>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</si>
  <si>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</si>
  <si>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</si>
  <si>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 xml:space="preserve">Обеспечение деятельности казенных учреждений 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</si>
  <si>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</si>
  <si>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</si>
  <si>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</si>
  <si>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</si>
  <si>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</si>
  <si>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</si>
  <si>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</si>
  <si>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</si>
  <si>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</si>
  <si>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</si>
  <si>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</si>
  <si>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</si>
  <si>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</si>
  <si>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</si>
  <si>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</si>
  <si>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</si>
  <si>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</si>
  <si>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</si>
  <si>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</si>
  <si>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</si>
  <si>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</si>
  <si>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</si>
  <si>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</si>
  <si>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</si>
  <si>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</si>
  <si>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</si>
  <si>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</si>
  <si>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</si>
  <si>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</si>
  <si>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</si>
  <si>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</si>
  <si>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</si>
  <si>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</si>
  <si>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</si>
  <si>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</si>
  <si>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</si>
  <si>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</si>
  <si>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</si>
  <si>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</si>
  <si>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</si>
  <si>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</si>
  <si>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</si>
  <si>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</si>
  <si>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</si>
  <si>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</si>
  <si>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</si>
  <si>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</si>
  <si>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</si>
  <si>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</si>
  <si>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</si>
  <si>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</si>
  <si>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</si>
  <si>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</si>
  <si>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</si>
  <si>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</si>
  <si>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</si>
  <si>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</si>
  <si>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</si>
  <si>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</si>
  <si>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</si>
  <si>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</si>
  <si>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</si>
  <si>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</si>
  <si>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</si>
  <si>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</si>
  <si>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</si>
  <si>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</si>
  <si>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</si>
  <si>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</si>
  <si>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</si>
  <si>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</si>
  <si>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</si>
  <si>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</si>
  <si>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</si>
  <si>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</si>
  <si>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</si>
  <si>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</si>
  <si>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</si>
  <si>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</si>
  <si>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</si>
  <si>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</si>
  <si>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</si>
  <si>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</si>
  <si>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</si>
  <si>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Укрепление гражданского единства, гармонизация межнациональных отношений, профилактика экстремизма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</si>
  <si>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</si>
  <si>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</si>
  <si>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</si>
  <si>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</si>
  <si>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</si>
  <si>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</si>
  <si>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</si>
  <si>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</si>
  <si>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>Основное мероприятие "Обеспечение деятельности подведомственных  учреждений культуры"</t>
  </si>
  <si>
    <t>58 1 02 01720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</si>
  <si>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</si>
  <si>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</si>
  <si>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</si>
  <si>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</si>
  <si>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</si>
  <si>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</si>
  <si>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</si>
  <si>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</si>
  <si>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</si>
  <si>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</si>
  <si>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</si>
  <si>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</si>
  <si>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</si>
  <si>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</si>
  <si>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</si>
  <si>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</si>
  <si>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</si>
  <si>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</si>
  <si>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</si>
  <si>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</si>
  <si>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</si>
  <si>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</si>
  <si>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</si>
  <si>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</si>
  <si>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</si>
  <si>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</si>
  <si>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</si>
  <si>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</si>
  <si>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</si>
  <si>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</si>
  <si>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</si>
  <si>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</si>
  <si>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</si>
  <si>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</si>
  <si>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</si>
  <si>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</si>
  <si>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</si>
  <si>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</si>
  <si>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</si>
  <si>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</si>
  <si>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</si>
  <si>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"Совершенствование питания учащихся"</t>
  </si>
  <si>
    <t>Основное мероприятие "Питание детей из многодетных семей"</t>
  </si>
  <si>
    <t>Основное мероприятие "Питание детей с ограниченными возможностями здоровья"</t>
  </si>
  <si>
    <t>Основное мероприятие "Развитие учреждений дополнительного образования"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</si>
  <si>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</si>
  <si>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</si>
  <si>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</si>
  <si>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</si>
  <si>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</si>
  <si>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</si>
  <si>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</si>
  <si>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57 1 02 20030</t>
  </si>
  <si>
    <t>57 1 02 20040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</si>
  <si>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</si>
  <si>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</si>
  <si>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</si>
  <si>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</si>
  <si>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</si>
  <si>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</si>
  <si>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</si>
  <si>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</si>
  <si>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</si>
  <si>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</si>
  <si>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</si>
  <si>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</si>
  <si>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</si>
  <si>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</si>
  <si>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</si>
  <si>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</si>
  <si>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</si>
  <si>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</si>
  <si>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</si>
  <si>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</si>
  <si>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</si>
  <si>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</si>
  <si>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</si>
  <si>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</si>
  <si>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</si>
  <si>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</si>
  <si>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</si>
  <si>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</si>
  <si>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</si>
  <si>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</si>
  <si>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</si>
  <si>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</si>
  <si>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</si>
  <si>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</si>
  <si>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</si>
  <si>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</si>
  <si>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</si>
  <si>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</si>
  <si>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</si>
  <si>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</si>
  <si>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</si>
  <si>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54 0 02 73260</t>
  </si>
  <si>
    <t>54 0 02 S3260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</si>
  <si>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</si>
  <si>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</si>
  <si>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</si>
  <si>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</si>
  <si>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</si>
  <si>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</si>
  <si>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</si>
  <si>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</si>
  <si>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</si>
  <si>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</si>
  <si>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</si>
  <si>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</si>
  <si>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</si>
  <si>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</si>
  <si>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</si>
  <si>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</si>
  <si>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</si>
  <si>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</si>
  <si>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</si>
  <si>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</si>
  <si>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</si>
  <si>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</si>
  <si>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</si>
  <si>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</si>
  <si>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</si>
  <si>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</si>
  <si>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66 0 01 00000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</si>
  <si>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</si>
  <si>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</si>
  <si>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</si>
  <si>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</si>
  <si>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</si>
  <si>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</si>
  <si>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2020 год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</si>
  <si>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</si>
  <si>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</si>
  <si>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</si>
  <si>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</si>
  <si>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</si>
  <si>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</si>
  <si>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</si>
  <si>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</si>
  <si>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</si>
  <si>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</si>
  <si>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</si>
  <si>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</si>
  <si>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</si>
  <si>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</si>
  <si>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</si>
  <si>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</si>
  <si>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</si>
  <si>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</si>
  <si>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</si>
  <si>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</si>
  <si>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</si>
  <si>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</si>
  <si>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</si>
  <si>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</si>
  <si>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</si>
  <si>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</si>
  <si>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</si>
  <si>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</si>
  <si>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</si>
  <si>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</si>
  <si>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</si>
  <si>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</si>
  <si>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</si>
  <si>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</si>
  <si>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</si>
  <si>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</si>
  <si>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</si>
  <si>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</si>
  <si>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</si>
  <si>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</si>
  <si>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</si>
  <si>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</si>
  <si>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</si>
  <si>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</si>
  <si>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</si>
  <si>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</si>
  <si>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02 0 02 01750</t>
  </si>
  <si>
    <t xml:space="preserve">01 0 03 51200 </t>
  </si>
  <si>
    <t>63 0 01 01620</t>
  </si>
  <si>
    <t>02 0 02 01110</t>
  </si>
  <si>
    <t>67 0 01 00000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</si>
  <si>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</si>
  <si>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</si>
  <si>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</si>
  <si>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</si>
  <si>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</si>
  <si>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</si>
  <si>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 xml:space="preserve">План на 2021 год </t>
  </si>
  <si>
    <t xml:space="preserve">План на 2022 год 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</si>
  <si>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</si>
  <si>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</si>
  <si>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</si>
  <si>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</si>
  <si>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</si>
  <si>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</si>
  <si>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</si>
  <si>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</si>
  <si>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</si>
  <si>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</si>
  <si>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</si>
  <si>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</si>
  <si>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</si>
  <si>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</si>
  <si>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</si>
  <si>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</si>
  <si>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</si>
  <si>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</si>
  <si>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</si>
  <si>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</si>
  <si>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</si>
  <si>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</si>
  <si>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</si>
  <si>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</si>
  <si>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</si>
  <si>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</si>
  <si>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</si>
  <si>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</si>
  <si>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</si>
  <si>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</si>
  <si>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</si>
  <si>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</si>
  <si>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</si>
  <si>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</si>
  <si>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Плата за размещение отходов производства и потребления</t>
  </si>
  <si>
    <t>2 02 25497 00 0000 151</t>
  </si>
  <si>
    <t>2 02 25511 00 0000 150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</si>
  <si>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</si>
  <si>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</si>
  <si>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</si>
  <si>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</si>
  <si>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</si>
  <si>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</si>
  <si>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</si>
  <si>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</si>
  <si>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</si>
  <si>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</si>
  <si>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</si>
  <si>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</si>
  <si>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</si>
  <si>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>Субсидии бюджетам  на реализацию мероприятий по обеспечению жильем молодых семей</t>
  </si>
  <si>
    <t xml:space="preserve">Поступления доходов в </t>
  </si>
  <si>
    <t>Распределение бюджетных ассигнований</t>
  </si>
  <si>
    <t xml:space="preserve"> по разделам и подразделам классификации </t>
  </si>
  <si>
    <t xml:space="preserve"> по разделам и подразделам классификации</t>
  </si>
  <si>
    <t>Резервные средства</t>
  </si>
  <si>
    <t>02 0 02 99999</t>
  </si>
  <si>
    <t>870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</si>
  <si>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</si>
  <si>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</si>
  <si>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</si>
  <si>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</si>
  <si>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</si>
  <si>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</si>
  <si>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</si>
  <si>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</si>
  <si>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</si>
  <si>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2 02 25519 04 0000 150</t>
  </si>
  <si>
    <t>Субсидия бюджетам городских округов на поддержку отрасли культуры</t>
  </si>
  <si>
    <t>2 02 25519 00 0000 150</t>
  </si>
  <si>
    <t>Субсидия бюджетам  на поддержку отрасли культуры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</si>
  <si>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</si>
  <si>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</si>
  <si>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</si>
  <si>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</si>
  <si>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</si>
  <si>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</si>
  <si>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</si>
  <si>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</si>
  <si>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</si>
  <si>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</si>
  <si>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</si>
  <si>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</si>
  <si>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</si>
  <si>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</si>
  <si>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</si>
  <si>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</si>
  <si>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</si>
  <si>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</si>
  <si>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</si>
  <si>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</si>
  <si>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</si>
  <si>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</si>
  <si>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</si>
  <si>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</si>
  <si>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</si>
  <si>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муниципальной службы Омсукчанского городского округа на 2021-2030 годы"</t>
  </si>
  <si>
    <t>Основное мероприятие "Государственная поддержка отрасли культуры"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</si>
  <si>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</si>
  <si>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</si>
  <si>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</si>
  <si>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</si>
  <si>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</si>
  <si>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</si>
  <si>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</si>
  <si>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</si>
  <si>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</si>
  <si>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</si>
  <si>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</si>
  <si>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</si>
  <si>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</si>
  <si>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</si>
  <si>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</si>
  <si>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</si>
  <si>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</si>
  <si>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Муниципальная программа "Проведение социальной и молодежной политики в Омсукчанском муниципальном  округе" </t>
  </si>
  <si>
    <t>51 4 01 S3240</t>
  </si>
  <si>
    <t>51 3 02 00000</t>
  </si>
  <si>
    <t>51 3 02 S3290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</si>
  <si>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</si>
  <si>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</si>
  <si>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</si>
  <si>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</si>
  <si>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</si>
  <si>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</si>
  <si>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</si>
  <si>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</si>
  <si>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</si>
  <si>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</si>
  <si>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58 0 04 74060</t>
  </si>
  <si>
    <t>58 0 04 74070</t>
  </si>
  <si>
    <t>58 0 A1 00000</t>
  </si>
  <si>
    <t>58 0 A1 55190</t>
  </si>
  <si>
    <t>58 0 05 00000</t>
  </si>
  <si>
    <t>58 0 05 01740</t>
  </si>
  <si>
    <t>58 0 06 00000</t>
  </si>
  <si>
    <t>58 0 06 S3160</t>
  </si>
  <si>
    <t>Основное мероприятие "Создание модельных библиотек" в рамках Федеральной программы "Культура"</t>
  </si>
  <si>
    <t xml:space="preserve">Муниципальная программа "Энергосбережение и повышение энергетической эффективности в Омсукчанском муиципальном  округе" 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</si>
  <si>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</si>
  <si>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</si>
  <si>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</si>
  <si>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</si>
  <si>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</si>
  <si>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</si>
  <si>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</si>
  <si>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</si>
  <si>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</si>
  <si>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</si>
  <si>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</si>
  <si>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</si>
  <si>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>52 0 02 74060</t>
  </si>
  <si>
    <t>52 0 02 74070</t>
  </si>
  <si>
    <t>52 0 02 74120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</si>
  <si>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</si>
  <si>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</si>
  <si>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</si>
  <si>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</si>
  <si>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</si>
  <si>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</si>
  <si>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</si>
  <si>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</si>
  <si>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06 S3С20</t>
  </si>
  <si>
    <t>52 0 06 73С20</t>
  </si>
  <si>
    <t>52 0 10 00000</t>
  </si>
  <si>
    <t>52 0 10 S3420</t>
  </si>
  <si>
    <t>52 0 10 73420</t>
  </si>
  <si>
    <t>52 0 01 12000</t>
  </si>
  <si>
    <t>52 0 02 74050</t>
  </si>
  <si>
    <t>52 0 02 74130</t>
  </si>
  <si>
    <t>Основное мероприятие "Развитие образовательных  учреждений"</t>
  </si>
  <si>
    <t>52 0 03 20060</t>
  </si>
  <si>
    <t>52 0 07 00000</t>
  </si>
  <si>
    <t>52 0 07 S3440</t>
  </si>
  <si>
    <t>52 0 08 00000</t>
  </si>
  <si>
    <t>52 0 08 S3950</t>
  </si>
  <si>
    <t>52 0 05 20070</t>
  </si>
  <si>
    <t>52 0 09 00000</t>
  </si>
  <si>
    <t>52 0 01 13000</t>
  </si>
  <si>
    <t>52 0 04 S3210</t>
  </si>
  <si>
    <t>52 0 04 73210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</si>
  <si>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</si>
  <si>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</si>
  <si>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</si>
  <si>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</si>
  <si>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</si>
  <si>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</si>
  <si>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</si>
  <si>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P5 00000</t>
  </si>
  <si>
    <t>57 0 05 00000</t>
  </si>
  <si>
    <t>57 0 05 01910</t>
  </si>
  <si>
    <t>60 0 01 00000</t>
  </si>
  <si>
    <t>60 0 02 00000</t>
  </si>
  <si>
    <t>60 0 02 01410</t>
  </si>
  <si>
    <t>60 0 02 01420</t>
  </si>
  <si>
    <t>60 0 02 01430</t>
  </si>
  <si>
    <t>60 0 02 01770</t>
  </si>
  <si>
    <t xml:space="preserve">Благоустройство мест  размещения твердых коммунальных  отходов </t>
  </si>
  <si>
    <t>гор.среда</t>
  </si>
  <si>
    <t>кадастр</t>
  </si>
  <si>
    <t>поддержка культуры</t>
  </si>
  <si>
    <t>жилье мол.семье</t>
  </si>
  <si>
    <t>Субсидии на создание модельных библиотек</t>
  </si>
  <si>
    <t>05 00</t>
  </si>
  <si>
    <t>01 13</t>
  </si>
  <si>
    <t>08 01</t>
  </si>
  <si>
    <t>10 03</t>
  </si>
  <si>
    <t>Ведомственная  структура расходов бюджета Омсукчанского городского округа на плановый период 2022-2023 годов</t>
  </si>
  <si>
    <t>План на 2023 год</t>
  </si>
  <si>
    <t>58 0 04 74110</t>
  </si>
  <si>
    <t>Основное мероприятие "Развитие образовательных учреждений"</t>
  </si>
  <si>
    <t xml:space="preserve">Субсидии муниципальным учреждениям спорта на выполнение муниципального задания </t>
  </si>
  <si>
    <t>проставить</t>
  </si>
  <si>
    <t>60 0 03 74190</t>
  </si>
  <si>
    <t>60 0 03 00000</t>
  </si>
  <si>
    <t>51 4 01 73240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</si>
  <si>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</si>
  <si>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</si>
  <si>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</si>
  <si>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</si>
  <si>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</si>
  <si>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Основное мероприятие "Развитие подведомственных  учреждений"</t>
  </si>
  <si>
    <t>Основное мероприятие "Развитие  образовательных учреждений"</t>
  </si>
  <si>
    <t>57 0 03 20070</t>
  </si>
  <si>
    <t xml:space="preserve"> расходов бюджетов Российской Федерации на  2021 год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</si>
  <si>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2022-2023 годов</t>
  </si>
  <si>
    <t xml:space="preserve">План на 2023 год 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</si>
  <si>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</si>
  <si>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</si>
  <si>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</si>
  <si>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58 0 А1 00000</t>
  </si>
  <si>
    <t>58 0 01 01790</t>
  </si>
  <si>
    <t>на плановый период 2022-2023 годов</t>
  </si>
  <si>
    <t xml:space="preserve"> расходов бюджетов Российской Федерации на  плановый период 2022-2023 годов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</si>
  <si>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2021 год</t>
  </si>
  <si>
    <t>Управление культуры, социальной и молодежной политики  администрации Омсукчанского муниципального  округа</t>
  </si>
  <si>
    <t>51 3 01 S3310</t>
  </si>
  <si>
    <t>52 0 03 20010</t>
  </si>
  <si>
    <t>52 0 03 20030</t>
  </si>
  <si>
    <t>52 0 03 20040</t>
  </si>
  <si>
    <t>52 0 E1 00000</t>
  </si>
  <si>
    <t>52 0 E1 51690</t>
  </si>
  <si>
    <t>Администрация Омсукчанского муниципального  округа</t>
  </si>
  <si>
    <t>57 0 02 20030</t>
  </si>
  <si>
    <t>57 0 02 20040</t>
  </si>
  <si>
    <t>57 0 P5 50810</t>
  </si>
  <si>
    <t>Основное мероприятие "Развитие подвдомственных учреждений"</t>
  </si>
  <si>
    <t>60 0 03 74170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</si>
  <si>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2022-2023 годов</t>
  </si>
  <si>
    <t>бюджета Омсукчанского городского округа  на 2021 год</t>
  </si>
  <si>
    <t>52 0 03 20130</t>
  </si>
  <si>
    <t>01 0 02 01010</t>
  </si>
  <si>
    <t>Основное мероприятие "Поддержка спортивных организаций, осуществляющих подготовку спортивного резерва сборных команд Российской Федерации"</t>
  </si>
  <si>
    <t xml:space="preserve">Основное мероприятие "Создание модельных библиотек" </t>
  </si>
  <si>
    <t>мод.библ</t>
  </si>
  <si>
    <t>НП и ФП 2021 год</t>
  </si>
  <si>
    <t>бюджета Омсукчанского городского округа  на 2022-2023 годы</t>
  </si>
  <si>
    <t>Осуществление государственных полномочий по обеспечению отдельных категорий граждан жилыми помещениями</t>
  </si>
  <si>
    <t xml:space="preserve">Муниципальная программа "Развитие малого и среднего предпринимательства в Омсукчанском городском округе" </t>
  </si>
  <si>
    <t>бюджет Омсукчанского городского округа в 2021 году</t>
  </si>
  <si>
    <t>бюджет Омсукчанского городского округа</t>
  </si>
  <si>
    <t xml:space="preserve">Ведомственная  структура расходов бюджета Омсукчанского городского округа на 2021 год </t>
  </si>
  <si>
    <t>Муниципальная программа "Развитие муниципальной службы в Омсукчанском городском округе"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</si>
  <si>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городского округа"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</si>
  <si>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городского округа"</t>
  </si>
  <si>
    <t>Муниципальная программа "Профилактика экстремизма и терроризма на территории Омсукчанского городского округа"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</si>
  <si>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</si>
  <si>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</t>
  </si>
  <si>
    <t xml:space="preserve">Муниципальная программа "Развитие торговли на территории Омсукчанского городского округа"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</si>
  <si>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</si>
  <si>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округа"</t>
  </si>
  <si>
    <t xml:space="preserve">Муниципальная программа "Проведение социальной и молодежной политики в Омсукчанском городском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</si>
  <si>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</si>
  <si>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Муниципальная программа "Формирование доступной среды в Омсукчанском городском округе" </t>
  </si>
  <si>
    <t>Муниципальная программа "Профилактика экстеремизма и терроризма на территории Омсукчанского городского  округа"</t>
  </si>
  <si>
    <t>Муниципальная программа "Развитие культуры в Омсукчанском городском округе"</t>
  </si>
  <si>
    <t>Муниципальная программа "Профилактика экстеремизма и терроризма на территории Омсукчанского городского округа"</t>
  </si>
  <si>
    <t xml:space="preserve">Подпрограмма  "Улучшение демографической ситуации в Омсукчанском городском  округе"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</si>
  <si>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округ" </t>
  </si>
  <si>
    <t xml:space="preserve">Муниципальная программа "Формирование доступной среды в Омсукчанском городском  округе" </t>
  </si>
  <si>
    <t>Муниципальная программа "Развитие  образования в Омсукчанском городском округе"</t>
  </si>
  <si>
    <t xml:space="preserve">Муниципальная программа "Энергосбережение и повышение энергетической эффективности в Омсукчанском городском округе" </t>
  </si>
  <si>
    <t>Муниципальная программа "Развитие образования в Омсукчанском городском округе"</t>
  </si>
  <si>
    <t>Муниципальная программа "Формирование доступной среды в Омсукчанском городском округе"</t>
  </si>
  <si>
    <t>Муниципальная программа "Развитие физической культуры и спорта в Омсукчанском городском  округе"</t>
  </si>
  <si>
    <t>Муниципальная программа "Развитие транспортной инфраструктуры  Омсукчанского городского округа"</t>
  </si>
  <si>
    <t>Муниципальная программа "Благоустройство территории Омсукчанского городского округа"</t>
  </si>
  <si>
    <t>Расходы на обеспечение деятельности председателя представительного органа муниципального образования</t>
  </si>
  <si>
    <t>Муниципальная программа "Развитие муниципальной службы в Омсукчанском городском  округе"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</si>
  <si>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</t>
  </si>
  <si>
    <t xml:space="preserve">Муниципальная программа "Проведение социальной  и молодежной политики в Омсукчанском городском  округе" </t>
  </si>
  <si>
    <t>Муниципальная программа "Развитие культуры в Омсукчанском городском  округе"</t>
  </si>
  <si>
    <t>Управление спорта и туризма администрации Омсукчанского городского  округа</t>
  </si>
  <si>
    <t>Муниципальная программа "Развитие физической культуры и спорта в Омсукчанском городском округе"</t>
  </si>
  <si>
    <t xml:space="preserve">Муниципальная программа "Развитие транспортной инфраструктуры  Омсукчанского городского округа" </t>
  </si>
  <si>
    <t>Собрание представителей Омсукчанского городского  округа</t>
  </si>
  <si>
    <t xml:space="preserve">Муниципальная программа "Проведение социальной и молодежной политики в Омсукчанском городском округе" 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</si>
  <si>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</si>
  <si>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 округа" </t>
  </si>
  <si>
    <t>Муниципальная программа "Развитие торговли на территории Омсукчанского городского округа"</t>
  </si>
  <si>
    <t>Муниципальная программа "Энергосбережение и повышение энергетической эффективности в Омсукчанском городском округе"</t>
  </si>
  <si>
    <t>Муниципальная программа "Развитие  образования в Омсукчанском городском  округе"</t>
  </si>
  <si>
    <t xml:space="preserve">Муниципальная программа "Проведение социальной и молодежной  политики в Омсукчанском городском округе" 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</si>
  <si>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</si>
  <si>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</t>
  </si>
  <si>
    <t xml:space="preserve">Муниципальная программа "Развитие торговли на территории Омсукчанского городского  округа" </t>
  </si>
  <si>
    <t xml:space="preserve">Муниципальная программа "Проведение социальной и молодежнй политики в Омсукчанском городском округе" </t>
  </si>
  <si>
    <t xml:space="preserve">Подпрограмма  "Обеспечение жильем молодых семей в Омсукчанском городском  округе" </t>
  </si>
  <si>
    <t>Муниципальная программа "Развитие малого и среднего предпринимательства в Омсукчанском городском  округе"</t>
  </si>
  <si>
    <t>Комитет по управлению муниципальным имуществом администрации Омсукчанского  городского округа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</si>
  <si>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</si>
  <si>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</si>
  <si>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</si>
  <si>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2 02 45303 04 0000150</t>
  </si>
  <si>
    <t>52 0 02 74010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</si>
  <si>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</si>
  <si>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</si>
  <si>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</si>
  <si>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 xml:space="preserve">Муниципальная программа "Развитие транспортной инфраструктуры Омсукчанского городского округа" </t>
  </si>
  <si>
    <t>Муниципальная программа "Проведение социальной и молодежной политики в Омсукчанском городском округе"</t>
  </si>
  <si>
    <t xml:space="preserve">Подпрограмма "Обеспечение жильем молодых семей в Омсукчанском городском округе" </t>
  </si>
  <si>
    <t xml:space="preserve">Подпрограмма "Комплексные меры по поддержке малочисленных народов Севера, проживающих на территории Омсукчанского городского округа" </t>
  </si>
  <si>
    <t>Реставрация редких национальных экспонатов-костюмов, украшений</t>
  </si>
  <si>
    <t>Основное мероприятие "Поддержка отдельных категорий граждан"</t>
  </si>
  <si>
    <t>Резервный фонд</t>
  </si>
  <si>
    <t>01 0 01 01020</t>
  </si>
  <si>
    <t>57 0 04 74010</t>
  </si>
  <si>
    <t>58 0 04 74010</t>
  </si>
  <si>
    <t>52 0 11 00000</t>
  </si>
  <si>
    <t>Основное мероприятие "Организация бесплатного горячего питания обучающихся"</t>
  </si>
  <si>
    <t>Основное мероприятие "Поддержка молодых специалистов  учреждений социальной сферы"</t>
  </si>
  <si>
    <t>Резервные фонды</t>
  </si>
  <si>
    <t>горячее питание</t>
  </si>
  <si>
    <t>07 02</t>
  </si>
  <si>
    <t>гор.питание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</si>
  <si>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</si>
  <si>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Условно-утверждаемые расходы</t>
  </si>
  <si>
    <t>Условно утвержденные расходы</t>
  </si>
  <si>
    <t>условные расходы</t>
  </si>
  <si>
    <t>52 0 12 00000</t>
  </si>
  <si>
    <t>Целевые субсидии на приобретение школьного автобуса</t>
  </si>
  <si>
    <t>было</t>
  </si>
  <si>
    <t>52 0 12 S3150</t>
  </si>
  <si>
    <t>60 0 02 01390</t>
  </si>
  <si>
    <t>60 0 01 L5760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</si>
  <si>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</t>
  </si>
  <si>
    <t xml:space="preserve"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</si>
  <si>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</si>
  <si>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</si>
  <si>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 xml:space="preserve">Питание детей-инвалидов, детей с ограниченными возможностями здоровья </t>
  </si>
  <si>
    <t>52 0 09 S3443</t>
  </si>
  <si>
    <t>52 0 09 73443</t>
  </si>
  <si>
    <t>развитие сельских территорий</t>
  </si>
  <si>
    <t>05 03</t>
  </si>
  <si>
    <t>Основное мероприятие "Приобретение школьного автобуса"</t>
  </si>
  <si>
    <t>60 0 02 01280</t>
  </si>
  <si>
    <t>Основное мероприятие "Мероприятия, направленные на комплексное развитие сельских территорий"</t>
  </si>
  <si>
    <t>Обеспечение комплексного развития сельских территорий</t>
  </si>
  <si>
    <t>Мероприятия по организации сбора, вывоза несанкционированных свалок</t>
  </si>
  <si>
    <t>Основное мероприятие "Прочие мероприятия по благоустройству территории поселениц"</t>
  </si>
  <si>
    <t xml:space="preserve">Муниципальная программа "Энергосбережение и повышение энергетической эффективности в Омсукчанском городском  округе" </t>
  </si>
  <si>
    <t>1 12 01040 01 0000 120</t>
  </si>
  <si>
    <t>оценка МФ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</si>
  <si>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</si>
  <si>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</si>
  <si>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2 02 25576 00 0000 150</t>
  </si>
  <si>
    <t>2 02 25576 04 0000 150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</si>
  <si>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</si>
  <si>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</si>
  <si>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</si>
  <si>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</t>
  </si>
  <si>
    <t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</si>
  <si>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Магаданской области»</t>
  </si>
  <si>
    <t>в рамках подпрограммы «Управление развитием отрасли физической культуры и спорта» государственной программы Магаданской области «Развитие физической культуры и спорта в Магаданской области»</t>
  </si>
  <si>
    <t>Распределения ассигнований, направляемых на исполнение публичных нормативных обязательств на плановый период 2022-2023 годов</t>
  </si>
  <si>
    <t xml:space="preserve">52 0 11 L3040 </t>
  </si>
  <si>
    <t>Основное мероприятие "Прочие мероприятия по благоустройству территории поселений"</t>
  </si>
  <si>
    <t>2 02 15002 00 0000 150</t>
  </si>
  <si>
    <t>Дотации бюджетам 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</si>
  <si>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</si>
  <si>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</si>
  <si>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2 02 25081 00 0000 150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</si>
  <si>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</si>
  <si>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</si>
  <si>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</si>
  <si>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</si>
  <si>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2 02 25097 00 0000 150
</t>
  </si>
  <si>
    <t xml:space="preserve">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</si>
  <si>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</si>
  <si>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Основное мероприятие "Создание условий для занятий физической культурой и спортом"</t>
  </si>
  <si>
    <t>52 0 E2 00000</t>
  </si>
  <si>
    <t>52 0 E2 50970</t>
  </si>
  <si>
    <t xml:space="preserve">2 02 25210 00 0000 150
</t>
  </si>
  <si>
    <t xml:space="preserve">2 02 25210 04 0000 150
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</si>
  <si>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</si>
  <si>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</si>
  <si>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 0 E4 00000</t>
  </si>
  <si>
    <t>52 0 E4 52100</t>
  </si>
  <si>
    <t>Основное мероприятие "Цифровая образовательная среда"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</si>
  <si>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</si>
  <si>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</si>
  <si>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</si>
  <si>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</si>
  <si>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>ремонт спортзала</t>
  </si>
  <si>
    <t>МТБ в школах</t>
  </si>
  <si>
    <t>поддержка спорта</t>
  </si>
  <si>
    <t>11 01</t>
  </si>
  <si>
    <t>58 0 01 S3У10</t>
  </si>
  <si>
    <t>обл/б+фед</t>
  </si>
  <si>
    <t>Цифровая среда</t>
  </si>
  <si>
    <t>Обеспечение гарантированного комплектования фондов муниципальных библиотек</t>
  </si>
  <si>
    <t>библиотеч.дело</t>
  </si>
  <si>
    <t>организация отдыха детей</t>
  </si>
  <si>
    <t>07 07</t>
  </si>
  <si>
    <t>совершенств.питания</t>
  </si>
  <si>
    <t>приобр.автобуса</t>
  </si>
  <si>
    <t>питание многодет.</t>
  </si>
  <si>
    <t>уход за детьми инвалидами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</si>
  <si>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</si>
  <si>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</si>
  <si>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уход за детьми, родители которых КМНС</t>
  </si>
  <si>
    <t xml:space="preserve">07 01 </t>
  </si>
  <si>
    <t>питание детей инвалидов</t>
  </si>
  <si>
    <t>повышение оплаты труда указы</t>
  </si>
  <si>
    <t>07 03 ЦДО</t>
  </si>
  <si>
    <t>0703 ДШИ</t>
  </si>
  <si>
    <t>ярмарки</t>
  </si>
  <si>
    <t>до.образ.</t>
  </si>
  <si>
    <t>04 05</t>
  </si>
  <si>
    <t>01 02</t>
  </si>
  <si>
    <t>Укрепление материально-технической базы муниципальных предприятий, муниципальных сельскохозяйственных предприятий,крестьянско-фермерских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</si>
  <si>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родовые общины</t>
  </si>
  <si>
    <t>04 12</t>
  </si>
  <si>
    <t>род.общины</t>
  </si>
  <si>
    <t>52 0 01 S3У10</t>
  </si>
  <si>
    <t xml:space="preserve">Обеспечение оплаты труда отдельным категориям работников </t>
  </si>
  <si>
    <t>Целевые субсидии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дошкольного образования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</si>
  <si>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</si>
  <si>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Поступление доходов в </t>
  </si>
  <si>
    <t xml:space="preserve">                 от 21.12.2020г. № 24</t>
  </si>
  <si>
    <t xml:space="preserve">                 к решению СПОГО</t>
  </si>
  <si>
    <t xml:space="preserve">               Приложение № 1.1</t>
  </si>
  <si>
    <t xml:space="preserve">            от 21.12.2020г. № 24</t>
  </si>
  <si>
    <t xml:space="preserve">          к решению СПОГО</t>
  </si>
  <si>
    <t xml:space="preserve">         Приложение № 4.1.</t>
  </si>
  <si>
    <t xml:space="preserve">         Приложение № 5.1.</t>
  </si>
  <si>
    <t xml:space="preserve">                к решению СПОГО</t>
  </si>
  <si>
    <t xml:space="preserve">               Приложение № 6.1.</t>
  </si>
  <si>
    <t xml:space="preserve">          к решению СПОГО </t>
  </si>
  <si>
    <t xml:space="preserve">        Приложение № 7.1.</t>
  </si>
  <si>
    <t>Распределения бюджетных ассигнований, направляемых на исполнение публичных нормативных обязательств на 2021 год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</si>
  <si>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</si>
  <si>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</si>
  <si>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</si>
  <si>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Проведение комплексных кадастровых работ </t>
  </si>
  <si>
    <t>Муниципальная программа "Комплексное развитие  систем коммунальной инфраструктуры Омсукчанского городского округа на 2019-203 годы"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</si>
  <si>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</si>
  <si>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Муниципальная программа "Комплексное развитие  систем коммунальной инфраструктуры Омсукчанского городского округа на 2019- 2023 годы"</t>
  </si>
  <si>
    <t xml:space="preserve">Муниципальная программа "Чистая вода Омсукчанского городского округа на 2020-2024 годы"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</si>
  <si>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 на 2017-2021 годы" 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</si>
  <si>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</si>
  <si>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2018-2022 годы" </t>
  </si>
  <si>
    <t>Основное мероприятие "Проведение ремонта водозабора в п.Омсукчан"</t>
  </si>
  <si>
    <t>Итого</t>
  </si>
  <si>
    <t>Иные выплаты населению</t>
  </si>
  <si>
    <t xml:space="preserve"> Социальное обеспечение и иные выплаты населению</t>
  </si>
  <si>
    <t>360</t>
  </si>
  <si>
    <t>1 03 02231 01 0000 110</t>
  </si>
  <si>
    <t xml:space="preserve">1 03 02241 01 0000 110 </t>
  </si>
  <si>
    <t xml:space="preserve">1 03 02251 01 0000 110 </t>
  </si>
  <si>
    <t>субсидии областного бюджета</t>
  </si>
  <si>
    <t>переселение</t>
  </si>
  <si>
    <t>поддержка предпринимательства</t>
  </si>
  <si>
    <t xml:space="preserve">04 12 </t>
  </si>
  <si>
    <t>укрепение гражд.единства</t>
  </si>
  <si>
    <t>(НП и ФЦП) 2022 год</t>
  </si>
  <si>
    <t>НП и ФЦП 2023 год</t>
  </si>
  <si>
    <t>субсидии (S) на 2022год</t>
  </si>
  <si>
    <t>субсидии (S) 2023 год</t>
  </si>
  <si>
    <t>поддержка предприним.</t>
  </si>
  <si>
    <t>укрепление гражд.единства</t>
  </si>
  <si>
    <t xml:space="preserve"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
в Магаданской области» на 2021 год
</t>
  </si>
  <si>
    <t>Субсидии бюджетам городских округов округов 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2021 год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</si>
  <si>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2021 год
</t>
  </si>
  <si>
    <t>Субсидии бюджетам городских округов на совершенствование питания учащихся в общеобразовательных организациях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</si>
  <si>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приобретение школьных автобусов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</si>
  <si>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</si>
  <si>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2021 год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</si>
  <si>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
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</si>
  <si>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</si>
  <si>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
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</si>
  <si>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</si>
  <si>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</si>
  <si>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</si>
  <si>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</si>
  <si>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
«Управление развитием отрасли образования в Магаданской области» государственной программы Магаданской области «Развитие образования в
Магаданской области» на 2021 год
</t>
  </si>
  <si>
    <t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</si>
  <si>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на 2021 год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</si>
  <si>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2021 год
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</si>
  <si>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</si>
  <si>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государственной программы Магаданской области «Развитие культуры и туризма Магаданской области» на 2021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</si>
  <si>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на 2021 год</t>
  </si>
  <si>
    <t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в 2021 году</t>
  </si>
  <si>
    <t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</si>
  <si>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2021 год (работники учреждений образования)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</si>
  <si>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</si>
  <si>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
на плановый период 2022 и 2023 годов
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</si>
  <si>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</si>
  <si>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</si>
  <si>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 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</si>
  <si>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а также лицам из числа детей-сирот, детей, оставшихся без попечения родителей, благоустроенными жилыми помещениями специализированного жилищного фонда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</si>
  <si>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на плановый период 2022 и 2023 годов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</si>
  <si>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плановый период 2022 и 2023 годов:
</t>
  </si>
  <si>
    <t>на осуществление государственных полномочий по организации и осуществлению деятельности органов опеки и попечительства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</si>
  <si>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</si>
  <si>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</si>
  <si>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плановый период 2022 и 2023 годов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</si>
  <si>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на плановый период 2022 и 2023 годов
</t>
  </si>
  <si>
    <t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</si>
  <si>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возмещение расходов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плановый период 2022 и 2023 годов</t>
  </si>
  <si>
    <t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плановый период 2022 и 2023 годов</t>
  </si>
  <si>
    <t xml:space="preserve">Субсидии бюджетам городских округов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плановый период 2022 и 2023 годов
</t>
  </si>
  <si>
    <t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</si>
  <si>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Субсидии бюджетам городских округов на совершенствование питания учащихся в общеобразовательных организациях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</si>
  <si>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</si>
  <si>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плановый период 2022 и 2023 годов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</si>
  <si>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плановый период 2022 и 2023 годов
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</si>
  <si>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</si>
  <si>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</si>
  <si>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>Субсидии бюджетам городских округов 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плановый период 2022 и 2023 годов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</si>
  <si>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</si>
  <si>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</si>
  <si>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</si>
  <si>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</si>
  <si>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112 01040 01 0000 120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</si>
  <si>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2018-2024 годы" </t>
  </si>
  <si>
    <t>2 03 04099 04 0000 150</t>
  </si>
  <si>
    <t xml:space="preserve">Прочие безвозмездные поступления от государственных (муниципальных) организаций в бюджеты городских округов
</t>
  </si>
  <si>
    <t>2 03 00000 00 0000 000</t>
  </si>
  <si>
    <t>Восстановление и модернизация муниципального имущества в городских округах Магаданской области</t>
  </si>
  <si>
    <t>02 0 02 S1110</t>
  </si>
  <si>
    <t>Субсидий бюджетам городских округов  на реализацию мероприятия "Восстановление и модернизация муниципального имущества в городских округах магаданской области"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 "Обеспечение качественными жилищно-коммунальными услугами и комфортными условиями проживания населения Магаданской области"
 на 2021 год</t>
  </si>
  <si>
    <t xml:space="preserve"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 в рамках подпрограммы "Гармонизациямежнациональных отношений, этнокультурное развитие народов и профилактика экстремистских проявлений в Магаданской области" 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2021 год
</t>
  </si>
  <si>
    <t>2 03 04000 04 0000 150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</si>
  <si>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</si>
  <si>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</si>
  <si>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Приложение № 3</t>
  </si>
  <si>
    <t>Основное мероприятие "Реконструкция и капитальный ремонт общеобразовательных организаций"</t>
  </si>
  <si>
    <t>52 0 14 00000</t>
  </si>
  <si>
    <t>52 0 14 S3100</t>
  </si>
  <si>
    <t>Субсидии бюджетам городских округов на осуществление мероприятий по реконструкции и капитальному ремонту общеобразовательных организаций</t>
  </si>
  <si>
    <t>Мероприятия по поддержке социально ориентированных некоммерческих организаций</t>
  </si>
  <si>
    <t xml:space="preserve">поддержка соц.ориентир.неком.организаций </t>
  </si>
  <si>
    <t>реконстр. и кап.рем.общеобраз.организаций ООШ)</t>
  </si>
  <si>
    <t>Восстановление и модернизация муниципального имущества</t>
  </si>
  <si>
    <t>05 01</t>
  </si>
  <si>
    <t>Основное мероприятие "Обеспечение пожарной безопасности"</t>
  </si>
  <si>
    <t>64 0 04 00000</t>
  </si>
  <si>
    <t>64 0 04 01250</t>
  </si>
  <si>
    <t xml:space="preserve">2 02 45160 00 0000 150
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</si>
  <si>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</si>
  <si>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2 02 45160 04 0000 150
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</si>
  <si>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
</t>
  </si>
  <si>
    <t>Основное мероприятие "Антитеррористическая защищенность образовательных организаций"</t>
  </si>
  <si>
    <t>Повышение уровня антитеррористической защищенности образовательных организаций</t>
  </si>
  <si>
    <t>52 0 15 00000</t>
  </si>
  <si>
    <t>52 0 15 S3230</t>
  </si>
  <si>
    <t>Антеррерорист.защищенность</t>
  </si>
  <si>
    <t>Основное мероприятие "Обустройство автогородсков в дошкольных образовательных организациях"</t>
  </si>
  <si>
    <t>Осуществление мероприятий по обустройству автогородков в дошкольных образовательных организациях</t>
  </si>
  <si>
    <t>52 0 16 S3480</t>
  </si>
  <si>
    <t>52 0 16 00000</t>
  </si>
  <si>
    <t>Автогородки</t>
  </si>
  <si>
    <t>Субсидии бюджетам городских округов на реализацию мероприятий по поддержке социально ориентированных некоммерческих организаций</t>
  </si>
  <si>
    <t>Субсидии бюджетам городских округов  на обустройство автогородков в дошкольных образовательных организациях</t>
  </si>
  <si>
    <t>Субсидии бюджетам городских округов  на повышение уровня антитеррористической защищенности образовательных организаций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</si>
  <si>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 </t>
  </si>
  <si>
    <t>Муниципальная программа "Профилактика правонарушений и обеспечение общественной безопасности на территории Омсукчанского городского  округа" на 2019-2021 годы"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</si>
  <si>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</si>
  <si>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реализацию программ формирования современной городской среды</t>
  </si>
  <si>
    <t>2 02 45303 04 0000 150</t>
  </si>
  <si>
    <t>Основное мероприятие "Расходы за счет средств резервного фонда"</t>
  </si>
  <si>
    <t>Осуществление расходов за счет средств резервного фонда Правительства Магаданской области для поощрения победителей ежегодного областного конкурса</t>
  </si>
  <si>
    <t>58 0 07 00000</t>
  </si>
  <si>
    <t>58 0 07 17010</t>
  </si>
  <si>
    <t xml:space="preserve">Мероприятия по ликвидации несанкционированных свалок </t>
  </si>
  <si>
    <t>Основное мероприятие "Ликвидация несанкционированных  свалок"</t>
  </si>
  <si>
    <t>60 0 04 00000</t>
  </si>
  <si>
    <t>60 0 04 S3П08</t>
  </si>
  <si>
    <t>Ликвидация свалок</t>
  </si>
  <si>
    <t>Субсидии бюджетам городских округов  на ликвидацию несанкционированных свалок на территории городских округов Магаданской области</t>
  </si>
  <si>
    <t>51 4 01 S3280</t>
  </si>
  <si>
    <t>Специальные расходы</t>
  </si>
  <si>
    <t>880</t>
  </si>
  <si>
    <t>Мероприятия по оборудованию квартир отдельных категорий граждан автономными пожарными извещателями</t>
  </si>
  <si>
    <t>64 0 04 S0720</t>
  </si>
  <si>
    <t>Обор.граждан пожар.извещателями</t>
  </si>
  <si>
    <t>03 10</t>
  </si>
  <si>
    <t>Субсидии бюджетам муниципальных образований на реализацию мероприятий по оборудованию квартир отдельных категорий граждан автономными пожарными извещателями</t>
  </si>
  <si>
    <t>02 0 02 17010</t>
  </si>
  <si>
    <t>Мероприятия по новогоднему оформлению территории за счет средств резервного фонда Правительства Магаданской области</t>
  </si>
  <si>
    <t>проверка</t>
  </si>
  <si>
    <t>дефицит 35839 (свободный остаток м/б 31 - экономия по кадастр.работам)</t>
  </si>
  <si>
    <t>57 0 06 00000</t>
  </si>
  <si>
    <t>57 0 06 S3080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</si>
  <si>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</si>
  <si>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Возмещение расходов по коммунальным услугам физкультурно-оздоровительным и спортивным комплексам</t>
  </si>
  <si>
    <t>возмещ комун услуг ФОК</t>
  </si>
  <si>
    <t>Формирование и увеличение уставного фонда предприятий жилищно-коммунального хозяйства</t>
  </si>
  <si>
    <t>02 0 02 01960</t>
  </si>
  <si>
    <t>Субсидии бюджетам городских округов  на возмещение расходов по коммунальным услугам физкультурно-оздоровительным и спортивным комплексам</t>
  </si>
  <si>
    <t>Бюджетные инвестиции иным юридическим лицам</t>
  </si>
  <si>
    <t>450</t>
  </si>
  <si>
    <t>11 05</t>
  </si>
  <si>
    <t>60 0 05 00000</t>
  </si>
  <si>
    <t>Инициативный проект "Благоустройство дворовой территории п.Омсукчан по ул. Октябрьская (дома 4,6,6а)"</t>
  </si>
  <si>
    <t>60 0 05 S1214</t>
  </si>
  <si>
    <t>Основное мероприятие "Реализация инициативных проектов в области благоустройства"</t>
  </si>
  <si>
    <t>Субсидии бюджетам городских округов на реализацию инициативных проектов</t>
  </si>
  <si>
    <t>инициативный проект</t>
  </si>
  <si>
    <t>Основное мероприятие "Синхронизация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сетей"</t>
  </si>
  <si>
    <t>65 0 01 00000</t>
  </si>
  <si>
    <t>65 0 01 S2160</t>
  </si>
  <si>
    <t>синхронизация с НЦ Городская среда</t>
  </si>
  <si>
    <t xml:space="preserve">Субсидии бюджетам городских округов на синхронизацию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 </t>
  </si>
  <si>
    <t>60 0 05 S2140</t>
  </si>
  <si>
    <t>57 0 02 20100</t>
  </si>
  <si>
    <t>Субсидии бюджетам городских округов 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</si>
  <si>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</si>
  <si>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</si>
  <si>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</si>
  <si>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</si>
  <si>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</si>
  <si>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</si>
  <si>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1 12 01 040 01 00000 120</t>
  </si>
  <si>
    <t xml:space="preserve">Субсидии бюджетам городских округов на реализацию мероприятий подпрограммы "Развитие библиотечного дела Магаданской области" государственной программы Магаданской области "Развитие  культуры в Магаданской области" 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</si>
  <si>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</si>
  <si>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</t>
  </si>
  <si>
    <t xml:space="preserve">Субсидии бюджетам городских округов на  организацию отдыха и оздоровления детей в лагерях дневного пребывания </t>
  </si>
  <si>
    <t>Субсидии бюджетам городских округов на реализацию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</t>
  </si>
  <si>
    <t xml:space="preserve">Субсидии бюджетам городских округов на совершенствование питания учащихся в общеобразовательных организациях </t>
  </si>
  <si>
    <t xml:space="preserve">Субсидии бюджетам городских округов на организацию и проведение областных универсальных совместных ярмарок 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</si>
  <si>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</si>
  <si>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</si>
  <si>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 xml:space="preserve">Субсидии бюджетам городских округов на питание детей-инвалидов, детей с ограниченными возможностями здоровья 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</si>
  <si>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</si>
  <si>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 xml:space="preserve">Субвенции бюджетам городских округов на финансовое обеспечение муниципальных дошкольных организаций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</si>
  <si>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</si>
  <si>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</si>
  <si>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 несовершеннолетних и защите их прав 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</si>
  <si>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</si>
  <si>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</si>
  <si>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</si>
  <si>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</si>
  <si>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</si>
  <si>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</si>
  <si>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</t>
  </si>
  <si>
    <t xml:space="preserve"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детям,оставшимся без попечения родителей, лицам из их числа
по договорам найма специализированных жилых помещений </t>
  </si>
  <si>
    <t xml:space="preserve"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</t>
  </si>
  <si>
    <t xml:space="preserve"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</si>
  <si>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>Субсидии на софинансирование расходов бюджетов городских округов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детей,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 на 2021 год</t>
  </si>
  <si>
    <t>Основное мероприятие"Обеспечение персонифицированного финансирования дополнительного образования детей"</t>
  </si>
  <si>
    <t>52 0 17 00000</t>
  </si>
  <si>
    <t>52 0 17 20180</t>
  </si>
  <si>
    <t xml:space="preserve">Субсидии автономным учреждениям
</t>
  </si>
  <si>
    <t>620</t>
  </si>
  <si>
    <t>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</t>
  </si>
  <si>
    <t>Муниципальное казенное учреждение "Контрольно- счетная палата Омсукчанского городского округа"</t>
  </si>
  <si>
    <t>Контрольно-счетный орган муниципального образования</t>
  </si>
  <si>
    <t>01 0 04 00000</t>
  </si>
  <si>
    <t>Расходы на обеспечение деятельности муниципальных должностей контрольно-счетной палаты муниципального образования</t>
  </si>
  <si>
    <t>01 0 04 01040</t>
  </si>
  <si>
    <t>01 0 04 01030</t>
  </si>
  <si>
    <t>58 0 A1 5454F</t>
  </si>
  <si>
    <t>Создание модельных муниципальных библиотек за счет резервного фонда Правительства Российской Федерации</t>
  </si>
  <si>
    <t>2 02 45454 00 0000 150</t>
  </si>
  <si>
    <t xml:space="preserve">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</si>
  <si>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</si>
  <si>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Межбюджетные трансферты, передаваемые бюджетам на создание модельных муниципальных библиотек</t>
  </si>
  <si>
    <t>Обеспечение  персонифицированного финансирования дополнительного образования детей</t>
  </si>
  <si>
    <t>Мероприятия в сфере молодежной политики</t>
  </si>
  <si>
    <t>51 1 02 S3444</t>
  </si>
  <si>
    <t xml:space="preserve">Прочие межбюджетные трансферты, передаваемые бюджетам городских округов
</t>
  </si>
  <si>
    <t>Субсидии бюджетам городских округов Магаданской области на реализацию мероприятий в сфере молодежной политики</t>
  </si>
  <si>
    <t>Субсидии бюджетам городских округов на модернизацию и реконструкцию объектов инженерной и коммунальной инфраструктуры в населенных пунктах Магаданской области в 2021 году</t>
  </si>
  <si>
    <t>Модернизация и реконструкция объектов инженерной и коммунальной инфраструктуры в населенных пунктах Магаданской области</t>
  </si>
  <si>
    <t>62 0 08 00000</t>
  </si>
  <si>
    <t>Основное мероприятие "Подготовка к осенне-зимнему отопительному сезону"</t>
  </si>
  <si>
    <t>62 0 08 S2310</t>
  </si>
  <si>
    <t>Расходы на повышение оплаты труда работников муниципальных казенных, бюджетных, автономных учреждений</t>
  </si>
  <si>
    <t>58 0 01 72104</t>
  </si>
  <si>
    <t>111</t>
  </si>
  <si>
    <t>119</t>
  </si>
  <si>
    <t>52 0 01 72104</t>
  </si>
  <si>
    <t>57 0 01 72104</t>
  </si>
  <si>
    <t>Итого ОСОК</t>
  </si>
  <si>
    <t>Итого СШ</t>
  </si>
  <si>
    <t xml:space="preserve">Итого ФОК </t>
  </si>
  <si>
    <t>611 (0ЗП)</t>
  </si>
  <si>
    <t>611(0НЧ)</t>
  </si>
  <si>
    <t>Итого ОЭЦ</t>
  </si>
  <si>
    <t>Всего</t>
  </si>
  <si>
    <t>Итого ДШИ</t>
  </si>
  <si>
    <t>Итого редакция</t>
  </si>
  <si>
    <t>Итого ЦДО</t>
  </si>
  <si>
    <t>02 0 01 72104</t>
  </si>
  <si>
    <t>Поощрение за достижение наилучших показателей деятельности органов местного самоуправления</t>
  </si>
  <si>
    <t>01 0 02 72200</t>
  </si>
  <si>
    <t>02 0 03 72200</t>
  </si>
  <si>
    <t>02 0 04 72200</t>
  </si>
  <si>
    <t>02 0 05 72200</t>
  </si>
  <si>
    <t>01 0 04 72200</t>
  </si>
  <si>
    <t>01 0 01 72200</t>
  </si>
  <si>
    <t>первон.бюджет</t>
  </si>
  <si>
    <t>(+1306,2)</t>
  </si>
  <si>
    <t>молодежная политика</t>
  </si>
  <si>
    <t>0707</t>
  </si>
  <si>
    <t>Приложение № 2</t>
  </si>
  <si>
    <t xml:space="preserve">         Приложение № 2.1.</t>
  </si>
  <si>
    <t xml:space="preserve">         Приложение № 3.1.</t>
  </si>
  <si>
    <t xml:space="preserve">               Приложение № 4.1.</t>
  </si>
  <si>
    <t>Приложение № 6.1.</t>
  </si>
  <si>
    <t xml:space="preserve"> </t>
  </si>
  <si>
    <t xml:space="preserve">от 27.12.2021г. № 55 </t>
  </si>
  <si>
    <t xml:space="preserve">                                                                                                                                  к решению СПОГО</t>
  </si>
  <si>
    <t xml:space="preserve">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</si>
  <si>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от 27.12.2021г. № 55 </t>
  </si>
  <si>
    <t xml:space="preserve">                  от 27.12.2021г. № 55</t>
  </si>
  <si>
    <t xml:space="preserve">               Приложение № 1.1.</t>
  </si>
  <si>
    <t xml:space="preserve">от 27.12.2021г. № 55       </t>
  </si>
  <si>
    <t xml:space="preserve">           от 27.12.2021г. № 55</t>
  </si>
  <si>
    <t>от 27.12.2021г. № 55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</si>
  <si>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2021 год</t>
  </si>
  <si>
    <t xml:space="preserve">            от 27.12.2021г. № 55  </t>
  </si>
  <si>
    <t xml:space="preserve">                          к решению СПОГО</t>
  </si>
  <si>
    <t xml:space="preserve">                          Приложение № 4</t>
  </si>
  <si>
    <t xml:space="preserve">                          от 27.12.2021г. № 55 </t>
  </si>
  <si>
    <t xml:space="preserve">                 от 27.12.2021г. № 55 </t>
  </si>
  <si>
    <t xml:space="preserve">        Приложение № 5.1.</t>
  </si>
  <si>
    <t>____________________</t>
  </si>
  <si>
    <t xml:space="preserve">                                                                               от 27.12.2021г. № 55</t>
  </si>
  <si>
    <t xml:space="preserve">                                                                         Приложение № 7</t>
  </si>
  <si>
    <t xml:space="preserve">                                                                              к решению СПОГО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</si>
</sst>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  <numFmt numFmtId="169" formatCode="#,##0.00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164" fontId="15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44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/>
    <xf numFmtId="0" fontId="3" fillId="0" borderId="0" xfId="1" applyFont="1" applyFill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2" xfId="1" applyFont="1" applyFill="1" applyBorder="1" applyAlignment="1">
      <alignment horizontal="justify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horizontal="left" vertical="center"/>
    </xf>
    <xf numFmtId="165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2" fillId="0" borderId="0" xfId="1" applyFont="1" applyFill="1"/>
    <xf numFmtId="0" fontId="3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3" fillId="0" borderId="2" xfId="0" applyFont="1" applyBorder="1"/>
    <xf numFmtId="0" fontId="17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9" fillId="0" borderId="1" xfId="0" applyFont="1" applyBorder="1" applyAlignment="1">
      <alignment horizontal="right"/>
    </xf>
    <xf numFmtId="0" fontId="20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5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2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2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15" xfId="1" applyNumberFormat="1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2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2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2" fillId="6" borderId="2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 wrapText="1"/>
    </xf>
    <xf numFmtId="165" fontId="2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2" fillId="6" borderId="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165" fontId="2" fillId="7" borderId="2" xfId="1" applyNumberFormat="1" applyFont="1" applyFill="1" applyBorder="1" applyAlignment="1">
      <alignment horizontal="center" vertical="center" wrapText="1"/>
    </xf>
    <xf numFmtId="165" fontId="2" fillId="8" borderId="2" xfId="1" applyNumberFormat="1" applyFont="1" applyFill="1" applyBorder="1" applyAlignment="1">
      <alignment horizontal="center" vertical="center"/>
    </xf>
    <xf numFmtId="0" fontId="2" fillId="7" borderId="2" xfId="1" applyFont="1" applyFill="1" applyBorder="1" applyAlignment="1">
      <alignment vertical="center" wrapText="1"/>
    </xf>
    <xf numFmtId="49" fontId="2" fillId="0" borderId="9" xfId="1" applyNumberFormat="1" applyFont="1" applyFill="1" applyBorder="1" applyAlignment="1">
      <alignment horizontal="left" vertical="center"/>
    </xf>
    <xf numFmtId="165" fontId="2" fillId="7" borderId="2" xfId="1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" fillId="0" borderId="2" xfId="0" applyFont="1" applyFill="1" applyBorder="1" applyAlignment="1">
      <alignment horizontal="left" vertical="top" wrapText="1"/>
    </xf>
    <xf numFmtId="165" fontId="28" fillId="0" borderId="0" xfId="0" applyNumberFormat="1" applyFont="1" applyFill="1"/>
    <xf numFmtId="0" fontId="21" fillId="0" borderId="2" xfId="0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165" fontId="2" fillId="0" borderId="1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top" wrapText="1"/>
    </xf>
    <xf numFmtId="0" fontId="32" fillId="0" borderId="0" xfId="0" applyFont="1"/>
    <xf numFmtId="0" fontId="13" fillId="0" borderId="0" xfId="0" applyNumberFormat="1" applyFont="1" applyFill="1" applyAlignment="1">
      <alignment horizontal="right"/>
    </xf>
    <xf numFmtId="49" fontId="3" fillId="0" borderId="2" xfId="1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left" vertical="top" wrapText="1"/>
    </xf>
    <xf numFmtId="0" fontId="9" fillId="0" borderId="0" xfId="1" applyNumberFormat="1" applyFill="1"/>
    <xf numFmtId="49" fontId="2" fillId="0" borderId="2" xfId="1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/>
    <xf numFmtId="165" fontId="32" fillId="0" borderId="0" xfId="0" applyNumberFormat="1" applyFont="1" applyFill="1"/>
    <xf numFmtId="0" fontId="33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65" fontId="1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2" fillId="0" borderId="0" xfId="0" applyFont="1" applyFill="1"/>
    <xf numFmtId="0" fontId="0" fillId="0" borderId="0" xfId="0" applyNumberFormat="1" applyFill="1" applyAlignment="1">
      <alignment horizontal="center" vertical="center"/>
    </xf>
    <xf numFmtId="4" fontId="13" fillId="2" borderId="0" xfId="1" applyNumberFormat="1" applyFont="1" applyFill="1" applyAlignment="1">
      <alignment horizont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vertical="top" wrapText="1"/>
    </xf>
    <xf numFmtId="0" fontId="34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3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11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11" fillId="0" borderId="8" xfId="0" applyFont="1" applyFill="1" applyBorder="1" applyAlignment="1">
      <alignment vertical="center" wrapText="1"/>
    </xf>
    <xf numFmtId="4" fontId="0" fillId="0" borderId="0" xfId="0" applyNumberFormat="1"/>
    <xf numFmtId="4" fontId="16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18" fillId="0" borderId="2" xfId="0" applyFont="1" applyFill="1" applyBorder="1"/>
    <xf numFmtId="0" fontId="16" fillId="0" borderId="0" xfId="0" applyFont="1" applyFill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35" fillId="0" borderId="3" xfId="0" applyFont="1" applyFill="1" applyBorder="1" applyAlignment="1">
      <alignment horizontal="right" wrapText="1"/>
    </xf>
    <xf numFmtId="0" fontId="3" fillId="0" borderId="0" xfId="1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0" fillId="7" borderId="0" xfId="0" applyFill="1"/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36" fillId="0" borderId="2" xfId="0" applyFont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36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65" fontId="2" fillId="0" borderId="8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vertical="center" wrapText="1"/>
    </xf>
    <xf numFmtId="49" fontId="2" fillId="7" borderId="2" xfId="1" applyNumberFormat="1" applyFont="1" applyFill="1" applyBorder="1" applyAlignment="1">
      <alignment horizontal="center" vertical="center"/>
    </xf>
    <xf numFmtId="0" fontId="2" fillId="7" borderId="8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vertical="center" wrapText="1"/>
    </xf>
    <xf numFmtId="0" fontId="3" fillId="7" borderId="8" xfId="0" applyNumberFormat="1" applyFont="1" applyFill="1" applyBorder="1" applyAlignment="1">
      <alignment horizontal="center" vertical="center" wrapText="1"/>
    </xf>
    <xf numFmtId="0" fontId="36" fillId="7" borderId="3" xfId="0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2" fontId="0" fillId="10" borderId="0" xfId="0" applyNumberFormat="1" applyFill="1"/>
    <xf numFmtId="0" fontId="2" fillId="7" borderId="2" xfId="0" applyFont="1" applyFill="1" applyBorder="1" applyAlignment="1">
      <alignment horizontal="left" vertical="center" wrapText="1"/>
    </xf>
    <xf numFmtId="4" fontId="30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165" fontId="36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2" fontId="36" fillId="0" borderId="0" xfId="0" applyNumberFormat="1" applyFont="1" applyFill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2" fontId="2" fillId="0" borderId="0" xfId="1" applyNumberFormat="1" applyFont="1" applyFill="1" applyAlignment="1">
      <alignment horizontal="center" vertical="center"/>
    </xf>
    <xf numFmtId="0" fontId="2" fillId="0" borderId="11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166" fontId="11" fillId="0" borderId="3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" fontId="43" fillId="0" borderId="2" xfId="0" applyNumberFormat="1" applyFont="1" applyBorder="1" applyAlignment="1">
      <alignment horizontal="center" vertical="center"/>
    </xf>
    <xf numFmtId="4" fontId="44" fillId="1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right" vertical="top" wrapText="1"/>
    </xf>
    <xf numFmtId="0" fontId="45" fillId="1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0" fontId="0" fillId="11" borderId="2" xfId="0" applyFill="1" applyBorder="1" applyAlignment="1">
      <alignment horizontal="center"/>
    </xf>
    <xf numFmtId="0" fontId="45" fillId="11" borderId="2" xfId="0" applyFont="1" applyFill="1" applyBorder="1" applyAlignment="1">
      <alignment horizontal="center" vertical="center" wrapText="1"/>
    </xf>
    <xf numFmtId="166" fontId="11" fillId="0" borderId="8" xfId="0" applyNumberFormat="1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vertical="center" wrapText="1"/>
    </xf>
    <xf numFmtId="0" fontId="36" fillId="0" borderId="16" xfId="0" applyFont="1" applyFill="1" applyBorder="1" applyAlignment="1">
      <alignment horizontal="left" vertical="center" wrapText="1"/>
    </xf>
    <xf numFmtId="165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/>
    <xf numFmtId="0" fontId="27" fillId="0" borderId="0" xfId="0" applyNumberFormat="1" applyFont="1" applyFill="1"/>
    <xf numFmtId="165" fontId="27" fillId="0" borderId="0" xfId="0" applyNumberFormat="1" applyFont="1" applyFill="1"/>
    <xf numFmtId="0" fontId="27" fillId="0" borderId="0" xfId="0" applyFont="1"/>
    <xf numFmtId="4" fontId="27" fillId="0" borderId="0" xfId="0" applyNumberFormat="1" applyFont="1"/>
    <xf numFmtId="2" fontId="26" fillId="0" borderId="0" xfId="0" applyNumberFormat="1" applyFont="1" applyFill="1" applyAlignment="1">
      <alignment horizontal="center" vertical="center"/>
    </xf>
    <xf numFmtId="2" fontId="26" fillId="0" borderId="0" xfId="1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4" fontId="28" fillId="0" borderId="0" xfId="0" applyNumberFormat="1" applyFont="1"/>
    <xf numFmtId="2" fontId="46" fillId="0" borderId="0" xfId="0" applyNumberFormat="1" applyFont="1" applyFill="1" applyAlignment="1">
      <alignment horizontal="center" vertical="center"/>
    </xf>
    <xf numFmtId="4" fontId="47" fillId="0" borderId="0" xfId="0" applyNumberFormat="1" applyFont="1"/>
    <xf numFmtId="0" fontId="47" fillId="0" borderId="0" xfId="0" applyFont="1"/>
    <xf numFmtId="165" fontId="12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 wrapText="1"/>
    </xf>
    <xf numFmtId="165" fontId="12" fillId="0" borderId="8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6" fillId="0" borderId="2" xfId="0" applyFont="1" applyBorder="1" applyAlignment="1">
      <alignment horizontal="left" wrapText="1"/>
    </xf>
    <xf numFmtId="0" fontId="0" fillId="0" borderId="2" xfId="0" applyFill="1" applyBorder="1"/>
    <xf numFmtId="4" fontId="0" fillId="11" borderId="2" xfId="0" applyNumberForma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3" fillId="0" borderId="3" xfId="0" applyFont="1" applyFill="1" applyBorder="1" applyAlignment="1">
      <alignment vertical="center" wrapText="1"/>
    </xf>
    <xf numFmtId="0" fontId="45" fillId="13" borderId="2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36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4" fontId="9" fillId="0" borderId="0" xfId="1" applyNumberFormat="1" applyFill="1"/>
    <xf numFmtId="0" fontId="45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165" fontId="13" fillId="0" borderId="2" xfId="1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Alignment="1">
      <alignment horizontal="center"/>
    </xf>
    <xf numFmtId="165" fontId="2" fillId="3" borderId="8" xfId="0" applyNumberFormat="1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2" xfId="2" applyNumberFormat="1" applyFont="1" applyFill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6" fillId="0" borderId="2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5" fontId="13" fillId="0" borderId="0" xfId="1" applyNumberFormat="1" applyFont="1" applyFill="1" applyAlignment="1">
      <alignment horizontal="center"/>
    </xf>
    <xf numFmtId="165" fontId="14" fillId="0" borderId="0" xfId="1" applyNumberFormat="1" applyFont="1" applyFill="1"/>
    <xf numFmtId="0" fontId="13" fillId="0" borderId="0" xfId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165" fontId="9" fillId="0" borderId="0" xfId="1" applyNumberFormat="1" applyFill="1" applyAlignment="1">
      <alignment horizontal="center"/>
    </xf>
    <xf numFmtId="165" fontId="8" fillId="0" borderId="0" xfId="1" applyNumberFormat="1" applyFont="1" applyFill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165" fontId="29" fillId="0" borderId="2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Alignment="1">
      <alignment horizont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wrapText="1"/>
    </xf>
    <xf numFmtId="0" fontId="2" fillId="7" borderId="2" xfId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7" borderId="2" xfId="1" applyFont="1" applyFill="1" applyBorder="1" applyAlignment="1">
      <alignment vertical="center" wrapText="1"/>
    </xf>
    <xf numFmtId="4" fontId="0" fillId="12" borderId="2" xfId="0" applyNumberFormat="1" applyFill="1" applyBorder="1" applyAlignment="1">
      <alignment horizontal="center"/>
    </xf>
    <xf numFmtId="165" fontId="16" fillId="0" borderId="2" xfId="0" applyNumberFormat="1" applyFont="1" applyFill="1" applyBorder="1" applyAlignment="1">
      <alignment horizontal="center" vertical="center" wrapText="1"/>
    </xf>
    <xf numFmtId="165" fontId="30" fillId="0" borderId="2" xfId="0" applyNumberFormat="1" applyFont="1" applyBorder="1" applyAlignment="1">
      <alignment horizontal="center" vertical="center"/>
    </xf>
    <xf numFmtId="165" fontId="30" fillId="0" borderId="2" xfId="0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5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0" fillId="13" borderId="2" xfId="0" applyNumberFormat="1" applyFill="1" applyBorder="1" applyAlignment="1">
      <alignment horizontal="center"/>
    </xf>
    <xf numFmtId="0" fontId="27" fillId="13" borderId="2" xfId="0" applyFont="1" applyFill="1" applyBorder="1" applyAlignment="1">
      <alignment horizontal="center"/>
    </xf>
    <xf numFmtId="49" fontId="0" fillId="0" borderId="0" xfId="0" applyNumberFormat="1" applyFill="1"/>
    <xf numFmtId="0" fontId="45" fillId="14" borderId="2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/>
    </xf>
    <xf numFmtId="0" fontId="0" fillId="0" borderId="0" xfId="0" applyBorder="1" applyAlignment="1"/>
    <xf numFmtId="0" fontId="0" fillId="11" borderId="2" xfId="0" applyFill="1" applyBorder="1"/>
    <xf numFmtId="4" fontId="0" fillId="14" borderId="2" xfId="0" applyNumberFormat="1" applyFill="1" applyBorder="1" applyAlignment="1">
      <alignment horizontal="center"/>
    </xf>
    <xf numFmtId="0" fontId="0" fillId="14" borderId="2" xfId="0" applyFill="1" applyBorder="1"/>
    <xf numFmtId="49" fontId="0" fillId="0" borderId="2" xfId="0" applyNumberFormat="1" applyFill="1" applyBorder="1" applyAlignment="1">
      <alignment horizontal="center"/>
    </xf>
    <xf numFmtId="4" fontId="0" fillId="12" borderId="2" xfId="0" applyNumberFormat="1" applyFill="1" applyBorder="1"/>
    <xf numFmtId="0" fontId="2" fillId="0" borderId="0" xfId="0" applyNumberFormat="1" applyFont="1" applyFill="1" applyAlignment="1">
      <alignment horizontal="left" vertical="top" wrapText="1"/>
    </xf>
    <xf numFmtId="0" fontId="48" fillId="0" borderId="3" xfId="0" applyFont="1" applyFill="1" applyBorder="1" applyAlignment="1">
      <alignment horizontal="right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48" fillId="0" borderId="3" xfId="0" applyNumberFormat="1" applyFont="1" applyFill="1" applyBorder="1" applyAlignment="1">
      <alignment horizontal="left" vertical="top" wrapText="1"/>
    </xf>
    <xf numFmtId="0" fontId="0" fillId="0" borderId="13" xfId="0" applyFill="1" applyBorder="1"/>
    <xf numFmtId="0" fontId="3" fillId="0" borderId="11" xfId="0" applyNumberFormat="1" applyFont="1" applyFill="1" applyBorder="1" applyAlignment="1">
      <alignment horizontal="center" wrapText="1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48" fillId="0" borderId="2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/>
    <xf numFmtId="165" fontId="2" fillId="0" borderId="2" xfId="0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0" fontId="9" fillId="0" borderId="0" xfId="1" applyNumberFormat="1" applyFill="1"/>
    <xf numFmtId="2" fontId="26" fillId="0" borderId="0" xfId="1" applyNumberFormat="1" applyFont="1" applyFill="1" applyAlignment="1">
      <alignment horizontal="center" vertical="center"/>
    </xf>
    <xf numFmtId="2" fontId="32" fillId="0" borderId="0" xfId="0" applyNumberFormat="1" applyFont="1" applyFill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/>
    <xf numFmtId="4" fontId="0" fillId="0" borderId="17" xfId="0" applyNumberFormat="1" applyFill="1" applyBorder="1"/>
    <xf numFmtId="4" fontId="0" fillId="0" borderId="14" xfId="0" applyNumberFormat="1" applyFill="1" applyBorder="1"/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/>
    <xf numFmtId="16" fontId="0" fillId="0" borderId="8" xfId="0" applyNumberFormat="1" applyFill="1" applyBorder="1"/>
    <xf numFmtId="16" fontId="0" fillId="0" borderId="11" xfId="0" applyNumberFormat="1" applyFill="1" applyBorder="1"/>
    <xf numFmtId="0" fontId="45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9" fontId="19" fillId="0" borderId="9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14" xfId="0" applyFill="1" applyBorder="1"/>
    <xf numFmtId="16" fontId="0" fillId="0" borderId="12" xfId="0" applyNumberFormat="1" applyFill="1" applyBorder="1"/>
    <xf numFmtId="16" fontId="0" fillId="0" borderId="15" xfId="0" applyNumberFormat="1" applyFill="1" applyBorder="1"/>
    <xf numFmtId="0" fontId="0" fillId="0" borderId="0" xfId="0"/>
    <xf numFmtId="165" fontId="3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0" xfId="0" applyFill="1" applyBorder="1"/>
    <xf numFmtId="49" fontId="2" fillId="0" borderId="9" xfId="1" applyNumberFormat="1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0" fillId="15" borderId="19" xfId="0" applyFill="1" applyBorder="1"/>
    <xf numFmtId="0" fontId="0" fillId="15" borderId="18" xfId="0" applyFill="1" applyBorder="1"/>
    <xf numFmtId="0" fontId="0" fillId="0" borderId="0" xfId="0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 vertical="center"/>
    </xf>
    <xf numFmtId="0" fontId="11" fillId="0" borderId="0" xfId="0" applyFont="1" applyFill="1" applyBorder="1"/>
    <xf numFmtId="0" fontId="0" fillId="15" borderId="0" xfId="0" applyFill="1"/>
    <xf numFmtId="168" fontId="0" fillId="12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" fillId="0" borderId="11" xfId="1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" fontId="0" fillId="0" borderId="16" xfId="0" applyNumberFormat="1" applyFill="1" applyBorder="1"/>
    <xf numFmtId="0" fontId="0" fillId="0" borderId="19" xfId="0" applyFill="1" applyBorder="1"/>
    <xf numFmtId="0" fontId="33" fillId="0" borderId="0" xfId="0" applyFont="1" applyFill="1" applyBorder="1"/>
    <xf numFmtId="49" fontId="2" fillId="0" borderId="8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1" applyNumberFormat="1" applyFont="1" applyFill="1"/>
    <xf numFmtId="49" fontId="2" fillId="2" borderId="8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14" fontId="0" fillId="0" borderId="0" xfId="0" applyNumberFormat="1" applyFill="1"/>
    <xf numFmtId="14" fontId="2" fillId="0" borderId="9" xfId="1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/>
    <xf numFmtId="14" fontId="2" fillId="0" borderId="15" xfId="1" applyNumberFormat="1" applyFont="1" applyFill="1" applyBorder="1" applyAlignment="1">
      <alignment horizontal="left" vertical="center"/>
    </xf>
    <xf numFmtId="14" fontId="0" fillId="0" borderId="18" xfId="0" applyNumberFormat="1" applyFill="1" applyBorder="1"/>
    <xf numFmtId="14" fontId="0" fillId="0" borderId="11" xfId="0" applyNumberFormat="1" applyFill="1" applyBorder="1"/>
    <xf numFmtId="14" fontId="0" fillId="0" borderId="1" xfId="0" applyNumberFormat="1" applyFill="1" applyBorder="1"/>
    <xf numFmtId="14" fontId="0" fillId="0" borderId="0" xfId="0" applyNumberFormat="1" applyFill="1" applyBorder="1" applyAlignment="1">
      <alignment horizontal="right"/>
    </xf>
    <xf numFmtId="14" fontId="2" fillId="0" borderId="9" xfId="1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right"/>
    </xf>
    <xf numFmtId="16" fontId="0" fillId="0" borderId="0" xfId="0" applyNumberFormat="1" applyFill="1"/>
    <xf numFmtId="14" fontId="1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165" fontId="19" fillId="0" borderId="0" xfId="1" applyNumberFormat="1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49" fontId="19" fillId="0" borderId="9" xfId="1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horizontal="left" vertical="center" wrapText="1"/>
    </xf>
    <xf numFmtId="49" fontId="19" fillId="0" borderId="0" xfId="1" applyNumberFormat="1" applyFont="1" applyFill="1" applyBorder="1" applyAlignment="1">
      <alignment horizontal="left" vertical="center"/>
    </xf>
    <xf numFmtId="49" fontId="19" fillId="0" borderId="15" xfId="1" applyNumberFormat="1" applyFont="1" applyFill="1" applyBorder="1" applyAlignment="1">
      <alignment horizontal="left" vertical="center"/>
    </xf>
    <xf numFmtId="4" fontId="19" fillId="0" borderId="0" xfId="1" applyNumberFormat="1" applyFont="1" applyFill="1" applyBorder="1" applyAlignment="1">
      <alignment horizontal="left" vertical="center" wrapText="1"/>
    </xf>
    <xf numFmtId="165" fontId="49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 vertical="top"/>
    </xf>
    <xf numFmtId="17" fontId="49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4" fontId="49" fillId="0" borderId="0" xfId="0" applyNumberFormat="1" applyFont="1" applyFill="1" applyAlignment="1">
      <alignment horizontal="left"/>
    </xf>
    <xf numFmtId="165" fontId="49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right"/>
    </xf>
    <xf numFmtId="0" fontId="2" fillId="0" borderId="8" xfId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50" fillId="13" borderId="2" xfId="0" applyFont="1" applyFill="1" applyBorder="1" applyAlignment="1">
      <alignment horizontal="center" vertical="center" wrapText="1"/>
    </xf>
    <xf numFmtId="4" fontId="27" fillId="12" borderId="2" xfId="0" applyNumberFormat="1" applyFont="1" applyFill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0" fillId="0" borderId="17" xfId="0" applyNumberFormat="1" applyFill="1" applyBorder="1"/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49" fillId="2" borderId="0" xfId="0" applyFont="1" applyFill="1" applyBorder="1" applyAlignment="1">
      <alignment horizontal="left"/>
    </xf>
    <xf numFmtId="0" fontId="0" fillId="2" borderId="0" xfId="0" applyFill="1" applyBorder="1"/>
    <xf numFmtId="14" fontId="0" fillId="2" borderId="0" xfId="0" applyNumberFormat="1" applyFill="1" applyBorder="1"/>
    <xf numFmtId="0" fontId="0" fillId="2" borderId="0" xfId="0" applyFill="1"/>
    <xf numFmtId="0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32" fillId="0" borderId="0" xfId="0" applyNumberFormat="1" applyFont="1" applyFill="1" applyAlignment="1">
      <alignment horizontal="right" vertical="center"/>
    </xf>
    <xf numFmtId="0" fontId="2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9" fillId="0" borderId="0" xfId="1" applyNumberFormat="1" applyFill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right"/>
    </xf>
    <xf numFmtId="0" fontId="11" fillId="0" borderId="0" xfId="0" applyFont="1"/>
    <xf numFmtId="4" fontId="11" fillId="0" borderId="2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/>
    <xf numFmtId="4" fontId="11" fillId="0" borderId="0" xfId="0" applyNumberFormat="1" applyFont="1"/>
    <xf numFmtId="165" fontId="2" fillId="0" borderId="8" xfId="1" applyNumberFormat="1" applyFont="1" applyFill="1" applyBorder="1" applyAlignment="1" applyProtection="1">
      <alignment horizontal="center" vertical="center" shrinkToFit="1"/>
      <protection locked="0"/>
    </xf>
    <xf numFmtId="165" fontId="11" fillId="0" borderId="2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165" fontId="42" fillId="0" borderId="0" xfId="0" applyNumberFormat="1" applyFont="1" applyFill="1"/>
    <xf numFmtId="0" fontId="2" fillId="0" borderId="8" xfId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28" fillId="0" borderId="0" xfId="0" applyNumberFormat="1" applyFont="1" applyFill="1"/>
    <xf numFmtId="0" fontId="3" fillId="0" borderId="5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28" fillId="0" borderId="0" xfId="0" applyFont="1"/>
    <xf numFmtId="165" fontId="27" fillId="0" borderId="0" xfId="0" applyNumberFormat="1" applyFont="1"/>
    <xf numFmtId="0" fontId="2" fillId="0" borderId="3" xfId="0" applyFont="1" applyFill="1" applyBorder="1" applyAlignment="1">
      <alignment vertical="center" wrapText="1"/>
    </xf>
    <xf numFmtId="165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169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horizontal="right" vertical="center"/>
    </xf>
    <xf numFmtId="169" fontId="0" fillId="0" borderId="0" xfId="0" applyNumberFormat="1" applyFill="1"/>
    <xf numFmtId="165" fontId="28" fillId="0" borderId="0" xfId="0" applyNumberFormat="1" applyFont="1"/>
    <xf numFmtId="0" fontId="2" fillId="0" borderId="8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/>
    <xf numFmtId="0" fontId="3" fillId="0" borderId="2" xfId="0" applyFont="1" applyFill="1" applyBorder="1" applyAlignment="1">
      <alignment horizontal="left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0" fontId="2" fillId="0" borderId="11" xfId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5" fillId="13" borderId="3" xfId="0" applyFont="1" applyFill="1" applyBorder="1" applyAlignment="1">
      <alignment horizontal="center" vertical="center" wrapText="1"/>
    </xf>
    <xf numFmtId="0" fontId="45" fillId="13" borderId="10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165" fontId="2" fillId="0" borderId="0" xfId="1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1" fillId="0" borderId="2" xfId="0" applyFont="1" applyBorder="1" applyAlignment="1">
      <alignment horizontal="left" wrapText="1"/>
    </xf>
    <xf numFmtId="165" fontId="2" fillId="0" borderId="0" xfId="1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fino-lichman\&#1041;&#1102;&#1076;&#1078;&#1077;&#1090;%20&#1085;&#1072;%202021%20&#1075;&#1086;&#1076;\&#1041;&#1102;&#1076;&#1078;&#1077;&#1090;%202021&#1075;\&#1059;&#1090;&#1086;&#1095;&#1085;&#1077;&#1085;&#1080;&#1077;%20&#1073;&#1102;&#1076;&#1078;&#1077;&#1090;&#1072;\&#1059;&#1090;&#1086;&#1095;&#1085;&#1077;&#1085;&#1080;&#1077;%20&#1092;&#1077;&#1074;&#1088;&#1072;&#1083;&#1100;\&#1055;&#1088;&#1080;&#1083;&#1086;&#1078;&#1077;&#1085;&#1080;&#1103;%20&#1082;%20&#1088;&#1077;&#1096;&#1077;&#1085;&#1080;&#1102;%20%20&#1057;&#1055;&#1054;&#1043;&#1054;%20&#1085;&#1072;%202021-2023%20&#1075;&#1086;&#1076;%20(&#1091;&#1090;-&#1077;%20&#1092;&#1077;&#1074;&#1088;&#1072;&#1083;&#11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1дох.21"/>
      <sheetName val="Пр.1.1. дох.22-23"/>
      <sheetName val="пр.3 Рд,пр 21"/>
      <sheetName val="пр.4.1. рдпр 22-23"/>
      <sheetName val="Пр.4 Рд,пр, ЦС,ВР 21"/>
      <sheetName val="пр.5.1.рдпрцс 22-23"/>
      <sheetName val="Пр.5 ведом.21"/>
      <sheetName val="Прил.№5 ведомств.старая"/>
      <sheetName val="пр.6.1.ведом.22-23"/>
      <sheetName val="пр.6 МП 21"/>
      <sheetName val="прил.№6 МП старая"/>
      <sheetName val="пр.7.1.МП 22-23"/>
      <sheetName val="пр.8 публ. 21"/>
      <sheetName val="пр.8.1.публ.22-23"/>
      <sheetName val="пр.7 ист-ки 21"/>
      <sheetName val="пр.8.1.ист-ки 22-23 "/>
    </sheetNames>
    <sheetDataSet>
      <sheetData sheetId="0">
        <row r="126">
          <cell r="C126">
            <v>2185</v>
          </cell>
        </row>
        <row r="130">
          <cell r="C130">
            <v>2829.1</v>
          </cell>
        </row>
        <row r="132">
          <cell r="C132">
            <v>341.4</v>
          </cell>
        </row>
        <row r="134">
          <cell r="C134">
            <v>1334.3</v>
          </cell>
        </row>
      </sheetData>
      <sheetData sheetId="1"/>
      <sheetData sheetId="2">
        <row r="18">
          <cell r="D18">
            <v>0</v>
          </cell>
        </row>
      </sheetData>
      <sheetData sheetId="3" refreshError="1"/>
      <sheetData sheetId="4"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69">
          <cell r="F269">
            <v>0</v>
          </cell>
        </row>
        <row r="270">
          <cell r="F270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29">
          <cell r="F329">
            <v>0</v>
          </cell>
        </row>
        <row r="330">
          <cell r="F330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6">
          <cell r="F366">
            <v>0</v>
          </cell>
        </row>
        <row r="367">
          <cell r="F367">
            <v>0</v>
          </cell>
        </row>
        <row r="368">
          <cell r="F368">
            <v>0</v>
          </cell>
        </row>
        <row r="370">
          <cell r="F370">
            <v>0</v>
          </cell>
        </row>
        <row r="371">
          <cell r="F371">
            <v>0</v>
          </cell>
        </row>
        <row r="372">
          <cell r="F372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0</v>
          </cell>
        </row>
        <row r="400">
          <cell r="F400">
            <v>0</v>
          </cell>
        </row>
        <row r="401">
          <cell r="F401">
            <v>0</v>
          </cell>
        </row>
        <row r="402">
          <cell r="F402">
            <v>0</v>
          </cell>
        </row>
        <row r="423">
          <cell r="F423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56">
          <cell r="F656">
            <v>0</v>
          </cell>
        </row>
        <row r="657">
          <cell r="F657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753">
          <cell r="F753">
            <v>983</v>
          </cell>
        </row>
        <row r="754">
          <cell r="F754">
            <v>983</v>
          </cell>
        </row>
        <row r="800">
          <cell r="F800">
            <v>0</v>
          </cell>
        </row>
        <row r="801">
          <cell r="F801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</sheetData>
      <sheetData sheetId="5"/>
      <sheetData sheetId="6">
        <row r="47">
          <cell r="G47">
            <v>40.5</v>
          </cell>
        </row>
        <row r="99">
          <cell r="G99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99">
          <cell r="G299">
            <v>0</v>
          </cell>
        </row>
        <row r="300">
          <cell r="G300">
            <v>0</v>
          </cell>
        </row>
        <row r="332">
          <cell r="G332">
            <v>0</v>
          </cell>
        </row>
        <row r="333">
          <cell r="G333">
            <v>0</v>
          </cell>
        </row>
        <row r="334">
          <cell r="G334">
            <v>0</v>
          </cell>
        </row>
        <row r="408">
          <cell r="G408">
            <v>0</v>
          </cell>
        </row>
        <row r="409">
          <cell r="G409">
            <v>0</v>
          </cell>
        </row>
        <row r="456">
          <cell r="G456">
            <v>420</v>
          </cell>
        </row>
        <row r="504">
          <cell r="G504">
            <v>0</v>
          </cell>
        </row>
        <row r="505">
          <cell r="G505">
            <v>0</v>
          </cell>
        </row>
        <row r="506">
          <cell r="G506">
            <v>0</v>
          </cell>
        </row>
        <row r="557">
          <cell r="G557">
            <v>0</v>
          </cell>
        </row>
        <row r="558">
          <cell r="G558">
            <v>0</v>
          </cell>
        </row>
        <row r="559">
          <cell r="G559">
            <v>0</v>
          </cell>
        </row>
        <row r="560">
          <cell r="G560">
            <v>0</v>
          </cell>
        </row>
        <row r="561">
          <cell r="G561">
            <v>0</v>
          </cell>
        </row>
        <row r="562">
          <cell r="G562">
            <v>0</v>
          </cell>
        </row>
        <row r="567">
          <cell r="G567">
            <v>0</v>
          </cell>
        </row>
        <row r="568">
          <cell r="G568">
            <v>0</v>
          </cell>
        </row>
        <row r="569">
          <cell r="G569">
            <v>0</v>
          </cell>
        </row>
        <row r="623">
          <cell r="G623">
            <v>0</v>
          </cell>
        </row>
        <row r="624">
          <cell r="G624">
            <v>0</v>
          </cell>
        </row>
        <row r="625">
          <cell r="G625">
            <v>0</v>
          </cell>
        </row>
        <row r="626">
          <cell r="G626">
            <v>0</v>
          </cell>
        </row>
        <row r="627">
          <cell r="G627">
            <v>0</v>
          </cell>
        </row>
        <row r="628">
          <cell r="G628">
            <v>0</v>
          </cell>
        </row>
        <row r="629">
          <cell r="G629">
            <v>0</v>
          </cell>
        </row>
        <row r="630">
          <cell r="G630">
            <v>0</v>
          </cell>
        </row>
        <row r="631">
          <cell r="G631">
            <v>0</v>
          </cell>
        </row>
        <row r="636">
          <cell r="G636">
            <v>0</v>
          </cell>
        </row>
        <row r="637">
          <cell r="G637">
            <v>0</v>
          </cell>
        </row>
        <row r="638">
          <cell r="G638">
            <v>0</v>
          </cell>
        </row>
        <row r="700">
          <cell r="G700">
            <v>0</v>
          </cell>
        </row>
        <row r="701">
          <cell r="G701">
            <v>0</v>
          </cell>
        </row>
        <row r="702">
          <cell r="G702">
            <v>0</v>
          </cell>
        </row>
        <row r="761">
          <cell r="G761">
            <v>0</v>
          </cell>
        </row>
        <row r="762">
          <cell r="G762">
            <v>0</v>
          </cell>
        </row>
        <row r="763">
          <cell r="G763">
            <v>0</v>
          </cell>
        </row>
        <row r="771">
          <cell r="G771">
            <v>0</v>
          </cell>
        </row>
        <row r="772">
          <cell r="G772">
            <v>0</v>
          </cell>
        </row>
        <row r="773">
          <cell r="G773">
            <v>0</v>
          </cell>
        </row>
        <row r="784">
          <cell r="G784">
            <v>769.23</v>
          </cell>
        </row>
        <row r="859">
          <cell r="G859">
            <v>0</v>
          </cell>
        </row>
        <row r="860">
          <cell r="G860">
            <v>0</v>
          </cell>
        </row>
        <row r="865">
          <cell r="G865">
            <v>0</v>
          </cell>
        </row>
        <row r="866">
          <cell r="G866">
            <v>0</v>
          </cell>
        </row>
        <row r="867">
          <cell r="G867">
            <v>0</v>
          </cell>
        </row>
        <row r="868">
          <cell r="G868">
            <v>0</v>
          </cell>
        </row>
        <row r="883">
          <cell r="G883">
            <v>0</v>
          </cell>
        </row>
        <row r="888">
          <cell r="G888">
            <v>0</v>
          </cell>
        </row>
        <row r="889">
          <cell r="G889">
            <v>0</v>
          </cell>
        </row>
        <row r="891">
          <cell r="G891">
            <v>0</v>
          </cell>
        </row>
        <row r="892">
          <cell r="G892">
            <v>0</v>
          </cell>
        </row>
        <row r="893">
          <cell r="G893">
            <v>0</v>
          </cell>
        </row>
        <row r="894">
          <cell r="G894">
            <v>0</v>
          </cell>
        </row>
        <row r="895">
          <cell r="G895">
            <v>0</v>
          </cell>
        </row>
        <row r="896">
          <cell r="G896">
            <v>0</v>
          </cell>
        </row>
        <row r="897">
          <cell r="G897">
            <v>0</v>
          </cell>
        </row>
        <row r="898">
          <cell r="G898">
            <v>0</v>
          </cell>
        </row>
        <row r="899">
          <cell r="G899">
            <v>0</v>
          </cell>
        </row>
        <row r="900">
          <cell r="G900">
            <v>0</v>
          </cell>
        </row>
        <row r="901">
          <cell r="G901">
            <v>0</v>
          </cell>
        </row>
        <row r="902">
          <cell r="G902">
            <v>0</v>
          </cell>
        </row>
        <row r="903">
          <cell r="G903">
            <v>0</v>
          </cell>
        </row>
        <row r="904">
          <cell r="G904">
            <v>0</v>
          </cell>
        </row>
        <row r="905">
          <cell r="G905">
            <v>0</v>
          </cell>
        </row>
        <row r="906">
          <cell r="G906">
            <v>0</v>
          </cell>
        </row>
        <row r="913">
          <cell r="G913">
            <v>0</v>
          </cell>
        </row>
        <row r="914">
          <cell r="G914">
            <v>0</v>
          </cell>
        </row>
        <row r="915">
          <cell r="G915">
            <v>0</v>
          </cell>
        </row>
        <row r="917">
          <cell r="G917">
            <v>0</v>
          </cell>
        </row>
        <row r="918">
          <cell r="G918">
            <v>0</v>
          </cell>
        </row>
        <row r="919">
          <cell r="G919">
            <v>0</v>
          </cell>
        </row>
        <row r="921">
          <cell r="G921">
            <v>0</v>
          </cell>
        </row>
        <row r="922">
          <cell r="G922">
            <v>0</v>
          </cell>
        </row>
        <row r="923">
          <cell r="G923">
            <v>0</v>
          </cell>
        </row>
        <row r="925">
          <cell r="G925">
            <v>0</v>
          </cell>
        </row>
        <row r="926">
          <cell r="G926">
            <v>0</v>
          </cell>
        </row>
        <row r="927">
          <cell r="G927">
            <v>0</v>
          </cell>
        </row>
        <row r="929">
          <cell r="G929">
            <v>0</v>
          </cell>
        </row>
        <row r="930">
          <cell r="G930">
            <v>0</v>
          </cell>
        </row>
        <row r="931">
          <cell r="G931">
            <v>0</v>
          </cell>
        </row>
        <row r="933">
          <cell r="G933">
            <v>0</v>
          </cell>
        </row>
        <row r="934">
          <cell r="G934">
            <v>0</v>
          </cell>
        </row>
        <row r="935">
          <cell r="G935">
            <v>0</v>
          </cell>
        </row>
        <row r="959">
          <cell r="G959">
            <v>0</v>
          </cell>
        </row>
        <row r="960">
          <cell r="G960">
            <v>0</v>
          </cell>
        </row>
        <row r="961">
          <cell r="G961">
            <v>0</v>
          </cell>
        </row>
        <row r="973">
          <cell r="G973">
            <v>0</v>
          </cell>
        </row>
        <row r="974">
          <cell r="G974">
            <v>0</v>
          </cell>
        </row>
        <row r="980">
          <cell r="G980">
            <v>0</v>
          </cell>
        </row>
        <row r="981">
          <cell r="G981">
            <v>0</v>
          </cell>
        </row>
        <row r="982">
          <cell r="G982">
            <v>0</v>
          </cell>
        </row>
        <row r="1011">
          <cell r="G1011">
            <v>0</v>
          </cell>
        </row>
        <row r="1012">
          <cell r="G1012">
            <v>0</v>
          </cell>
        </row>
        <row r="1013">
          <cell r="G1013">
            <v>0</v>
          </cell>
        </row>
        <row r="1051">
          <cell r="G1051">
            <v>0</v>
          </cell>
        </row>
        <row r="1052">
          <cell r="G1052">
            <v>0</v>
          </cell>
        </row>
        <row r="1053">
          <cell r="G1053">
            <v>0</v>
          </cell>
        </row>
      </sheetData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1"/>
  <sheetViews>
    <sheetView view="pageBreakPreview" zoomScaleNormal="90" zoomScaleSheetLayoutView="100" workbookViewId="0">
      <selection activeCell="B3" sqref="B3:C3"/>
    </sheetView>
  </sheetViews>
  <sheetFormatPr defaultColWidth="9.140625" defaultRowHeight="15" x14ac:dyDescent="0.25"/>
  <cols>
    <col min="1" max="1" width="25.140625" style="128" customWidth="1"/>
    <col min="2" max="2" width="79.140625" style="128" customWidth="1"/>
    <col min="3" max="3" width="16.28515625" style="175" customWidth="1"/>
    <col min="4" max="4" width="18.85546875" style="128" hidden="1" customWidth="1"/>
    <col min="5" max="5" width="12.5703125" style="128" hidden="1" customWidth="1"/>
    <col min="6" max="6" width="11.85546875" style="128" hidden="1" customWidth="1"/>
    <col min="7" max="7" width="12.5703125" style="128" hidden="1" customWidth="1"/>
    <col min="8" max="8" width="11.85546875" style="128" hidden="1" customWidth="1"/>
    <col min="9" max="9" width="15" style="128" hidden="1" customWidth="1"/>
    <col min="10" max="10" width="20.140625" style="553" customWidth="1"/>
    <col min="11" max="11" width="18.85546875" style="128" customWidth="1"/>
    <col min="12" max="12" width="17" style="128" customWidth="1"/>
    <col min="13" max="16384" width="9.140625" style="128"/>
  </cols>
  <sheetData>
    <row r="1" spans="1:12" ht="15" customHeight="1" x14ac:dyDescent="0.25">
      <c r="B1" s="602" t="s">
        <v>1812</v>
      </c>
      <c r="C1" s="602"/>
    </row>
    <row r="2" spans="1:12" ht="15" customHeight="1" x14ac:dyDescent="0.25">
      <c r="B2" s="602" t="s">
        <v>1811</v>
      </c>
      <c r="C2" s="602"/>
    </row>
    <row r="3" spans="1:12" ht="15.75" x14ac:dyDescent="0.25">
      <c r="B3" s="613" t="s">
        <v>1813</v>
      </c>
      <c r="C3" s="613"/>
    </row>
    <row r="4" spans="1:12" ht="15.75" x14ac:dyDescent="0.25">
      <c r="B4" s="130"/>
      <c r="C4" s="595"/>
    </row>
    <row r="5" spans="1:12" ht="15.75" x14ac:dyDescent="0.25">
      <c r="A5" s="606" t="s">
        <v>1525</v>
      </c>
      <c r="B5" s="606"/>
      <c r="C5" s="606"/>
    </row>
    <row r="6" spans="1:12" ht="15.75" x14ac:dyDescent="0.25">
      <c r="A6" s="606" t="s">
        <v>1346</v>
      </c>
      <c r="B6" s="606"/>
      <c r="C6" s="606"/>
    </row>
    <row r="7" spans="1:12" ht="15.75" x14ac:dyDescent="0.25">
      <c r="A7" s="606"/>
      <c r="B7" s="606"/>
      <c r="C7" s="606"/>
    </row>
    <row r="8" spans="1:12" ht="15.75" x14ac:dyDescent="0.25">
      <c r="A8" s="131"/>
      <c r="B8" s="131"/>
      <c r="C8" s="596" t="s">
        <v>698</v>
      </c>
    </row>
    <row r="9" spans="1:12" ht="31.5" x14ac:dyDescent="0.25">
      <c r="A9" s="132" t="s">
        <v>2</v>
      </c>
      <c r="B9" s="133" t="s">
        <v>3</v>
      </c>
      <c r="C9" s="10" t="s">
        <v>1028</v>
      </c>
      <c r="D9" s="323" t="s">
        <v>1449</v>
      </c>
      <c r="E9" s="323" t="s">
        <v>1449</v>
      </c>
    </row>
    <row r="10" spans="1:12" ht="15.75" x14ac:dyDescent="0.25">
      <c r="A10" s="134" t="s">
        <v>5</v>
      </c>
      <c r="B10" s="135" t="s">
        <v>6</v>
      </c>
      <c r="C10" s="458">
        <f>C11+C17+C22+C32+C40+C43+C49+C56+C59+C64+C72</f>
        <v>329096.94099999999</v>
      </c>
      <c r="E10" s="326">
        <f>SUM(E17:E51)</f>
        <v>1988.2000000000021</v>
      </c>
      <c r="G10" s="115"/>
      <c r="H10" s="115"/>
      <c r="J10" s="554"/>
    </row>
    <row r="11" spans="1:12" ht="15.75" x14ac:dyDescent="0.25">
      <c r="A11" s="136" t="s">
        <v>7</v>
      </c>
      <c r="B11" s="135" t="s">
        <v>8</v>
      </c>
      <c r="C11" s="458">
        <f>C12</f>
        <v>260443.541</v>
      </c>
      <c r="D11" s="115"/>
      <c r="F11" s="115"/>
      <c r="G11" s="115"/>
      <c r="H11" s="115"/>
      <c r="I11" s="115"/>
      <c r="J11" s="554"/>
    </row>
    <row r="12" spans="1:12" ht="15.75" x14ac:dyDescent="0.25">
      <c r="A12" s="137" t="s">
        <v>9</v>
      </c>
      <c r="B12" s="138" t="s">
        <v>10</v>
      </c>
      <c r="C12" s="458">
        <f>SUM(C13:C16)</f>
        <v>260443.541</v>
      </c>
      <c r="D12" s="115"/>
      <c r="F12" s="115"/>
      <c r="G12" s="115"/>
      <c r="H12" s="115"/>
      <c r="I12" s="115"/>
      <c r="J12" s="554"/>
    </row>
    <row r="13" spans="1:12" ht="63" x14ac:dyDescent="0.25">
      <c r="A13" s="201" t="s">
        <v>11</v>
      </c>
      <c r="B13" s="139" t="s">
        <v>12</v>
      </c>
      <c r="C13" s="459">
        <f>210036+19491.2+1336+140+205.9</f>
        <v>231209.1</v>
      </c>
      <c r="D13" s="208"/>
      <c r="K13" s="202"/>
      <c r="L13" s="202"/>
    </row>
    <row r="14" spans="1:12" ht="94.5" x14ac:dyDescent="0.25">
      <c r="A14" s="201" t="s">
        <v>13</v>
      </c>
      <c r="B14" s="140" t="s">
        <v>14</v>
      </c>
      <c r="C14" s="459">
        <v>856</v>
      </c>
    </row>
    <row r="15" spans="1:12" ht="36.75" customHeight="1" x14ac:dyDescent="0.25">
      <c r="A15" s="201" t="s">
        <v>15</v>
      </c>
      <c r="B15" s="140" t="s">
        <v>16</v>
      </c>
      <c r="C15" s="459">
        <f>1175+8863.1+2708.4+7000+1028+15-8.6+512.335+25+38+63.806+58+6354.4</f>
        <v>27832.440999999999</v>
      </c>
    </row>
    <row r="16" spans="1:12" ht="78.75" x14ac:dyDescent="0.25">
      <c r="A16" s="201" t="s">
        <v>17</v>
      </c>
      <c r="B16" s="140" t="s">
        <v>18</v>
      </c>
      <c r="C16" s="459">
        <v>546</v>
      </c>
    </row>
    <row r="17" spans="1:10" ht="31.5" x14ac:dyDescent="0.25">
      <c r="A17" s="141" t="s">
        <v>19</v>
      </c>
      <c r="B17" s="142" t="s">
        <v>20</v>
      </c>
      <c r="C17" s="458">
        <f t="shared" ref="C17" si="0">C18</f>
        <v>2984.3999999999996</v>
      </c>
      <c r="D17" s="324">
        <v>2319</v>
      </c>
      <c r="E17" s="324">
        <f>D17-C17</f>
        <v>-665.39999999999964</v>
      </c>
    </row>
    <row r="18" spans="1:10" ht="31.5" x14ac:dyDescent="0.25">
      <c r="A18" s="180" t="s">
        <v>21</v>
      </c>
      <c r="B18" s="181" t="s">
        <v>22</v>
      </c>
      <c r="C18" s="458">
        <f t="shared" ref="C18" si="1">SUM(C19:C21)</f>
        <v>2984.3999999999996</v>
      </c>
    </row>
    <row r="19" spans="1:10" ht="100.5" customHeight="1" x14ac:dyDescent="0.25">
      <c r="A19" s="143" t="s">
        <v>1554</v>
      </c>
      <c r="B19" s="140" t="s">
        <v>1618</v>
      </c>
      <c r="C19" s="459">
        <f>1064.8+221.1</f>
        <v>1285.8999999999999</v>
      </c>
      <c r="J19" s="585"/>
    </row>
    <row r="20" spans="1:10" ht="117" customHeight="1" x14ac:dyDescent="0.25">
      <c r="A20" s="487" t="s">
        <v>1555</v>
      </c>
      <c r="B20" s="140" t="s">
        <v>1619</v>
      </c>
      <c r="C20" s="459">
        <f>6.1+1.3</f>
        <v>7.3999999999999995</v>
      </c>
      <c r="J20" s="208"/>
    </row>
    <row r="21" spans="1:10" ht="98.45" customHeight="1" x14ac:dyDescent="0.25">
      <c r="A21" s="487" t="s">
        <v>1556</v>
      </c>
      <c r="B21" s="140" t="s">
        <v>1620</v>
      </c>
      <c r="C21" s="459">
        <f>1248.1+443</f>
        <v>1691.1</v>
      </c>
      <c r="J21" s="208"/>
    </row>
    <row r="22" spans="1:10" ht="18.75" x14ac:dyDescent="0.25">
      <c r="A22" s="137" t="s">
        <v>23</v>
      </c>
      <c r="B22" s="138" t="s">
        <v>24</v>
      </c>
      <c r="C22" s="458">
        <f>SUM(C23+C28+C30)</f>
        <v>16053.8</v>
      </c>
      <c r="F22" s="197"/>
    </row>
    <row r="23" spans="1:10" ht="31.5" x14ac:dyDescent="0.25">
      <c r="A23" s="134" t="s">
        <v>25</v>
      </c>
      <c r="B23" s="138" t="s">
        <v>26</v>
      </c>
      <c r="C23" s="458">
        <f>C24+C26</f>
        <v>13524.8</v>
      </c>
      <c r="D23" s="324">
        <v>13524.7</v>
      </c>
      <c r="E23" s="324">
        <f>D23-C23</f>
        <v>-9.9999999998544808E-2</v>
      </c>
    </row>
    <row r="24" spans="1:10" ht="31.5" x14ac:dyDescent="0.25">
      <c r="A24" s="134" t="s">
        <v>1119</v>
      </c>
      <c r="B24" s="210" t="s">
        <v>28</v>
      </c>
      <c r="C24" s="458">
        <f>C25</f>
        <v>6762.4</v>
      </c>
    </row>
    <row r="25" spans="1:10" ht="31.5" x14ac:dyDescent="0.25">
      <c r="A25" s="132" t="s">
        <v>27</v>
      </c>
      <c r="B25" s="98" t="s">
        <v>28</v>
      </c>
      <c r="C25" s="459">
        <v>6762.4</v>
      </c>
    </row>
    <row r="26" spans="1:10" ht="36.75" customHeight="1" x14ac:dyDescent="0.25">
      <c r="A26" s="134" t="s">
        <v>1118</v>
      </c>
      <c r="B26" s="241" t="s">
        <v>1117</v>
      </c>
      <c r="C26" s="458">
        <f>C27</f>
        <v>6762.4</v>
      </c>
    </row>
    <row r="27" spans="1:10" ht="50.25" customHeight="1" x14ac:dyDescent="0.25">
      <c r="A27" s="132" t="s">
        <v>29</v>
      </c>
      <c r="B27" s="144" t="s">
        <v>30</v>
      </c>
      <c r="C27" s="459">
        <f>C25</f>
        <v>6762.4</v>
      </c>
    </row>
    <row r="28" spans="1:10" ht="15.75" x14ac:dyDescent="0.25">
      <c r="A28" s="134" t="s">
        <v>31</v>
      </c>
      <c r="B28" s="147" t="s">
        <v>32</v>
      </c>
      <c r="C28" s="458">
        <f t="shared" ref="C28" si="2">SUM(C29:C29)</f>
        <v>2159</v>
      </c>
    </row>
    <row r="29" spans="1:10" ht="15.75" x14ac:dyDescent="0.25">
      <c r="A29" s="201" t="s">
        <v>33</v>
      </c>
      <c r="B29" s="139" t="s">
        <v>32</v>
      </c>
      <c r="C29" s="459">
        <v>2159</v>
      </c>
    </row>
    <row r="30" spans="1:10" ht="31.5" x14ac:dyDescent="0.25">
      <c r="A30" s="134" t="s">
        <v>1130</v>
      </c>
      <c r="B30" s="145" t="s">
        <v>1120</v>
      </c>
      <c r="C30" s="458">
        <f>C31</f>
        <v>370</v>
      </c>
    </row>
    <row r="31" spans="1:10" ht="31.5" x14ac:dyDescent="0.25">
      <c r="A31" s="132" t="s">
        <v>34</v>
      </c>
      <c r="B31" s="235" t="s">
        <v>35</v>
      </c>
      <c r="C31" s="459">
        <v>370</v>
      </c>
    </row>
    <row r="32" spans="1:10" ht="15.75" x14ac:dyDescent="0.25">
      <c r="A32" s="137" t="s">
        <v>36</v>
      </c>
      <c r="B32" s="138" t="s">
        <v>37</v>
      </c>
      <c r="C32" s="458">
        <f t="shared" ref="C32" si="3">C33+C35</f>
        <v>1578</v>
      </c>
    </row>
    <row r="33" spans="1:6" ht="15.75" x14ac:dyDescent="0.25">
      <c r="A33" s="137" t="s">
        <v>38</v>
      </c>
      <c r="B33" s="138" t="s">
        <v>39</v>
      </c>
      <c r="C33" s="458">
        <f t="shared" ref="C33" si="4">C34</f>
        <v>900</v>
      </c>
    </row>
    <row r="34" spans="1:6" ht="31.7" customHeight="1" x14ac:dyDescent="0.25">
      <c r="A34" s="201" t="s">
        <v>40</v>
      </c>
      <c r="B34" s="144" t="s">
        <v>41</v>
      </c>
      <c r="C34" s="459">
        <v>900</v>
      </c>
    </row>
    <row r="35" spans="1:6" ht="15.75" x14ac:dyDescent="0.25">
      <c r="A35" s="137" t="s">
        <v>42</v>
      </c>
      <c r="B35" s="138" t="s">
        <v>43</v>
      </c>
      <c r="C35" s="458">
        <f>C36+C38</f>
        <v>678</v>
      </c>
      <c r="D35" s="128">
        <v>678</v>
      </c>
      <c r="E35" s="229">
        <f>D35-C35</f>
        <v>0</v>
      </c>
    </row>
    <row r="36" spans="1:6" ht="15.75" x14ac:dyDescent="0.25">
      <c r="A36" s="137" t="s">
        <v>1132</v>
      </c>
      <c r="B36" s="138" t="s">
        <v>1131</v>
      </c>
      <c r="C36" s="458">
        <f>C37</f>
        <v>521</v>
      </c>
    </row>
    <row r="37" spans="1:6" ht="31.5" x14ac:dyDescent="0.25">
      <c r="A37" s="201" t="s">
        <v>44</v>
      </c>
      <c r="B37" s="144" t="s">
        <v>45</v>
      </c>
      <c r="C37" s="459">
        <v>521</v>
      </c>
    </row>
    <row r="38" spans="1:6" ht="15.75" x14ac:dyDescent="0.25">
      <c r="A38" s="137" t="s">
        <v>1134</v>
      </c>
      <c r="B38" s="138" t="s">
        <v>1133</v>
      </c>
      <c r="C38" s="458">
        <f>C39</f>
        <v>157</v>
      </c>
    </row>
    <row r="39" spans="1:6" ht="31.5" x14ac:dyDescent="0.25">
      <c r="A39" s="201" t="s">
        <v>46</v>
      </c>
      <c r="B39" s="144" t="s">
        <v>47</v>
      </c>
      <c r="C39" s="459">
        <v>157</v>
      </c>
    </row>
    <row r="40" spans="1:6" ht="15.75" x14ac:dyDescent="0.25">
      <c r="A40" s="137" t="s">
        <v>48</v>
      </c>
      <c r="B40" s="138" t="s">
        <v>49</v>
      </c>
      <c r="C40" s="458">
        <f t="shared" ref="C40:C41" si="5">C41</f>
        <v>1534</v>
      </c>
    </row>
    <row r="41" spans="1:6" ht="31.5" x14ac:dyDescent="0.25">
      <c r="A41" s="137" t="s">
        <v>50</v>
      </c>
      <c r="B41" s="138" t="s">
        <v>51</v>
      </c>
      <c r="C41" s="458">
        <f t="shared" si="5"/>
        <v>1534</v>
      </c>
    </row>
    <row r="42" spans="1:6" ht="47.25" x14ac:dyDescent="0.25">
      <c r="A42" s="201" t="s">
        <v>52</v>
      </c>
      <c r="B42" s="139" t="s">
        <v>53</v>
      </c>
      <c r="C42" s="459">
        <v>1534</v>
      </c>
    </row>
    <row r="43" spans="1:6" ht="31.5" x14ac:dyDescent="0.25">
      <c r="A43" s="137" t="s">
        <v>54</v>
      </c>
      <c r="B43" s="146" t="s">
        <v>55</v>
      </c>
      <c r="C43" s="458">
        <f t="shared" ref="C43" si="6">C44</f>
        <v>45000</v>
      </c>
      <c r="D43" s="115">
        <f>C43+C49+C56+C59+C64</f>
        <v>46503.199999999997</v>
      </c>
      <c r="F43" s="115"/>
    </row>
    <row r="44" spans="1:6" ht="78.75" x14ac:dyDescent="0.25">
      <c r="A44" s="137" t="s">
        <v>56</v>
      </c>
      <c r="B44" s="146" t="s">
        <v>57</v>
      </c>
      <c r="C44" s="458">
        <f t="shared" ref="C44" si="7">C45+C47</f>
        <v>45000</v>
      </c>
      <c r="D44" s="325">
        <v>45000</v>
      </c>
      <c r="E44" s="324">
        <f>D44-C44</f>
        <v>0</v>
      </c>
    </row>
    <row r="45" spans="1:6" ht="63" x14ac:dyDescent="0.25">
      <c r="A45" s="137" t="s">
        <v>58</v>
      </c>
      <c r="B45" s="138" t="s">
        <v>59</v>
      </c>
      <c r="C45" s="458">
        <f t="shared" ref="C45" si="8">C46</f>
        <v>40000</v>
      </c>
    </row>
    <row r="46" spans="1:6" ht="63" x14ac:dyDescent="0.25">
      <c r="A46" s="201" t="s">
        <v>60</v>
      </c>
      <c r="B46" s="144" t="s">
        <v>61</v>
      </c>
      <c r="C46" s="459">
        <v>40000</v>
      </c>
      <c r="D46" s="229"/>
    </row>
    <row r="47" spans="1:6" ht="36.75" customHeight="1" x14ac:dyDescent="0.25">
      <c r="A47" s="137" t="s">
        <v>62</v>
      </c>
      <c r="B47" s="138" t="s">
        <v>63</v>
      </c>
      <c r="C47" s="458">
        <f t="shared" ref="C47" si="9">C48</f>
        <v>5000</v>
      </c>
      <c r="D47" s="229"/>
    </row>
    <row r="48" spans="1:6" ht="31.5" x14ac:dyDescent="0.25">
      <c r="A48" s="201" t="s">
        <v>64</v>
      </c>
      <c r="B48" s="144" t="s">
        <v>65</v>
      </c>
      <c r="C48" s="459">
        <v>5000</v>
      </c>
    </row>
    <row r="49" spans="1:5" ht="15.75" x14ac:dyDescent="0.25">
      <c r="A49" s="137" t="s">
        <v>66</v>
      </c>
      <c r="B49" s="146" t="s">
        <v>67</v>
      </c>
      <c r="C49" s="458">
        <f t="shared" ref="C49" si="10">SUM(C50)</f>
        <v>433.7</v>
      </c>
      <c r="D49" s="325">
        <v>3087.4</v>
      </c>
      <c r="E49" s="324">
        <f>D49-C49</f>
        <v>2653.7000000000003</v>
      </c>
    </row>
    <row r="50" spans="1:5" ht="15.75" x14ac:dyDescent="0.25">
      <c r="A50" s="137" t="s">
        <v>68</v>
      </c>
      <c r="B50" s="146" t="s">
        <v>69</v>
      </c>
      <c r="C50" s="458">
        <f>C51+C52+C53</f>
        <v>433.7</v>
      </c>
    </row>
    <row r="51" spans="1:5" ht="31.5" x14ac:dyDescent="0.25">
      <c r="A51" s="137" t="s">
        <v>70</v>
      </c>
      <c r="B51" s="146" t="s">
        <v>71</v>
      </c>
      <c r="C51" s="459">
        <f>405-355.2+18</f>
        <v>67.800000000000011</v>
      </c>
      <c r="D51" s="199"/>
    </row>
    <row r="52" spans="1:5" ht="16.5" x14ac:dyDescent="0.25">
      <c r="A52" s="137" t="s">
        <v>72</v>
      </c>
      <c r="B52" s="146" t="s">
        <v>73</v>
      </c>
      <c r="C52" s="459">
        <f>228.8-123.8+260.9</f>
        <v>365.9</v>
      </c>
      <c r="D52" s="199"/>
    </row>
    <row r="53" spans="1:5" ht="23.25" customHeight="1" x14ac:dyDescent="0.25">
      <c r="A53" s="137" t="s">
        <v>1448</v>
      </c>
      <c r="B53" s="234" t="s">
        <v>1121</v>
      </c>
      <c r="C53" s="458">
        <f>C54+C55</f>
        <v>0</v>
      </c>
      <c r="D53" s="199"/>
    </row>
    <row r="54" spans="1:5" ht="18.75" x14ac:dyDescent="0.25">
      <c r="A54" s="201" t="s">
        <v>795</v>
      </c>
      <c r="B54" s="139" t="s">
        <v>796</v>
      </c>
      <c r="C54" s="459">
        <f>3588-1265.4-1811.4-511.2</f>
        <v>0</v>
      </c>
      <c r="D54" s="200"/>
    </row>
    <row r="55" spans="1:5" ht="16.5" x14ac:dyDescent="0.25">
      <c r="A55" s="201" t="s">
        <v>797</v>
      </c>
      <c r="B55" s="139" t="s">
        <v>798</v>
      </c>
      <c r="C55" s="459">
        <f>131-60.2-70.8</f>
        <v>0</v>
      </c>
      <c r="D55" s="199"/>
    </row>
    <row r="56" spans="1:5" ht="31.5" x14ac:dyDescent="0.25">
      <c r="A56" s="137" t="s">
        <v>74</v>
      </c>
      <c r="B56" s="146" t="s">
        <v>75</v>
      </c>
      <c r="C56" s="458">
        <f>C58</f>
        <v>828.5</v>
      </c>
      <c r="D56" s="199"/>
    </row>
    <row r="57" spans="1:5" ht="15.75" x14ac:dyDescent="0.25">
      <c r="A57" s="137" t="s">
        <v>76</v>
      </c>
      <c r="B57" s="146" t="s">
        <v>77</v>
      </c>
      <c r="C57" s="458">
        <f>C58</f>
        <v>828.5</v>
      </c>
    </row>
    <row r="58" spans="1:5" ht="31.5" x14ac:dyDescent="0.25">
      <c r="A58" s="201" t="s">
        <v>78</v>
      </c>
      <c r="B58" s="139" t="s">
        <v>79</v>
      </c>
      <c r="C58" s="459">
        <v>828.5</v>
      </c>
      <c r="D58" s="202"/>
    </row>
    <row r="59" spans="1:5" ht="31.5" x14ac:dyDescent="0.25">
      <c r="A59" s="137" t="s">
        <v>80</v>
      </c>
      <c r="B59" s="146" t="s">
        <v>81</v>
      </c>
      <c r="C59" s="458">
        <f t="shared" ref="C59" si="11">SUM(C60+C62)</f>
        <v>236</v>
      </c>
    </row>
    <row r="60" spans="1:5" ht="78.75" x14ac:dyDescent="0.25">
      <c r="A60" s="137" t="s">
        <v>82</v>
      </c>
      <c r="B60" s="146" t="s">
        <v>83</v>
      </c>
      <c r="C60" s="458">
        <f t="shared" ref="C60" si="12">C61</f>
        <v>235</v>
      </c>
    </row>
    <row r="61" spans="1:5" ht="78.75" x14ac:dyDescent="0.25">
      <c r="A61" s="201" t="s">
        <v>84</v>
      </c>
      <c r="B61" s="139" t="s">
        <v>699</v>
      </c>
      <c r="C61" s="459">
        <v>235</v>
      </c>
    </row>
    <row r="62" spans="1:5" ht="31.5" x14ac:dyDescent="0.25">
      <c r="A62" s="137" t="s">
        <v>85</v>
      </c>
      <c r="B62" s="146" t="s">
        <v>86</v>
      </c>
      <c r="C62" s="458">
        <f t="shared" ref="C62" si="13">SUM(C63)</f>
        <v>1</v>
      </c>
    </row>
    <row r="63" spans="1:5" ht="47.25" x14ac:dyDescent="0.25">
      <c r="A63" s="201" t="s">
        <v>87</v>
      </c>
      <c r="B63" s="139" t="s">
        <v>88</v>
      </c>
      <c r="C63" s="459">
        <v>1</v>
      </c>
    </row>
    <row r="64" spans="1:5" ht="15.75" x14ac:dyDescent="0.25">
      <c r="A64" s="137" t="s">
        <v>89</v>
      </c>
      <c r="B64" s="146" t="s">
        <v>90</v>
      </c>
      <c r="C64" s="458">
        <f>C65</f>
        <v>5</v>
      </c>
    </row>
    <row r="65" spans="1:12" ht="31.5" x14ac:dyDescent="0.25">
      <c r="A65" s="137" t="s">
        <v>1100</v>
      </c>
      <c r="B65" s="146" t="s">
        <v>91</v>
      </c>
      <c r="C65" s="458">
        <f>C66+C68+C70</f>
        <v>5</v>
      </c>
    </row>
    <row r="66" spans="1:12" ht="47.25" x14ac:dyDescent="0.25">
      <c r="A66" s="137" t="s">
        <v>1114</v>
      </c>
      <c r="B66" s="242" t="s">
        <v>1113</v>
      </c>
      <c r="C66" s="458">
        <f>C67</f>
        <v>2.5</v>
      </c>
    </row>
    <row r="67" spans="1:12" ht="63" x14ac:dyDescent="0.25">
      <c r="A67" s="201" t="s">
        <v>1102</v>
      </c>
      <c r="B67" s="243" t="s">
        <v>1108</v>
      </c>
      <c r="C67" s="459">
        <v>2.5</v>
      </c>
    </row>
    <row r="68" spans="1:12" ht="60.4" hidden="1" customHeight="1" x14ac:dyDescent="0.25">
      <c r="A68" s="137" t="s">
        <v>1116</v>
      </c>
      <c r="B68" s="242" t="s">
        <v>1115</v>
      </c>
      <c r="C68" s="458">
        <f>C69</f>
        <v>0</v>
      </c>
    </row>
    <row r="69" spans="1:12" ht="76.150000000000006" hidden="1" customHeight="1" x14ac:dyDescent="0.25">
      <c r="A69" s="201" t="s">
        <v>1101</v>
      </c>
      <c r="B69" s="243" t="s">
        <v>1109</v>
      </c>
      <c r="C69" s="459">
        <v>0</v>
      </c>
    </row>
    <row r="70" spans="1:12" ht="63" x14ac:dyDescent="0.25">
      <c r="A70" s="137" t="s">
        <v>1112</v>
      </c>
      <c r="B70" s="244" t="s">
        <v>1111</v>
      </c>
      <c r="C70" s="458">
        <f>C71</f>
        <v>2.5</v>
      </c>
    </row>
    <row r="71" spans="1:12" ht="78.75" x14ac:dyDescent="0.25">
      <c r="A71" s="201" t="s">
        <v>1105</v>
      </c>
      <c r="B71" s="245" t="s">
        <v>1110</v>
      </c>
      <c r="C71" s="459">
        <v>2.5</v>
      </c>
    </row>
    <row r="72" spans="1:12" ht="15.75" hidden="1" x14ac:dyDescent="0.25">
      <c r="A72" s="3" t="s">
        <v>1103</v>
      </c>
      <c r="B72" s="179" t="s">
        <v>767</v>
      </c>
      <c r="C72" s="458">
        <f>C73</f>
        <v>0</v>
      </c>
    </row>
    <row r="73" spans="1:12" ht="15.75" hidden="1" x14ac:dyDescent="0.25">
      <c r="A73" s="3" t="s">
        <v>1104</v>
      </c>
      <c r="B73" s="179" t="s">
        <v>768</v>
      </c>
      <c r="C73" s="458">
        <f t="shared" ref="C73" si="14">SUM(C74)</f>
        <v>0</v>
      </c>
    </row>
    <row r="74" spans="1:12" ht="15.75" hidden="1" x14ac:dyDescent="0.25">
      <c r="A74" s="2" t="s">
        <v>769</v>
      </c>
      <c r="B74" s="178" t="s">
        <v>770</v>
      </c>
      <c r="C74" s="459">
        <v>0</v>
      </c>
    </row>
    <row r="75" spans="1:12" ht="15.75" x14ac:dyDescent="0.25">
      <c r="A75" s="137" t="s">
        <v>92</v>
      </c>
      <c r="B75" s="138" t="s">
        <v>93</v>
      </c>
      <c r="C75" s="458">
        <f>C76+C175</f>
        <v>607205.41187999991</v>
      </c>
      <c r="D75" s="289">
        <f>C75-C77</f>
        <v>399145.01187999989</v>
      </c>
      <c r="E75" s="115"/>
      <c r="F75" s="115">
        <v>443864.2</v>
      </c>
      <c r="H75" s="193"/>
      <c r="J75" s="554"/>
    </row>
    <row r="76" spans="1:12" ht="31.5" x14ac:dyDescent="0.25">
      <c r="A76" s="137" t="s">
        <v>94</v>
      </c>
      <c r="B76" s="138" t="s">
        <v>95</v>
      </c>
      <c r="C76" s="458">
        <f>C77+C82+C133+C161</f>
        <v>601898.36217999994</v>
      </c>
      <c r="D76" s="290"/>
      <c r="H76" s="193"/>
      <c r="I76" s="115"/>
      <c r="J76" s="589"/>
      <c r="K76" s="588"/>
      <c r="L76" s="590"/>
    </row>
    <row r="77" spans="1:12" ht="15.75" x14ac:dyDescent="0.25">
      <c r="A77" s="137" t="s">
        <v>814</v>
      </c>
      <c r="B77" s="147" t="s">
        <v>96</v>
      </c>
      <c r="C77" s="458">
        <f>C78+C80</f>
        <v>208060.4</v>
      </c>
      <c r="D77" s="291"/>
    </row>
    <row r="78" spans="1:12" ht="15.75" x14ac:dyDescent="0.25">
      <c r="A78" s="137" t="s">
        <v>1136</v>
      </c>
      <c r="B78" s="147" t="s">
        <v>1135</v>
      </c>
      <c r="C78" s="458">
        <f>C79</f>
        <v>154837</v>
      </c>
      <c r="D78" s="291"/>
      <c r="L78" s="115"/>
    </row>
    <row r="79" spans="1:12" ht="31.5" x14ac:dyDescent="0.25">
      <c r="A79" s="201" t="s">
        <v>813</v>
      </c>
      <c r="B79" s="144" t="s">
        <v>1145</v>
      </c>
      <c r="C79" s="459">
        <v>154837</v>
      </c>
      <c r="D79" s="291"/>
      <c r="F79" s="115"/>
    </row>
    <row r="80" spans="1:12" ht="31.5" x14ac:dyDescent="0.25">
      <c r="A80" s="134" t="s">
        <v>1464</v>
      </c>
      <c r="B80" s="138" t="s">
        <v>1465</v>
      </c>
      <c r="C80" s="458">
        <f>C81</f>
        <v>53223.4</v>
      </c>
      <c r="D80" s="290"/>
    </row>
    <row r="81" spans="1:11" ht="31.5" x14ac:dyDescent="0.25">
      <c r="A81" s="132" t="s">
        <v>1466</v>
      </c>
      <c r="B81" s="144" t="s">
        <v>1467</v>
      </c>
      <c r="C81" s="459">
        <f>50906+2317.4</f>
        <v>53223.4</v>
      </c>
      <c r="D81" s="290"/>
    </row>
    <row r="82" spans="1:11" ht="34.5" customHeight="1" x14ac:dyDescent="0.25">
      <c r="A82" s="137" t="s">
        <v>812</v>
      </c>
      <c r="B82" s="138" t="s">
        <v>97</v>
      </c>
      <c r="C82" s="458">
        <f>C93+C99+C104+C95+C87+C89+C97+C91+C101+C83+C85</f>
        <v>137594.95217999999</v>
      </c>
      <c r="D82" s="292">
        <f>C87+C89+C91+C93+C95+C97+C99+C103+C101+C85+C83</f>
        <v>137594.95217999999</v>
      </c>
      <c r="E82" s="115"/>
      <c r="F82" s="115"/>
      <c r="G82" s="115"/>
      <c r="I82" s="115"/>
    </row>
    <row r="83" spans="1:11" ht="54" customHeight="1" x14ac:dyDescent="0.25">
      <c r="A83" s="484" t="s">
        <v>1468</v>
      </c>
      <c r="B83" s="337" t="s">
        <v>1469</v>
      </c>
      <c r="C83" s="426">
        <f>C84</f>
        <v>700</v>
      </c>
      <c r="D83" s="292"/>
      <c r="E83" s="115"/>
      <c r="F83" s="115"/>
      <c r="G83" s="115"/>
      <c r="I83" s="115"/>
      <c r="J83" s="554"/>
    </row>
    <row r="84" spans="1:11" ht="54" customHeight="1" x14ac:dyDescent="0.25">
      <c r="A84" s="201" t="s">
        <v>1470</v>
      </c>
      <c r="B84" s="339" t="s">
        <v>1471</v>
      </c>
      <c r="C84" s="459">
        <v>700</v>
      </c>
      <c r="D84" s="292">
        <f>'Пр.4 ведом.21'!G918-63</f>
        <v>706.23</v>
      </c>
      <c r="E84" s="115"/>
      <c r="F84" s="115"/>
      <c r="G84" s="115"/>
      <c r="I84" s="115"/>
    </row>
    <row r="85" spans="1:11" ht="54" customHeight="1" x14ac:dyDescent="0.25">
      <c r="A85" s="137" t="s">
        <v>1473</v>
      </c>
      <c r="B85" s="340" t="s">
        <v>1472</v>
      </c>
      <c r="C85" s="458">
        <f>C86</f>
        <v>2581.2449999999999</v>
      </c>
      <c r="D85" s="292"/>
      <c r="E85" s="115"/>
      <c r="F85" s="115"/>
      <c r="G85" s="115"/>
      <c r="I85" s="115"/>
    </row>
    <row r="86" spans="1:11" ht="54" customHeight="1" x14ac:dyDescent="0.25">
      <c r="A86" s="201" t="s">
        <v>1474</v>
      </c>
      <c r="B86" s="349" t="s">
        <v>1475</v>
      </c>
      <c r="C86" s="459">
        <f>2581.7-0.455</f>
        <v>2581.2449999999999</v>
      </c>
      <c r="D86" s="292">
        <f>'Пр.4 ведом.21'!G778-258.45</f>
        <v>2433.1950000000002</v>
      </c>
      <c r="E86" s="115"/>
      <c r="F86" s="115"/>
      <c r="G86" s="115"/>
      <c r="I86" s="115"/>
    </row>
    <row r="87" spans="1:11" ht="49.7" customHeight="1" x14ac:dyDescent="0.25">
      <c r="A87" s="485" t="s">
        <v>1160</v>
      </c>
      <c r="B87" s="241" t="s">
        <v>1162</v>
      </c>
      <c r="C87" s="427">
        <f>C88</f>
        <v>1491.25</v>
      </c>
      <c r="D87" s="293"/>
      <c r="E87" s="115"/>
      <c r="F87" s="115"/>
      <c r="G87" s="115"/>
      <c r="H87" s="193"/>
      <c r="I87" s="115"/>
    </row>
    <row r="88" spans="1:11" ht="65.25" customHeight="1" x14ac:dyDescent="0.25">
      <c r="A88" s="201" t="s">
        <v>1159</v>
      </c>
      <c r="B88" s="98" t="s">
        <v>1665</v>
      </c>
      <c r="C88" s="459">
        <f>1506.3-15.05</f>
        <v>1491.25</v>
      </c>
      <c r="D88" s="293">
        <f>'Пр.4 ведом.21'!G771-150.8</f>
        <v>1404.8500000000001</v>
      </c>
      <c r="E88" s="115"/>
      <c r="F88" s="115"/>
      <c r="G88" s="115"/>
      <c r="H88" s="193"/>
      <c r="I88" s="115"/>
    </row>
    <row r="89" spans="1:11" ht="47.25" hidden="1" customHeight="1" x14ac:dyDescent="0.25">
      <c r="A89" s="137" t="s">
        <v>1163</v>
      </c>
      <c r="B89" s="210" t="s">
        <v>1166</v>
      </c>
      <c r="C89" s="458">
        <f>C90</f>
        <v>0</v>
      </c>
      <c r="D89" s="293"/>
      <c r="E89" s="115"/>
      <c r="F89" s="115"/>
      <c r="G89" s="115"/>
      <c r="H89" s="193"/>
      <c r="I89" s="115"/>
    </row>
    <row r="90" spans="1:11" ht="54.75" hidden="1" customHeight="1" x14ac:dyDescent="0.25">
      <c r="A90" s="201" t="s">
        <v>1164</v>
      </c>
      <c r="B90" s="98" t="s">
        <v>1165</v>
      </c>
      <c r="C90" s="459">
        <v>0</v>
      </c>
      <c r="D90" s="293"/>
      <c r="E90" s="115"/>
      <c r="F90" s="115"/>
      <c r="G90" s="115"/>
      <c r="H90" s="193"/>
      <c r="I90" s="115"/>
    </row>
    <row r="91" spans="1:11" ht="26.45" hidden="1" customHeight="1" x14ac:dyDescent="0.25">
      <c r="A91" s="484"/>
      <c r="B91" s="350" t="s">
        <v>1289</v>
      </c>
      <c r="C91" s="458">
        <f>C92</f>
        <v>0</v>
      </c>
      <c r="D91" s="293"/>
      <c r="E91" s="115"/>
      <c r="F91" s="115"/>
      <c r="G91" s="115"/>
      <c r="H91" s="193"/>
      <c r="I91" s="115"/>
    </row>
    <row r="92" spans="1:11" ht="23.25" hidden="1" customHeight="1" x14ac:dyDescent="0.25">
      <c r="A92" s="487"/>
      <c r="B92" s="351"/>
      <c r="C92" s="459"/>
      <c r="D92" s="293">
        <f>'Пр.4 ведом.21'!G446-1936.29</f>
        <v>8063.71</v>
      </c>
      <c r="E92" s="115"/>
      <c r="F92" s="115"/>
      <c r="G92" s="115"/>
      <c r="H92" s="193"/>
      <c r="I92" s="115"/>
    </row>
    <row r="93" spans="1:11" ht="55.5" customHeight="1" x14ac:dyDescent="0.25">
      <c r="A93" s="484" t="s">
        <v>1454</v>
      </c>
      <c r="B93" s="138" t="s">
        <v>1455</v>
      </c>
      <c r="C93" s="458">
        <f>SUM(C94)</f>
        <v>5079.3999999999996</v>
      </c>
      <c r="D93" s="293"/>
      <c r="G93" s="148"/>
    </row>
    <row r="94" spans="1:11" s="148" customFormat="1" ht="51.75" customHeight="1" x14ac:dyDescent="0.25">
      <c r="A94" s="487" t="s">
        <v>1456</v>
      </c>
      <c r="B94" s="144" t="s">
        <v>1434</v>
      </c>
      <c r="C94" s="459">
        <v>5079.3999999999996</v>
      </c>
      <c r="D94" s="293">
        <f>'Пр.4 ведом.21'!G758-217.16</f>
        <v>5079.4399999999996</v>
      </c>
      <c r="J94" s="555"/>
    </row>
    <row r="95" spans="1:11" s="148" customFormat="1" ht="26.45" customHeight="1" x14ac:dyDescent="0.25">
      <c r="A95" s="484" t="s">
        <v>1123</v>
      </c>
      <c r="B95" s="138" t="s">
        <v>1124</v>
      </c>
      <c r="C95" s="458">
        <f>C96</f>
        <v>591.5</v>
      </c>
      <c r="D95" s="293"/>
      <c r="E95" s="148" t="s">
        <v>1428</v>
      </c>
      <c r="J95" s="555"/>
    </row>
    <row r="96" spans="1:11" s="148" customFormat="1" ht="30.75" customHeight="1" x14ac:dyDescent="0.25">
      <c r="A96" s="487" t="s">
        <v>825</v>
      </c>
      <c r="B96" s="301" t="s">
        <v>826</v>
      </c>
      <c r="C96" s="459">
        <f>922.6-354.1+31.1-8.1</f>
        <v>591.5</v>
      </c>
      <c r="D96" s="331">
        <f>'Пр.4 ведом.21'!G604-92.26</f>
        <v>560.50000000000011</v>
      </c>
      <c r="E96" s="309">
        <f>83.03+839.57</f>
        <v>922.6</v>
      </c>
      <c r="J96" s="555"/>
      <c r="K96" s="555"/>
    </row>
    <row r="97" spans="1:12" s="148" customFormat="1" ht="24.75" hidden="1" customHeight="1" x14ac:dyDescent="0.25">
      <c r="A97" s="265" t="s">
        <v>1156</v>
      </c>
      <c r="B97" s="266" t="s">
        <v>1157</v>
      </c>
      <c r="C97" s="458">
        <f>C98</f>
        <v>0</v>
      </c>
      <c r="D97" s="293"/>
      <c r="J97" s="555"/>
    </row>
    <row r="98" spans="1:12" s="148" customFormat="1" ht="21.75" hidden="1" customHeight="1" x14ac:dyDescent="0.25">
      <c r="A98" s="267" t="s">
        <v>1154</v>
      </c>
      <c r="B98" s="268" t="s">
        <v>1155</v>
      </c>
      <c r="C98" s="459">
        <v>0</v>
      </c>
      <c r="D98" s="293">
        <f>'Пр.4 ведом.21'!G442</f>
        <v>0</v>
      </c>
      <c r="E98" s="148">
        <v>2202.4</v>
      </c>
      <c r="F98" s="148" t="s">
        <v>1428</v>
      </c>
      <c r="J98" s="555"/>
    </row>
    <row r="99" spans="1:12" ht="31.5" x14ac:dyDescent="0.25">
      <c r="A99" s="484" t="s">
        <v>1125</v>
      </c>
      <c r="B99" s="138" t="s">
        <v>1126</v>
      </c>
      <c r="C99" s="458">
        <f>SUM(C100)</f>
        <v>21435.004000000001</v>
      </c>
      <c r="D99" s="293"/>
      <c r="G99" s="148"/>
    </row>
    <row r="100" spans="1:12" s="148" customFormat="1" ht="35.450000000000003" customHeight="1" x14ac:dyDescent="0.25">
      <c r="A100" s="487" t="s">
        <v>811</v>
      </c>
      <c r="B100" s="236" t="s">
        <v>1666</v>
      </c>
      <c r="C100" s="459">
        <v>21435.004000000001</v>
      </c>
      <c r="D100" s="293">
        <f>'Пр.4 ведом.21'!G1151-500-874</f>
        <v>21435.004000000001</v>
      </c>
      <c r="E100" s="148">
        <v>3026.4</v>
      </c>
      <c r="F100" s="148" t="s">
        <v>1428</v>
      </c>
      <c r="J100" s="555"/>
    </row>
    <row r="101" spans="1:12" s="191" customFormat="1" ht="32.25" hidden="1" customHeight="1" x14ac:dyDescent="0.25">
      <c r="A101" s="484" t="s">
        <v>1452</v>
      </c>
      <c r="B101" s="147" t="s">
        <v>1451</v>
      </c>
      <c r="C101" s="458">
        <f>C102</f>
        <v>0</v>
      </c>
      <c r="D101" s="294"/>
      <c r="J101" s="556"/>
    </row>
    <row r="102" spans="1:12" s="148" customFormat="1" ht="32.25" hidden="1" customHeight="1" x14ac:dyDescent="0.25">
      <c r="A102" s="487" t="s">
        <v>1453</v>
      </c>
      <c r="B102" s="236" t="s">
        <v>1450</v>
      </c>
      <c r="C102" s="459"/>
      <c r="D102" s="331">
        <f>'Пр.4 ведом.21'!G1104</f>
        <v>0</v>
      </c>
      <c r="J102" s="555"/>
    </row>
    <row r="103" spans="1:12" s="191" customFormat="1" ht="15.75" x14ac:dyDescent="0.25">
      <c r="A103" s="484" t="s">
        <v>1128</v>
      </c>
      <c r="B103" s="138" t="s">
        <v>1127</v>
      </c>
      <c r="C103" s="120">
        <f>C104</f>
        <v>105716.55317999999</v>
      </c>
      <c r="D103" s="294"/>
      <c r="G103" s="193"/>
      <c r="H103" s="192">
        <f>C105+C106+C107+C108+C109+C112+C113+C115+C116+C117+C119</f>
        <v>14678.8</v>
      </c>
      <c r="I103" s="192"/>
      <c r="J103" s="556"/>
    </row>
    <row r="104" spans="1:12" s="191" customFormat="1" ht="15.75" x14ac:dyDescent="0.25">
      <c r="A104" s="201" t="s">
        <v>810</v>
      </c>
      <c r="B104" s="144" t="s">
        <v>98</v>
      </c>
      <c r="C104" s="27">
        <f>C105+C106+C107+C108+C111+C112+C113+C114+C115+C117+C118+C119+C120+C121+C122+C123+C124+C125+C126+C127+C128+C129+C130+C131+C132</f>
        <v>105716.55317999999</v>
      </c>
      <c r="D104" s="294"/>
      <c r="G104" s="193"/>
      <c r="I104" s="192"/>
      <c r="J104" s="556"/>
    </row>
    <row r="105" spans="1:12" ht="78.75" x14ac:dyDescent="0.25">
      <c r="A105" s="610"/>
      <c r="B105" s="139" t="s">
        <v>1569</v>
      </c>
      <c r="C105" s="459">
        <v>65.2</v>
      </c>
      <c r="D105" s="331" t="e">
        <f>'Пр.4 ведом.21'!#REF!</f>
        <v>#REF!</v>
      </c>
    </row>
    <row r="106" spans="1:12" ht="115.5" customHeight="1" x14ac:dyDescent="0.25">
      <c r="A106" s="611"/>
      <c r="B106" s="149" t="s">
        <v>1575</v>
      </c>
      <c r="C106" s="428">
        <v>1666.6</v>
      </c>
      <c r="D106" s="331">
        <f>'Пр.4 ведом.21'!G673</f>
        <v>1738</v>
      </c>
    </row>
    <row r="107" spans="1:12" ht="134.44999999999999" hidden="1" customHeight="1" x14ac:dyDescent="0.25">
      <c r="A107" s="611"/>
      <c r="B107" s="29" t="s">
        <v>1714</v>
      </c>
      <c r="C107" s="428">
        <f>200-200</f>
        <v>0</v>
      </c>
      <c r="D107" s="293" t="e">
        <f>'Пр.4 ведом.21'!#REF!</f>
        <v>#REF!</v>
      </c>
    </row>
    <row r="108" spans="1:12" ht="81.75" customHeight="1" x14ac:dyDescent="0.25">
      <c r="A108" s="611"/>
      <c r="B108" s="419" t="s">
        <v>1570</v>
      </c>
      <c r="C108" s="271">
        <f>2161.1+404.7+63.47+8.35+22.38</f>
        <v>2659.9999999999995</v>
      </c>
      <c r="D108" s="329" t="e">
        <f>'Пр.4 ведом.21'!#REF!</f>
        <v>#REF!</v>
      </c>
      <c r="I108" s="115"/>
    </row>
    <row r="109" spans="1:12" ht="63" hidden="1" customHeight="1" x14ac:dyDescent="0.25">
      <c r="A109" s="611"/>
      <c r="B109" s="149" t="s">
        <v>1432</v>
      </c>
      <c r="C109" s="10"/>
      <c r="D109" s="293" t="e">
        <f>SUM(D110:D111)</f>
        <v>#REF!</v>
      </c>
      <c r="G109" s="150"/>
    </row>
    <row r="110" spans="1:12" s="150" customFormat="1" ht="94.7" hidden="1" customHeight="1" x14ac:dyDescent="0.25">
      <c r="A110" s="611"/>
      <c r="B110" s="420" t="s">
        <v>1433</v>
      </c>
      <c r="C110" s="429">
        <v>0</v>
      </c>
      <c r="D110" s="295"/>
      <c r="J110" s="557"/>
      <c r="L110" s="128"/>
    </row>
    <row r="111" spans="1:12" s="150" customFormat="1" ht="127.5" customHeight="1" x14ac:dyDescent="0.25">
      <c r="A111" s="611"/>
      <c r="B111" s="139" t="s">
        <v>1568</v>
      </c>
      <c r="C111" s="459">
        <f>40-40</f>
        <v>0</v>
      </c>
      <c r="D111" s="331" t="e">
        <f>'Пр.4 ведом.21'!#REF!</f>
        <v>#REF!</v>
      </c>
      <c r="J111" s="558"/>
      <c r="L111" s="128"/>
    </row>
    <row r="112" spans="1:12" ht="78.75" x14ac:dyDescent="0.25">
      <c r="A112" s="611"/>
      <c r="B112" s="139" t="s">
        <v>1571</v>
      </c>
      <c r="C112" s="459">
        <f>1731.8-730</f>
        <v>1001.8</v>
      </c>
      <c r="D112" s="329" t="e">
        <f>'Пр.4 ведом.21'!#REF!</f>
        <v>#REF!</v>
      </c>
    </row>
    <row r="113" spans="1:10" ht="78.75" hidden="1" x14ac:dyDescent="0.25">
      <c r="A113" s="611"/>
      <c r="B113" s="139" t="s">
        <v>1574</v>
      </c>
      <c r="C113" s="459">
        <f>255-91.9-163.1</f>
        <v>0</v>
      </c>
      <c r="D113" s="331" t="e">
        <f>'Пр.4 ведом.21'!#REF!</f>
        <v>#REF!</v>
      </c>
    </row>
    <row r="114" spans="1:10" ht="63" x14ac:dyDescent="0.25">
      <c r="A114" s="611"/>
      <c r="B114" s="46" t="s">
        <v>1572</v>
      </c>
      <c r="C114" s="459">
        <f>1630-1630</f>
        <v>0</v>
      </c>
      <c r="D114" s="331" t="e">
        <f>'Пр.4 ведом.21'!#REF!</f>
        <v>#REF!</v>
      </c>
    </row>
    <row r="115" spans="1:10" ht="82.5" customHeight="1" x14ac:dyDescent="0.25">
      <c r="A115" s="611"/>
      <c r="B115" s="139" t="s">
        <v>1573</v>
      </c>
      <c r="C115" s="459">
        <v>516.6</v>
      </c>
      <c r="D115" s="331" t="e">
        <f>'Пр.4 ведом.21'!#REF!</f>
        <v>#REF!</v>
      </c>
    </row>
    <row r="116" spans="1:10" ht="47.25" hidden="1" customHeight="1" x14ac:dyDescent="0.25">
      <c r="A116" s="611"/>
      <c r="B116" s="29" t="s">
        <v>1435</v>
      </c>
      <c r="C116" s="10">
        <v>0</v>
      </c>
      <c r="D116" s="293" t="e">
        <f>'Пр.4 ведом.21'!#REF!</f>
        <v>#REF!</v>
      </c>
    </row>
    <row r="117" spans="1:10" s="189" customFormat="1" ht="149.25" customHeight="1" x14ac:dyDescent="0.2">
      <c r="A117" s="611"/>
      <c r="B117" s="421" t="s">
        <v>1576</v>
      </c>
      <c r="C117" s="27">
        <v>166.7</v>
      </c>
      <c r="D117" s="296" t="e">
        <f>'Пр.4 ведом.21'!#REF!</f>
        <v>#REF!</v>
      </c>
      <c r="J117" s="559"/>
    </row>
    <row r="118" spans="1:10" s="189" customFormat="1" ht="84.2" customHeight="1" x14ac:dyDescent="0.2">
      <c r="A118" s="611"/>
      <c r="B118" s="422" t="s">
        <v>1577</v>
      </c>
      <c r="C118" s="27">
        <v>74.900000000000006</v>
      </c>
      <c r="D118" s="296" t="e">
        <f>'Пр.4 ведом.21'!#REF!</f>
        <v>#REF!</v>
      </c>
      <c r="J118" s="559"/>
    </row>
    <row r="119" spans="1:10" s="189" customFormat="1" ht="118.5" customHeight="1" x14ac:dyDescent="0.2">
      <c r="A119" s="611"/>
      <c r="B119" s="46" t="s">
        <v>1747</v>
      </c>
      <c r="C119" s="27">
        <v>8601.9</v>
      </c>
      <c r="D119" s="330"/>
      <c r="J119" s="559"/>
    </row>
    <row r="120" spans="1:10" s="189" customFormat="1" ht="141" customHeight="1" x14ac:dyDescent="0.2">
      <c r="A120" s="611"/>
      <c r="B120" s="45" t="s">
        <v>1629</v>
      </c>
      <c r="C120" s="27">
        <f>238.4+8.9</f>
        <v>247.3</v>
      </c>
      <c r="D120" s="330"/>
      <c r="J120" s="559"/>
    </row>
    <row r="121" spans="1:10" s="438" customFormat="1" ht="128.25" customHeight="1" x14ac:dyDescent="0.2">
      <c r="A121" s="611"/>
      <c r="B121" s="433" t="s">
        <v>1628</v>
      </c>
      <c r="C121" s="27">
        <f>16158.4-0.19653</f>
        <v>16158.20347</v>
      </c>
      <c r="D121" s="439"/>
      <c r="J121" s="559"/>
    </row>
    <row r="122" spans="1:10" s="438" customFormat="1" ht="41.25" customHeight="1" x14ac:dyDescent="0.2">
      <c r="A122" s="611"/>
      <c r="B122" s="433" t="s">
        <v>1637</v>
      </c>
      <c r="C122" s="27">
        <f>3168.8-439.543</f>
        <v>2729.2570000000001</v>
      </c>
      <c r="D122" s="439"/>
      <c r="J122" s="559"/>
    </row>
    <row r="123" spans="1:10" s="438" customFormat="1" ht="41.25" customHeight="1" x14ac:dyDescent="0.2">
      <c r="A123" s="611"/>
      <c r="B123" s="433" t="s">
        <v>1660</v>
      </c>
      <c r="C123" s="27">
        <v>180.6</v>
      </c>
      <c r="D123" s="439"/>
      <c r="J123" s="559"/>
    </row>
    <row r="124" spans="1:10" s="438" customFormat="1" ht="41.25" customHeight="1" x14ac:dyDescent="0.2">
      <c r="A124" s="611"/>
      <c r="B124" s="433" t="s">
        <v>1662</v>
      </c>
      <c r="C124" s="27">
        <f>513.8-228.8</f>
        <v>284.99999999999994</v>
      </c>
      <c r="D124" s="439"/>
      <c r="J124" s="559"/>
    </row>
    <row r="125" spans="1:10" s="438" customFormat="1" ht="41.25" customHeight="1" x14ac:dyDescent="0.2">
      <c r="A125" s="611"/>
      <c r="B125" s="433" t="s">
        <v>1661</v>
      </c>
      <c r="C125" s="27">
        <v>2500</v>
      </c>
      <c r="D125" s="439"/>
      <c r="J125" s="559"/>
    </row>
    <row r="126" spans="1:10" s="438" customFormat="1" ht="41.25" customHeight="1" x14ac:dyDescent="0.2">
      <c r="A126" s="611"/>
      <c r="B126" s="433" t="s">
        <v>1677</v>
      </c>
      <c r="C126" s="27">
        <f>501.7+959</f>
        <v>1460.7</v>
      </c>
      <c r="D126" s="439"/>
      <c r="J126" s="559"/>
    </row>
    <row r="127" spans="1:10" s="494" customFormat="1" ht="45.75" customHeight="1" x14ac:dyDescent="0.2">
      <c r="A127" s="611"/>
      <c r="B127" s="433" t="s">
        <v>1685</v>
      </c>
      <c r="C127" s="27">
        <v>448</v>
      </c>
      <c r="D127" s="439"/>
      <c r="J127" s="560"/>
    </row>
    <row r="128" spans="1:10" s="494" customFormat="1" ht="45.75" customHeight="1" x14ac:dyDescent="0.2">
      <c r="A128" s="611"/>
      <c r="B128" s="433" t="s">
        <v>1697</v>
      </c>
      <c r="C128" s="27">
        <v>4816.3</v>
      </c>
      <c r="D128" s="439"/>
      <c r="J128" s="560"/>
    </row>
    <row r="129" spans="1:16" s="494" customFormat="1" ht="34.5" customHeight="1" x14ac:dyDescent="0.2">
      <c r="A129" s="611"/>
      <c r="B129" s="433" t="s">
        <v>1705</v>
      </c>
      <c r="C129" s="27">
        <v>4173.5</v>
      </c>
      <c r="D129" s="439"/>
      <c r="J129" s="560"/>
    </row>
    <row r="130" spans="1:16" s="494" customFormat="1" ht="85.5" customHeight="1" x14ac:dyDescent="0.2">
      <c r="A130" s="611"/>
      <c r="B130" s="433" t="s">
        <v>1711</v>
      </c>
      <c r="C130" s="27">
        <v>1492.7</v>
      </c>
      <c r="D130" s="439"/>
      <c r="J130" s="560"/>
    </row>
    <row r="131" spans="1:16" s="494" customFormat="1" ht="41.25" customHeight="1" x14ac:dyDescent="0.2">
      <c r="A131" s="611"/>
      <c r="B131" s="433" t="s">
        <v>1770</v>
      </c>
      <c r="C131" s="27">
        <v>286</v>
      </c>
      <c r="D131" s="439"/>
      <c r="J131" s="560"/>
    </row>
    <row r="132" spans="1:16" s="494" customFormat="1" ht="54" customHeight="1" x14ac:dyDescent="0.2">
      <c r="A132" s="612"/>
      <c r="B132" s="433" t="s">
        <v>1771</v>
      </c>
      <c r="C132" s="27">
        <v>56185.292710000002</v>
      </c>
      <c r="D132" s="439"/>
      <c r="J132" s="560"/>
    </row>
    <row r="133" spans="1:16" ht="15.75" x14ac:dyDescent="0.25">
      <c r="A133" s="137" t="s">
        <v>809</v>
      </c>
      <c r="B133" s="146" t="s">
        <v>100</v>
      </c>
      <c r="C133" s="458">
        <f>C159+C134+C155+C157</f>
        <v>234168.01</v>
      </c>
      <c r="D133" s="293"/>
      <c r="F133" s="115"/>
      <c r="H133" s="128">
        <v>242488.3</v>
      </c>
      <c r="I133" s="115">
        <f>H133-C133</f>
        <v>8320.289999999979</v>
      </c>
    </row>
    <row r="134" spans="1:16" ht="31.5" x14ac:dyDescent="0.25">
      <c r="A134" s="137" t="s">
        <v>808</v>
      </c>
      <c r="B134" s="146" t="s">
        <v>101</v>
      </c>
      <c r="C134" s="458">
        <f>C135</f>
        <v>233562.81000000003</v>
      </c>
      <c r="D134" s="293"/>
    </row>
    <row r="135" spans="1:16" ht="31.5" x14ac:dyDescent="0.25">
      <c r="A135" s="201" t="s">
        <v>807</v>
      </c>
      <c r="B135" s="139" t="s">
        <v>102</v>
      </c>
      <c r="C135" s="459">
        <f>SUM(C136+C137+C138+C139+C140+C141+C142+C145+C146+C147+C148+C150+C149+C151)</f>
        <v>233562.81000000003</v>
      </c>
      <c r="D135" s="293"/>
    </row>
    <row r="136" spans="1:16" ht="97.5" customHeight="1" x14ac:dyDescent="0.25">
      <c r="A136" s="610"/>
      <c r="B136" s="419" t="s">
        <v>1579</v>
      </c>
      <c r="C136" s="10">
        <f>131567.2-5318.53+5259.622-1931.414-684.865+830.509-2388.475-490.61-2347.791+107.38+288.987+239.685-272.801+129.253-369.305</f>
        <v>124618.845</v>
      </c>
      <c r="D136" s="331">
        <f>'Пр.4 ведом.21'!G713</f>
        <v>124618.84300000002</v>
      </c>
      <c r="K136" s="553"/>
      <c r="L136" s="553"/>
      <c r="P136" s="202"/>
    </row>
    <row r="137" spans="1:16" ht="81" customHeight="1" x14ac:dyDescent="0.25">
      <c r="A137" s="611"/>
      <c r="B137" s="139" t="s">
        <v>1586</v>
      </c>
      <c r="C137" s="10">
        <f>90957.3-1137.93-2963.722-864.682-1143.1-413.579-423.433-852.927-1868-1839.262</f>
        <v>79450.665000000008</v>
      </c>
      <c r="D137" s="331">
        <f>'Пр.4 ведом.21'!G648</f>
        <v>79450.664999999994</v>
      </c>
      <c r="K137" s="553"/>
    </row>
    <row r="138" spans="1:16" ht="99" customHeight="1" x14ac:dyDescent="0.25">
      <c r="A138" s="611"/>
      <c r="B138" s="139" t="s">
        <v>1580</v>
      </c>
      <c r="C138" s="10">
        <f>4777.5+69</f>
        <v>4846.5</v>
      </c>
      <c r="D138" s="331">
        <f>'Пр.4 ведом.21'!G810+'Пр.4 ведом.21'!G645+'Пр.4 ведом.21'!G357+'Пр.4 ведом.21'!G719</f>
        <v>4846.5</v>
      </c>
      <c r="E138" s="229">
        <f>C138-D138</f>
        <v>0</v>
      </c>
    </row>
    <row r="139" spans="1:16" ht="97.5" customHeight="1" x14ac:dyDescent="0.25">
      <c r="A139" s="611"/>
      <c r="B139" s="139" t="s">
        <v>1581</v>
      </c>
      <c r="C139" s="10">
        <f>2185-158.737</f>
        <v>2026.2629999999999</v>
      </c>
      <c r="D139" s="331">
        <f>'Пр.4 ведом.21'!G807+'Пр.4 ведом.21'!G716+'Пр.4 ведом.21'!G642+'Пр.4 ведом.21'!G354</f>
        <v>2026.2629999999999</v>
      </c>
      <c r="E139" s="229">
        <f>C139-D139</f>
        <v>0</v>
      </c>
    </row>
    <row r="140" spans="1:16" ht="97.5" customHeight="1" x14ac:dyDescent="0.25">
      <c r="A140" s="611"/>
      <c r="B140" s="139" t="s">
        <v>1582</v>
      </c>
      <c r="C140" s="10">
        <v>1439.4</v>
      </c>
      <c r="D140" s="331">
        <f>'Пр.4 ведом.21'!G87</f>
        <v>1439.3999999999999</v>
      </c>
      <c r="E140" s="229">
        <f>C140-D140</f>
        <v>0</v>
      </c>
    </row>
    <row r="141" spans="1:16" ht="135.75" customHeight="1" x14ac:dyDescent="0.25">
      <c r="A141" s="611"/>
      <c r="B141" s="139" t="s">
        <v>1584</v>
      </c>
      <c r="C141" s="10">
        <v>264.2</v>
      </c>
      <c r="D141" s="331">
        <f>'Пр.4 ведом.21'!G228</f>
        <v>264.2</v>
      </c>
      <c r="E141" s="229">
        <f>C141-D141</f>
        <v>0</v>
      </c>
    </row>
    <row r="142" spans="1:16" ht="51" customHeight="1" x14ac:dyDescent="0.25">
      <c r="A142" s="611"/>
      <c r="B142" s="139" t="s">
        <v>1585</v>
      </c>
      <c r="C142" s="10">
        <f>SUM(C143:C144)</f>
        <v>3619.2</v>
      </c>
      <c r="D142" s="329">
        <f>'Пр.4 ведом.21'!G254</f>
        <v>3619.2000000000007</v>
      </c>
    </row>
    <row r="143" spans="1:16" ht="78.75" x14ac:dyDescent="0.25">
      <c r="A143" s="611"/>
      <c r="B143" s="423" t="s">
        <v>1600</v>
      </c>
      <c r="C143" s="429">
        <v>2829.1</v>
      </c>
      <c r="D143" s="293"/>
    </row>
    <row r="144" spans="1:16" ht="126" x14ac:dyDescent="0.25">
      <c r="A144" s="611"/>
      <c r="B144" s="423" t="s">
        <v>1601</v>
      </c>
      <c r="C144" s="429">
        <v>790.1</v>
      </c>
      <c r="D144" s="293"/>
    </row>
    <row r="145" spans="1:11" ht="129.75" customHeight="1" x14ac:dyDescent="0.25">
      <c r="A145" s="611"/>
      <c r="B145" s="139" t="s">
        <v>1587</v>
      </c>
      <c r="C145" s="10">
        <v>341.4</v>
      </c>
      <c r="D145" s="331">
        <f>'Пр.4 ведом.21'!G426</f>
        <v>341.4</v>
      </c>
    </row>
    <row r="146" spans="1:11" ht="96.75" customHeight="1" x14ac:dyDescent="0.25">
      <c r="A146" s="611"/>
      <c r="B146" s="139" t="s">
        <v>1578</v>
      </c>
      <c r="C146" s="10">
        <v>900</v>
      </c>
      <c r="D146" s="331">
        <f>'Пр.4 ведом.21'!G720</f>
        <v>900</v>
      </c>
    </row>
    <row r="147" spans="1:11" ht="47.25" x14ac:dyDescent="0.25">
      <c r="A147" s="611"/>
      <c r="B147" s="139" t="s">
        <v>1588</v>
      </c>
      <c r="C147" s="10">
        <v>1334.3</v>
      </c>
      <c r="D147" s="331">
        <f>'Пр.4 ведом.21'!G92</f>
        <v>1334.3000000000002</v>
      </c>
      <c r="E147" s="229">
        <f>C147-D147</f>
        <v>0</v>
      </c>
      <c r="J147" s="561"/>
      <c r="K147" s="442"/>
    </row>
    <row r="148" spans="1:11" ht="149.25" hidden="1" customHeight="1" x14ac:dyDescent="0.25">
      <c r="A148" s="611"/>
      <c r="B148" s="29" t="s">
        <v>1583</v>
      </c>
      <c r="C148" s="10">
        <f>22.3-22.3</f>
        <v>0</v>
      </c>
      <c r="D148" s="288">
        <f>'Пр.4 ведом.21'!G582</f>
        <v>0</v>
      </c>
      <c r="E148" s="200"/>
      <c r="F148" s="200"/>
      <c r="G148" s="200"/>
      <c r="H148" s="200"/>
      <c r="I148" s="200"/>
    </row>
    <row r="149" spans="1:11" ht="144" customHeight="1" x14ac:dyDescent="0.25">
      <c r="A149" s="611"/>
      <c r="B149" s="46" t="s">
        <v>1590</v>
      </c>
      <c r="C149" s="10">
        <f>1975.4-1975.4</f>
        <v>0</v>
      </c>
      <c r="D149" s="311">
        <f>'Пр.4 ведом.21'!G615</f>
        <v>0</v>
      </c>
      <c r="E149" s="200"/>
      <c r="F149" s="200"/>
      <c r="G149" s="200"/>
      <c r="H149" s="200"/>
      <c r="I149" s="200"/>
    </row>
    <row r="150" spans="1:11" ht="67.7" customHeight="1" x14ac:dyDescent="0.25">
      <c r="A150" s="611"/>
      <c r="B150" s="139" t="s">
        <v>1589</v>
      </c>
      <c r="C150" s="10">
        <v>1857.2</v>
      </c>
      <c r="D150" s="288">
        <f>'Пр.4 ведом.21'!G1138</f>
        <v>1857.2</v>
      </c>
      <c r="E150" s="200"/>
      <c r="F150" s="200"/>
      <c r="G150" s="200"/>
      <c r="H150" s="200"/>
      <c r="I150" s="200"/>
    </row>
    <row r="151" spans="1:11" ht="81" customHeight="1" x14ac:dyDescent="0.25">
      <c r="A151" s="611"/>
      <c r="B151" s="151" t="s">
        <v>1591</v>
      </c>
      <c r="C151" s="430">
        <f>SUM(C152:C154)</f>
        <v>12864.837</v>
      </c>
      <c r="D151" s="288"/>
      <c r="E151" s="200"/>
      <c r="F151" s="200"/>
      <c r="G151" s="200"/>
      <c r="H151" s="200"/>
      <c r="I151" s="200"/>
    </row>
    <row r="152" spans="1:11" ht="47.25" customHeight="1" x14ac:dyDescent="0.25">
      <c r="A152" s="611"/>
      <c r="B152" s="312" t="s">
        <v>1458</v>
      </c>
      <c r="C152" s="431">
        <f>9911+89.737</f>
        <v>10000.736999999999</v>
      </c>
      <c r="D152" s="288">
        <f>'Пр.4 ведом.21'!G351+'Пр.4 ведом.21'!G639+'Пр.4 ведом.21'!G710+'Пр.4 ведом.21'!G804</f>
        <v>10000.737000000001</v>
      </c>
      <c r="E152" s="200">
        <f>C152-D152</f>
        <v>0</v>
      </c>
      <c r="F152" s="200"/>
      <c r="G152" s="200"/>
      <c r="H152" s="200"/>
      <c r="I152" s="200"/>
    </row>
    <row r="153" spans="1:11" ht="54" customHeight="1" x14ac:dyDescent="0.25">
      <c r="A153" s="611"/>
      <c r="B153" s="312" t="s">
        <v>1459</v>
      </c>
      <c r="C153" s="431">
        <v>2100.6</v>
      </c>
      <c r="D153" s="288">
        <f>'Пр.4 ведом.21'!G423</f>
        <v>2100.6</v>
      </c>
      <c r="E153" s="200"/>
      <c r="F153" s="200"/>
      <c r="G153" s="200"/>
      <c r="H153" s="200"/>
      <c r="I153" s="200"/>
    </row>
    <row r="154" spans="1:11" ht="52.5" customHeight="1" x14ac:dyDescent="0.25">
      <c r="A154" s="612"/>
      <c r="B154" s="312" t="s">
        <v>1460</v>
      </c>
      <c r="C154" s="431">
        <f>813.5-30-20</f>
        <v>763.5</v>
      </c>
      <c r="D154" s="288">
        <f>'Пр.4 ведом.21'!G910</f>
        <v>763.5</v>
      </c>
      <c r="E154" s="200"/>
      <c r="F154" s="200"/>
      <c r="G154" s="200"/>
      <c r="H154" s="200"/>
      <c r="I154" s="200"/>
    </row>
    <row r="155" spans="1:11" ht="55.15" hidden="1" customHeight="1" x14ac:dyDescent="0.25">
      <c r="A155" s="137" t="s">
        <v>1168</v>
      </c>
      <c r="B155" s="58" t="s">
        <v>1170</v>
      </c>
      <c r="C155" s="59">
        <f>C156</f>
        <v>0</v>
      </c>
      <c r="D155" s="288">
        <f>'Пр.4 ведом.21'!G76</f>
        <v>0</v>
      </c>
      <c r="E155" s="200"/>
      <c r="F155" s="200"/>
      <c r="G155" s="200"/>
      <c r="H155" s="200"/>
      <c r="I155" s="200"/>
    </row>
    <row r="156" spans="1:11" ht="54" hidden="1" customHeight="1" x14ac:dyDescent="0.25">
      <c r="A156" s="201" t="s">
        <v>1169</v>
      </c>
      <c r="B156" s="45" t="s">
        <v>1170</v>
      </c>
      <c r="C156" s="10">
        <v>0</v>
      </c>
      <c r="D156" s="288">
        <f>'Пр.4 ведом.21'!G78</f>
        <v>0</v>
      </c>
      <c r="E156" s="200"/>
      <c r="F156" s="200"/>
      <c r="G156" s="200"/>
      <c r="H156" s="200"/>
      <c r="I156" s="200"/>
    </row>
    <row r="157" spans="1:11" ht="31.5" x14ac:dyDescent="0.25">
      <c r="A157" s="137" t="s">
        <v>1486</v>
      </c>
      <c r="B157" s="58" t="s">
        <v>1487</v>
      </c>
      <c r="C157" s="59">
        <f>C158</f>
        <v>105.9</v>
      </c>
      <c r="D157" s="288"/>
      <c r="E157" s="200"/>
      <c r="F157" s="200"/>
      <c r="G157" s="200"/>
      <c r="H157" s="200"/>
      <c r="I157" s="200"/>
    </row>
    <row r="158" spans="1:11" ht="31.5" x14ac:dyDescent="0.25">
      <c r="A158" s="201" t="s">
        <v>1488</v>
      </c>
      <c r="B158" s="45" t="s">
        <v>1489</v>
      </c>
      <c r="C158" s="10">
        <v>105.9</v>
      </c>
      <c r="D158" s="288">
        <f>'Пр.4 ведом.21'!G81</f>
        <v>105.9</v>
      </c>
      <c r="E158" s="200"/>
      <c r="F158" s="200"/>
      <c r="G158" s="200"/>
      <c r="H158" s="200"/>
      <c r="I158" s="200"/>
    </row>
    <row r="159" spans="1:11" ht="31.5" x14ac:dyDescent="0.25">
      <c r="A159" s="137" t="s">
        <v>806</v>
      </c>
      <c r="B159" s="146" t="s">
        <v>103</v>
      </c>
      <c r="C159" s="458">
        <f t="shared" ref="C159" si="15">C160</f>
        <v>499.29999999999995</v>
      </c>
      <c r="D159" s="293"/>
    </row>
    <row r="160" spans="1:11" ht="31.5" x14ac:dyDescent="0.25">
      <c r="A160" s="201" t="s">
        <v>805</v>
      </c>
      <c r="B160" s="139" t="s">
        <v>104</v>
      </c>
      <c r="C160" s="459">
        <f>555.9-56.6+1.99917-1.99917</f>
        <v>499.29999999999995</v>
      </c>
      <c r="D160" s="333">
        <f>'Пр.4 ведом.21'!G82</f>
        <v>499.29999999999995</v>
      </c>
    </row>
    <row r="161" spans="1:10" ht="15.75" x14ac:dyDescent="0.25">
      <c r="A161" s="137" t="s">
        <v>804</v>
      </c>
      <c r="B161" s="146" t="s">
        <v>105</v>
      </c>
      <c r="C161" s="458">
        <f>C166+C164+C162+C171+C173</f>
        <v>22075</v>
      </c>
      <c r="D161" s="293"/>
    </row>
    <row r="162" spans="1:10" ht="52.5" customHeight="1" x14ac:dyDescent="0.25">
      <c r="A162" s="137" t="s">
        <v>1646</v>
      </c>
      <c r="B162" s="452" t="s">
        <v>1647</v>
      </c>
      <c r="C162" s="458">
        <f>C163</f>
        <v>1500</v>
      </c>
      <c r="D162" s="293"/>
    </row>
    <row r="163" spans="1:10" ht="51.75" customHeight="1" x14ac:dyDescent="0.25">
      <c r="A163" s="201" t="s">
        <v>1648</v>
      </c>
      <c r="B163" s="149" t="s">
        <v>1649</v>
      </c>
      <c r="C163" s="459">
        <v>1500</v>
      </c>
      <c r="D163" s="293"/>
    </row>
    <row r="164" spans="1:10" ht="48.2" customHeight="1" x14ac:dyDescent="0.25">
      <c r="A164" s="287" t="s">
        <v>1399</v>
      </c>
      <c r="B164" s="302" t="s">
        <v>1397</v>
      </c>
      <c r="C164" s="458">
        <f>C165</f>
        <v>7028</v>
      </c>
      <c r="D164" s="293"/>
    </row>
    <row r="165" spans="1:10" ht="46.9" customHeight="1" x14ac:dyDescent="0.25">
      <c r="A165" s="259" t="s">
        <v>1667</v>
      </c>
      <c r="B165" s="151" t="s">
        <v>1398</v>
      </c>
      <c r="C165" s="459">
        <f>7226.1-198.1</f>
        <v>7028</v>
      </c>
      <c r="D165" s="329">
        <f>'Пр.4 ведом.21'!G707</f>
        <v>7028</v>
      </c>
    </row>
    <row r="166" spans="1:10" ht="15.75" hidden="1" x14ac:dyDescent="0.25">
      <c r="A166" s="137" t="s">
        <v>803</v>
      </c>
      <c r="B166" s="146" t="s">
        <v>106</v>
      </c>
      <c r="C166" s="458">
        <f>C167</f>
        <v>0</v>
      </c>
      <c r="D166" s="205"/>
    </row>
    <row r="167" spans="1:10" ht="31.5" hidden="1" x14ac:dyDescent="0.25">
      <c r="A167" s="201" t="s">
        <v>815</v>
      </c>
      <c r="B167" s="139" t="s">
        <v>1129</v>
      </c>
      <c r="C167" s="431">
        <f>SUM(C168:C170)</f>
        <v>0</v>
      </c>
      <c r="D167" s="205"/>
    </row>
    <row r="168" spans="1:10" ht="15.75" hidden="1" x14ac:dyDescent="0.25">
      <c r="A168" s="607"/>
      <c r="B168" s="151"/>
      <c r="C168" s="431"/>
      <c r="D168" s="254">
        <f>'Пр.4 ведом.21'!G351+'Пр.4 ведом.21'!G639+'Пр.4 ведом.21'!G710+'Пр.4 ведом.21'!G804</f>
        <v>10000.737000000001</v>
      </c>
      <c r="E168" s="255">
        <f>C168-D168</f>
        <v>-10000.737000000001</v>
      </c>
    </row>
    <row r="169" spans="1:10" ht="112.7" hidden="1" customHeight="1" x14ac:dyDescent="0.25">
      <c r="A169" s="608"/>
      <c r="B169" s="151"/>
      <c r="C169" s="431"/>
      <c r="D169" s="254" t="e">
        <f>'Пр.4 ведом.21'!#REF!+'Пр.4 ведом.21'!G423</f>
        <v>#REF!</v>
      </c>
      <c r="E169" s="255" t="e">
        <f t="shared" ref="E169:E170" si="16">C169-D169</f>
        <v>#REF!</v>
      </c>
    </row>
    <row r="170" spans="1:10" ht="15.75" hidden="1" x14ac:dyDescent="0.25">
      <c r="A170" s="609"/>
      <c r="B170" s="151"/>
      <c r="C170" s="431"/>
      <c r="D170" s="254">
        <f>'Пр.4 ведом.21'!G910</f>
        <v>763.5</v>
      </c>
      <c r="E170" s="255">
        <f t="shared" si="16"/>
        <v>-763.5</v>
      </c>
    </row>
    <row r="171" spans="1:10" ht="31.5" x14ac:dyDescent="0.25">
      <c r="A171" s="543" t="s">
        <v>1762</v>
      </c>
      <c r="B171" s="302" t="s">
        <v>1765</v>
      </c>
      <c r="C171" s="432">
        <f>C172</f>
        <v>10000</v>
      </c>
      <c r="D171" s="254"/>
      <c r="E171" s="255"/>
    </row>
    <row r="172" spans="1:10" ht="31.5" x14ac:dyDescent="0.25">
      <c r="A172" s="544" t="s">
        <v>1763</v>
      </c>
      <c r="B172" s="151" t="s">
        <v>1764</v>
      </c>
      <c r="C172" s="431">
        <v>10000</v>
      </c>
      <c r="D172" s="254"/>
      <c r="E172" s="255"/>
    </row>
    <row r="173" spans="1:10" ht="23.25" customHeight="1" x14ac:dyDescent="0.25">
      <c r="A173" s="546" t="s">
        <v>803</v>
      </c>
      <c r="B173" s="548" t="s">
        <v>106</v>
      </c>
      <c r="C173" s="432">
        <f>C174</f>
        <v>3547</v>
      </c>
      <c r="D173" s="254"/>
      <c r="E173" s="255"/>
    </row>
    <row r="174" spans="1:10" ht="33.75" customHeight="1" x14ac:dyDescent="0.25">
      <c r="A174" s="547" t="s">
        <v>815</v>
      </c>
      <c r="B174" s="151" t="s">
        <v>1769</v>
      </c>
      <c r="C174" s="431">
        <v>3547</v>
      </c>
      <c r="D174" s="254"/>
      <c r="E174" s="255"/>
    </row>
    <row r="175" spans="1:10" ht="31.5" x14ac:dyDescent="0.25">
      <c r="A175" s="425" t="s">
        <v>1625</v>
      </c>
      <c r="B175" s="302" t="s">
        <v>1631</v>
      </c>
      <c r="C175" s="432">
        <f>C176</f>
        <v>5307.0497000000032</v>
      </c>
      <c r="D175" s="254"/>
      <c r="E175" s="255"/>
    </row>
    <row r="176" spans="1:10" s="191" customFormat="1" ht="31.5" x14ac:dyDescent="0.25">
      <c r="A176" s="486" t="s">
        <v>1630</v>
      </c>
      <c r="B176" s="302" t="s">
        <v>1632</v>
      </c>
      <c r="C176" s="432">
        <f>C177</f>
        <v>5307.0497000000032</v>
      </c>
      <c r="D176" s="440"/>
      <c r="E176" s="441"/>
      <c r="J176" s="556"/>
    </row>
    <row r="177" spans="1:12" ht="36" customHeight="1" x14ac:dyDescent="0.25">
      <c r="A177" s="488" t="s">
        <v>1623</v>
      </c>
      <c r="B177" s="151" t="s">
        <v>1624</v>
      </c>
      <c r="C177" s="431">
        <f>44726.9+10922.9-50342.7503</f>
        <v>5307.0497000000032</v>
      </c>
      <c r="D177" s="254"/>
      <c r="E177" s="255"/>
    </row>
    <row r="178" spans="1:12" ht="15.75" hidden="1" x14ac:dyDescent="0.25">
      <c r="A178" s="486"/>
      <c r="B178" s="151"/>
      <c r="C178" s="431"/>
      <c r="D178" s="254"/>
      <c r="E178" s="255"/>
    </row>
    <row r="179" spans="1:12" ht="15.75" hidden="1" x14ac:dyDescent="0.25">
      <c r="A179" s="486"/>
      <c r="B179" s="151"/>
      <c r="C179" s="431"/>
      <c r="D179" s="254"/>
      <c r="E179" s="255"/>
    </row>
    <row r="180" spans="1:12" ht="15.75" hidden="1" x14ac:dyDescent="0.25">
      <c r="A180" s="486"/>
      <c r="B180" s="151"/>
      <c r="C180" s="431"/>
      <c r="D180" s="254"/>
      <c r="E180" s="255"/>
    </row>
    <row r="181" spans="1:12" ht="15.75" hidden="1" x14ac:dyDescent="0.25">
      <c r="A181" s="486"/>
      <c r="B181" s="151"/>
      <c r="C181" s="431"/>
      <c r="D181" s="254"/>
      <c r="E181" s="255"/>
    </row>
    <row r="182" spans="1:12" ht="15.75" hidden="1" x14ac:dyDescent="0.25">
      <c r="A182" s="486"/>
      <c r="B182" s="151"/>
      <c r="C182" s="431"/>
      <c r="D182" s="254"/>
      <c r="E182" s="255"/>
    </row>
    <row r="183" spans="1:12" ht="15.75" hidden="1" x14ac:dyDescent="0.25">
      <c r="A183" s="461" t="s">
        <v>783</v>
      </c>
      <c r="B183" s="187" t="s">
        <v>784</v>
      </c>
      <c r="C183" s="432">
        <f>SUM(C184)</f>
        <v>0</v>
      </c>
    </row>
    <row r="184" spans="1:12" ht="15.75" hidden="1" x14ac:dyDescent="0.25">
      <c r="A184" s="461" t="s">
        <v>785</v>
      </c>
      <c r="B184" s="187" t="s">
        <v>786</v>
      </c>
      <c r="C184" s="432">
        <f>SUM(C185)</f>
        <v>0</v>
      </c>
    </row>
    <row r="185" spans="1:12" ht="15.75" hidden="1" x14ac:dyDescent="0.25">
      <c r="A185" s="604" t="s">
        <v>834</v>
      </c>
      <c r="B185" s="190" t="s">
        <v>786</v>
      </c>
      <c r="C185" s="432">
        <f>SUM(C187:C188)</f>
        <v>0</v>
      </c>
    </row>
    <row r="186" spans="1:12" ht="15.75" hidden="1" x14ac:dyDescent="0.25">
      <c r="A186" s="605"/>
      <c r="B186" s="190" t="s">
        <v>99</v>
      </c>
      <c r="C186" s="432"/>
    </row>
    <row r="187" spans="1:12" ht="22.7" hidden="1" customHeight="1" x14ac:dyDescent="0.25">
      <c r="A187" s="605"/>
      <c r="B187" s="188"/>
      <c r="C187" s="431">
        <v>0</v>
      </c>
    </row>
    <row r="188" spans="1:12" ht="15.75" hidden="1" x14ac:dyDescent="0.25">
      <c r="A188" s="605"/>
      <c r="B188" s="188"/>
      <c r="C188" s="431">
        <v>0</v>
      </c>
    </row>
    <row r="189" spans="1:12" ht="15.75" x14ac:dyDescent="0.25">
      <c r="A189" s="201"/>
      <c r="B189" s="184" t="s">
        <v>107</v>
      </c>
      <c r="C189" s="458">
        <f>SUM(C10+C75)</f>
        <v>936302.3528799999</v>
      </c>
      <c r="D189" s="148"/>
      <c r="G189" s="193"/>
      <c r="H189" s="115"/>
      <c r="L189" s="115"/>
    </row>
    <row r="190" spans="1:12" x14ac:dyDescent="0.25">
      <c r="C190" s="175">
        <f>C10+C79+C81</f>
        <v>537157.34100000001</v>
      </c>
    </row>
    <row r="191" spans="1:12" ht="21.2" customHeight="1" x14ac:dyDescent="0.25">
      <c r="C191" s="175">
        <f>C75-C79-C81</f>
        <v>399145.01187999989</v>
      </c>
      <c r="I191" s="229"/>
    </row>
  </sheetData>
  <mergeCells count="8">
    <mergeCell ref="B3:C3"/>
    <mergeCell ref="A185:A188"/>
    <mergeCell ref="A5:C5"/>
    <mergeCell ref="A6:C6"/>
    <mergeCell ref="A7:C7"/>
    <mergeCell ref="A168:A170"/>
    <mergeCell ref="A136:A154"/>
    <mergeCell ref="A105:A132"/>
  </mergeCells>
  <hyperlinks>
    <hyperlink ref="B67" r:id="rId1" display="consultantplus://offline/ref=90DD075742B43C415054D7C57EEE35341F87E5BC1D9D1BDE3A747C0D881C15D50B24F795703DF0A84C588B73F9A8AC3C8A6AC02CDB9A5E68c4m2F"/>
    <hyperlink ref="B69" r:id="rId2" display="consultantplus://offline/ref=90DD075742B43C415054D7C57EEE35341F87E5BC1D9D1BDE3A747C0D881C15D50B24F795703DF2AD4E588B73F9A8AC3C8A6AC02CDB9A5E68c4m2F"/>
    <hyperlink ref="B71" r:id="rId3" display="consultantplus://offline/ref=90DD075742B43C415054D7C57EEE35341F87E5BC1D9D1BDE3A747C0D881C15D50B24F795703CF7A64B588B73F9A8AC3C8A6AC02CDB9A5E68c4m2F"/>
    <hyperlink ref="B70" r:id="rId4" display="consultantplus://offline/ref=90DD075742B43C415054D7C57EEE35341F87E5BC1D9D1BDE3A747C0D881C15D50B24F795703CF7A64B588B73F9A8AC3C8A6AC02CDB9A5E68c4m2F"/>
    <hyperlink ref="B66" r:id="rId5" display="consultantplus://offline/ref=90DD075742B43C415054D7C57EEE35341F87E5BC1D9D1BDE3A747C0D881C15D50B24F795703DF0A84C588B73F9A8AC3C8A6AC02CDB9A5E68c4m2F"/>
    <hyperlink ref="B68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74" fitToHeight="6" orientation="portrait" r:id="rId7"/>
  <ignoredErrors>
    <ignoredError sqref="C44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05"/>
  <sheetViews>
    <sheetView view="pageBreakPreview" zoomScaleNormal="100" zoomScaleSheetLayoutView="100" workbookViewId="0">
      <selection activeCell="E3" sqref="E3"/>
    </sheetView>
  </sheetViews>
  <sheetFormatPr defaultColWidth="9.140625" defaultRowHeight="15" x14ac:dyDescent="0.25"/>
  <cols>
    <col min="1" max="1" width="62.28515625" style="204" customWidth="1"/>
    <col min="2" max="2" width="7" style="204" customWidth="1"/>
    <col min="3" max="3" width="4.28515625" style="204" customWidth="1"/>
    <col min="4" max="4" width="4.85546875" style="204" customWidth="1"/>
    <col min="5" max="5" width="15.42578125" style="204" customWidth="1"/>
    <col min="6" max="6" width="5.7109375" style="204" customWidth="1"/>
    <col min="7" max="7" width="15" style="115" customWidth="1"/>
    <col min="8" max="8" width="46.28515625" style="517" customWidth="1"/>
    <col min="9" max="9" width="40.85546875" style="1" customWidth="1"/>
    <col min="10" max="10" width="21.85546875" style="500" customWidth="1"/>
    <col min="11" max="11" width="24.140625" style="1" customWidth="1"/>
    <col min="12" max="12" width="12.42578125" style="1" customWidth="1"/>
    <col min="13" max="13" width="10.5703125" style="1" customWidth="1"/>
    <col min="14" max="14" width="12.7109375" style="1" customWidth="1"/>
    <col min="15" max="15" width="16.42578125" style="1" customWidth="1"/>
    <col min="16" max="16" width="9.140625" style="1"/>
    <col min="17" max="17" width="10" style="1" customWidth="1"/>
    <col min="18" max="18" width="9.140625" style="1" customWidth="1"/>
    <col min="19" max="19" width="10.28515625" style="1" customWidth="1"/>
    <col min="20" max="20" width="9.140625" style="1" customWidth="1"/>
    <col min="21" max="27" width="9.140625" style="1"/>
    <col min="28" max="28" width="11.42578125" style="1" customWidth="1"/>
    <col min="29" max="30" width="9.140625" style="1"/>
    <col min="31" max="39" width="9.140625" style="204"/>
    <col min="40" max="41" width="9.140625" style="1"/>
    <col min="42" max="43" width="9.140625" style="204"/>
    <col min="44" max="44" width="9.140625" style="1"/>
    <col min="45" max="45" width="9.140625" style="204"/>
    <col min="46" max="46" width="9.140625" style="1"/>
    <col min="47" max="47" width="11.42578125" style="1" customWidth="1"/>
    <col min="48" max="16384" width="9.140625" style="1"/>
  </cols>
  <sheetData>
    <row r="1" spans="1:12" ht="15.75" x14ac:dyDescent="0.25">
      <c r="A1" s="63"/>
      <c r="B1" s="63"/>
      <c r="C1" s="63"/>
      <c r="D1" s="63"/>
      <c r="E1" s="602" t="s">
        <v>1822</v>
      </c>
      <c r="F1" s="602"/>
      <c r="G1" s="602"/>
      <c r="I1" s="204"/>
      <c r="K1" s="204"/>
      <c r="L1" s="204"/>
    </row>
    <row r="2" spans="1:12" ht="15.75" x14ac:dyDescent="0.25">
      <c r="A2" s="63"/>
      <c r="B2" s="63"/>
      <c r="C2" s="63"/>
      <c r="D2" s="63"/>
      <c r="E2" s="602" t="s">
        <v>1821</v>
      </c>
      <c r="F2" s="602"/>
      <c r="G2" s="602"/>
      <c r="I2" s="204"/>
      <c r="K2" s="204"/>
      <c r="L2" s="204"/>
    </row>
    <row r="3" spans="1:12" ht="15.75" x14ac:dyDescent="0.25">
      <c r="A3" s="130"/>
      <c r="B3" s="130"/>
      <c r="C3" s="130"/>
      <c r="D3" s="130"/>
      <c r="E3" s="602" t="s">
        <v>1823</v>
      </c>
      <c r="F3" s="602"/>
      <c r="G3" s="602"/>
      <c r="I3" s="204"/>
      <c r="K3" s="204"/>
      <c r="L3" s="204"/>
    </row>
    <row r="4" spans="1:12" s="204" customFormat="1" ht="15.75" x14ac:dyDescent="0.25">
      <c r="A4" s="594"/>
      <c r="B4" s="594"/>
      <c r="C4" s="594"/>
      <c r="D4" s="594"/>
      <c r="E4" s="594"/>
      <c r="F4" s="594"/>
      <c r="G4" s="595"/>
      <c r="H4" s="517"/>
      <c r="J4" s="500"/>
    </row>
    <row r="5" spans="1:12" ht="15.75" customHeight="1" x14ac:dyDescent="0.25">
      <c r="A5" s="619" t="s">
        <v>1348</v>
      </c>
      <c r="B5" s="619"/>
      <c r="C5" s="619"/>
      <c r="D5" s="619"/>
      <c r="E5" s="619"/>
      <c r="F5" s="619"/>
      <c r="G5" s="619"/>
      <c r="I5" s="204"/>
      <c r="K5" s="204"/>
      <c r="L5" s="204"/>
    </row>
    <row r="6" spans="1:12" ht="15.75" x14ac:dyDescent="0.25">
      <c r="A6" s="593"/>
      <c r="B6" s="593"/>
      <c r="C6" s="593"/>
      <c r="D6" s="593"/>
      <c r="E6" s="593"/>
      <c r="F6" s="593"/>
      <c r="I6" s="204"/>
      <c r="K6" s="204"/>
      <c r="L6" s="204"/>
    </row>
    <row r="7" spans="1:12" ht="15.75" x14ac:dyDescent="0.25">
      <c r="A7" s="13"/>
      <c r="B7" s="13"/>
      <c r="C7" s="13"/>
      <c r="D7" s="13"/>
      <c r="E7" s="13"/>
      <c r="F7" s="13"/>
      <c r="G7" s="270" t="s">
        <v>1</v>
      </c>
      <c r="I7" s="204"/>
      <c r="K7" s="204"/>
      <c r="L7" s="204"/>
    </row>
    <row r="8" spans="1:12" ht="47.25" x14ac:dyDescent="0.25">
      <c r="A8" s="592" t="s">
        <v>110</v>
      </c>
      <c r="B8" s="592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383" t="s">
        <v>1028</v>
      </c>
      <c r="H8" s="518"/>
      <c r="I8" s="471"/>
      <c r="J8" s="499"/>
      <c r="K8" s="471"/>
      <c r="L8" s="204"/>
    </row>
    <row r="9" spans="1:12" ht="31.5" x14ac:dyDescent="0.25">
      <c r="A9" s="461" t="s">
        <v>116</v>
      </c>
      <c r="B9" s="461">
        <v>901</v>
      </c>
      <c r="C9" s="462"/>
      <c r="D9" s="462"/>
      <c r="E9" s="462"/>
      <c r="F9" s="462"/>
      <c r="G9" s="463">
        <f>G10</f>
        <v>14269.5816</v>
      </c>
      <c r="H9" s="518"/>
      <c r="I9" s="471"/>
      <c r="J9" s="499"/>
      <c r="K9" s="471"/>
      <c r="L9" s="204"/>
    </row>
    <row r="10" spans="1:12" ht="15.75" x14ac:dyDescent="0.25">
      <c r="A10" s="464" t="s">
        <v>117</v>
      </c>
      <c r="B10" s="461">
        <v>901</v>
      </c>
      <c r="C10" s="465" t="s">
        <v>118</v>
      </c>
      <c r="D10" s="462"/>
      <c r="E10" s="462"/>
      <c r="F10" s="462"/>
      <c r="G10" s="463">
        <f>G11+G27</f>
        <v>14269.5816</v>
      </c>
      <c r="H10" s="518"/>
      <c r="I10" s="471"/>
      <c r="J10" s="499"/>
      <c r="K10" s="471"/>
      <c r="L10" s="204"/>
    </row>
    <row r="11" spans="1:12" ht="47.25" x14ac:dyDescent="0.25">
      <c r="A11" s="464" t="s">
        <v>119</v>
      </c>
      <c r="B11" s="461">
        <v>901</v>
      </c>
      <c r="C11" s="465" t="s">
        <v>118</v>
      </c>
      <c r="D11" s="465" t="s">
        <v>120</v>
      </c>
      <c r="E11" s="465"/>
      <c r="F11" s="465"/>
      <c r="G11" s="463">
        <f>G12</f>
        <v>14219.5816</v>
      </c>
      <c r="H11" s="518"/>
      <c r="I11" s="471"/>
      <c r="J11" s="499"/>
      <c r="K11" s="471"/>
      <c r="L11" s="204"/>
    </row>
    <row r="12" spans="1:12" ht="31.5" x14ac:dyDescent="0.25">
      <c r="A12" s="464" t="s">
        <v>917</v>
      </c>
      <c r="B12" s="461">
        <v>901</v>
      </c>
      <c r="C12" s="465" t="s">
        <v>118</v>
      </c>
      <c r="D12" s="465" t="s">
        <v>120</v>
      </c>
      <c r="E12" s="465" t="s">
        <v>858</v>
      </c>
      <c r="F12" s="465"/>
      <c r="G12" s="463">
        <f>G13</f>
        <v>14219.5816</v>
      </c>
      <c r="H12" s="518"/>
      <c r="I12" s="471"/>
      <c r="J12" s="499"/>
      <c r="K12" s="471"/>
      <c r="L12" s="204"/>
    </row>
    <row r="13" spans="1:12" ht="15.75" x14ac:dyDescent="0.25">
      <c r="A13" s="464" t="s">
        <v>918</v>
      </c>
      <c r="B13" s="461">
        <v>901</v>
      </c>
      <c r="C13" s="465" t="s">
        <v>118</v>
      </c>
      <c r="D13" s="465" t="s">
        <v>120</v>
      </c>
      <c r="E13" s="465" t="s">
        <v>859</v>
      </c>
      <c r="F13" s="465"/>
      <c r="G13" s="463">
        <f>G14+G21+G24</f>
        <v>14219.5816</v>
      </c>
      <c r="H13" s="518"/>
      <c r="I13" s="471"/>
      <c r="J13" s="499"/>
      <c r="K13" s="471"/>
      <c r="L13" s="204"/>
    </row>
    <row r="14" spans="1:12" ht="31.5" x14ac:dyDescent="0.25">
      <c r="A14" s="466" t="s">
        <v>897</v>
      </c>
      <c r="B14" s="460">
        <v>901</v>
      </c>
      <c r="C14" s="462" t="s">
        <v>118</v>
      </c>
      <c r="D14" s="462" t="s">
        <v>120</v>
      </c>
      <c r="E14" s="462" t="s">
        <v>860</v>
      </c>
      <c r="F14" s="462"/>
      <c r="G14" s="467">
        <f>G15+G17+G19</f>
        <v>13696.727999999999</v>
      </c>
      <c r="H14" s="518"/>
      <c r="I14" s="471"/>
      <c r="J14" s="499"/>
      <c r="K14" s="471"/>
      <c r="L14" s="204"/>
    </row>
    <row r="15" spans="1:12" ht="63" x14ac:dyDescent="0.25">
      <c r="A15" s="466" t="s">
        <v>127</v>
      </c>
      <c r="B15" s="460">
        <v>901</v>
      </c>
      <c r="C15" s="462" t="s">
        <v>118</v>
      </c>
      <c r="D15" s="462" t="s">
        <v>120</v>
      </c>
      <c r="E15" s="462" t="s">
        <v>860</v>
      </c>
      <c r="F15" s="462" t="s">
        <v>128</v>
      </c>
      <c r="G15" s="467">
        <f>G16</f>
        <v>12577.627999999999</v>
      </c>
      <c r="H15" s="518"/>
      <c r="I15" s="471"/>
      <c r="J15" s="499"/>
      <c r="K15" s="471"/>
      <c r="L15" s="204"/>
    </row>
    <row r="16" spans="1:12" ht="31.5" x14ac:dyDescent="0.25">
      <c r="A16" s="466" t="s">
        <v>129</v>
      </c>
      <c r="B16" s="460">
        <v>901</v>
      </c>
      <c r="C16" s="462" t="s">
        <v>118</v>
      </c>
      <c r="D16" s="462" t="s">
        <v>120</v>
      </c>
      <c r="E16" s="462" t="s">
        <v>860</v>
      </c>
      <c r="F16" s="462" t="s">
        <v>130</v>
      </c>
      <c r="G16" s="27">
        <f>10929+384+384+384-2000+2000-8.4+48.728+900+1481.1-315.5-289.4-139.2-483.7-146.5-50-248.5-56.8+54.8-190-60</f>
        <v>12577.627999999999</v>
      </c>
      <c r="H16" s="519"/>
      <c r="I16" s="471"/>
      <c r="J16" s="499"/>
      <c r="K16" s="499"/>
      <c r="L16" s="204"/>
    </row>
    <row r="17" spans="1:12" ht="31.5" x14ac:dyDescent="0.25">
      <c r="A17" s="466" t="s">
        <v>131</v>
      </c>
      <c r="B17" s="460">
        <v>901</v>
      </c>
      <c r="C17" s="462" t="s">
        <v>118</v>
      </c>
      <c r="D17" s="462" t="s">
        <v>120</v>
      </c>
      <c r="E17" s="462" t="s">
        <v>860</v>
      </c>
      <c r="F17" s="462" t="s">
        <v>132</v>
      </c>
      <c r="G17" s="467">
        <f>G18</f>
        <v>1112.6799999999998</v>
      </c>
      <c r="H17" s="518"/>
      <c r="I17" s="471"/>
      <c r="J17" s="499"/>
      <c r="K17" s="471"/>
      <c r="L17" s="204"/>
    </row>
    <row r="18" spans="1:12" ht="31.5" x14ac:dyDescent="0.25">
      <c r="A18" s="466" t="s">
        <v>133</v>
      </c>
      <c r="B18" s="460">
        <v>901</v>
      </c>
      <c r="C18" s="462" t="s">
        <v>118</v>
      </c>
      <c r="D18" s="462" t="s">
        <v>120</v>
      </c>
      <c r="E18" s="462" t="s">
        <v>860</v>
      </c>
      <c r="F18" s="462" t="s">
        <v>134</v>
      </c>
      <c r="G18" s="27">
        <f>977+3+80-15.9+1872.8-1481.1-38-12.25-24.3-317.15-25.159+93.739</f>
        <v>1112.6799999999998</v>
      </c>
      <c r="H18" s="527"/>
      <c r="I18" s="471"/>
      <c r="J18" s="499"/>
      <c r="K18" s="471"/>
      <c r="L18" s="204"/>
    </row>
    <row r="19" spans="1:12" ht="15.75" x14ac:dyDescent="0.25">
      <c r="A19" s="466" t="s">
        <v>135</v>
      </c>
      <c r="B19" s="460">
        <v>901</v>
      </c>
      <c r="C19" s="462" t="s">
        <v>118</v>
      </c>
      <c r="D19" s="462" t="s">
        <v>120</v>
      </c>
      <c r="E19" s="462" t="s">
        <v>860</v>
      </c>
      <c r="F19" s="462" t="s">
        <v>136</v>
      </c>
      <c r="G19" s="467">
        <f>G20</f>
        <v>6.4200000000000017</v>
      </c>
      <c r="H19" s="518"/>
      <c r="I19" s="471"/>
      <c r="J19" s="499"/>
      <c r="K19" s="471"/>
      <c r="L19" s="204"/>
    </row>
    <row r="20" spans="1:12" ht="15.75" x14ac:dyDescent="0.25">
      <c r="A20" s="466" t="s">
        <v>568</v>
      </c>
      <c r="B20" s="460">
        <v>901</v>
      </c>
      <c r="C20" s="462" t="s">
        <v>118</v>
      </c>
      <c r="D20" s="462" t="s">
        <v>120</v>
      </c>
      <c r="E20" s="462" t="s">
        <v>860</v>
      </c>
      <c r="F20" s="462" t="s">
        <v>138</v>
      </c>
      <c r="G20" s="467">
        <f>28-3-18.58</f>
        <v>6.4200000000000017</v>
      </c>
      <c r="H20" s="518"/>
      <c r="I20" s="471"/>
      <c r="J20" s="499"/>
      <c r="K20" s="471"/>
      <c r="L20" s="204"/>
    </row>
    <row r="21" spans="1:12" s="204" customFormat="1" ht="31.5" x14ac:dyDescent="0.25">
      <c r="A21" s="466" t="s">
        <v>839</v>
      </c>
      <c r="B21" s="460">
        <v>901</v>
      </c>
      <c r="C21" s="462" t="s">
        <v>118</v>
      </c>
      <c r="D21" s="462" t="s">
        <v>120</v>
      </c>
      <c r="E21" s="462" t="s">
        <v>862</v>
      </c>
      <c r="F21" s="462"/>
      <c r="G21" s="467">
        <f>G22</f>
        <v>267.572</v>
      </c>
      <c r="H21" s="518"/>
      <c r="I21" s="471"/>
      <c r="J21" s="499"/>
      <c r="K21" s="471"/>
    </row>
    <row r="22" spans="1:12" s="204" customFormat="1" ht="63" x14ac:dyDescent="0.25">
      <c r="A22" s="466" t="s">
        <v>127</v>
      </c>
      <c r="B22" s="460">
        <v>901</v>
      </c>
      <c r="C22" s="462" t="s">
        <v>118</v>
      </c>
      <c r="D22" s="462" t="s">
        <v>120</v>
      </c>
      <c r="E22" s="462" t="s">
        <v>862</v>
      </c>
      <c r="F22" s="462" t="s">
        <v>128</v>
      </c>
      <c r="G22" s="467">
        <f>G23</f>
        <v>267.572</v>
      </c>
      <c r="H22" s="518"/>
      <c r="I22" s="471"/>
      <c r="J22" s="499"/>
      <c r="K22" s="471"/>
    </row>
    <row r="23" spans="1:12" s="204" customFormat="1" ht="31.5" x14ac:dyDescent="0.25">
      <c r="A23" s="466" t="s">
        <v>129</v>
      </c>
      <c r="B23" s="460">
        <v>901</v>
      </c>
      <c r="C23" s="462" t="s">
        <v>118</v>
      </c>
      <c r="D23" s="462" t="s">
        <v>120</v>
      </c>
      <c r="E23" s="462" t="s">
        <v>862</v>
      </c>
      <c r="F23" s="462" t="s">
        <v>130</v>
      </c>
      <c r="G23" s="467">
        <f>420-128-24.428</f>
        <v>267.572</v>
      </c>
      <c r="H23" s="518"/>
      <c r="I23" s="471"/>
      <c r="J23" s="499"/>
      <c r="K23" s="471"/>
    </row>
    <row r="24" spans="1:12" s="204" customFormat="1" ht="31.5" x14ac:dyDescent="0.25">
      <c r="A24" s="466" t="s">
        <v>1793</v>
      </c>
      <c r="B24" s="460">
        <v>901</v>
      </c>
      <c r="C24" s="462" t="s">
        <v>118</v>
      </c>
      <c r="D24" s="462" t="s">
        <v>120</v>
      </c>
      <c r="E24" s="462" t="s">
        <v>1794</v>
      </c>
      <c r="F24" s="462"/>
      <c r="G24" s="467">
        <f>G25</f>
        <v>255.2816</v>
      </c>
      <c r="H24" s="518"/>
      <c r="I24" s="471"/>
      <c r="J24" s="499"/>
      <c r="K24" s="471"/>
    </row>
    <row r="25" spans="1:12" s="204" customFormat="1" ht="63" x14ac:dyDescent="0.25">
      <c r="A25" s="466" t="s">
        <v>127</v>
      </c>
      <c r="B25" s="460">
        <v>901</v>
      </c>
      <c r="C25" s="462" t="s">
        <v>118</v>
      </c>
      <c r="D25" s="462" t="s">
        <v>120</v>
      </c>
      <c r="E25" s="462" t="s">
        <v>1794</v>
      </c>
      <c r="F25" s="462" t="s">
        <v>128</v>
      </c>
      <c r="G25" s="467">
        <f>G26</f>
        <v>255.2816</v>
      </c>
      <c r="H25" s="518"/>
      <c r="I25" s="471"/>
      <c r="J25" s="499"/>
      <c r="K25" s="471"/>
    </row>
    <row r="26" spans="1:12" s="204" customFormat="1" ht="31.5" x14ac:dyDescent="0.25">
      <c r="A26" s="466" t="s">
        <v>129</v>
      </c>
      <c r="B26" s="460">
        <v>901</v>
      </c>
      <c r="C26" s="462" t="s">
        <v>118</v>
      </c>
      <c r="D26" s="462" t="s">
        <v>120</v>
      </c>
      <c r="E26" s="462" t="s">
        <v>1794</v>
      </c>
      <c r="F26" s="462" t="s">
        <v>130</v>
      </c>
      <c r="G26" s="467">
        <v>255.2816</v>
      </c>
      <c r="H26" s="518"/>
      <c r="I26" s="113"/>
      <c r="J26" s="499"/>
      <c r="K26" s="471"/>
    </row>
    <row r="27" spans="1:12" s="204" customFormat="1" ht="15.75" x14ac:dyDescent="0.25">
      <c r="A27" s="464" t="s">
        <v>1411</v>
      </c>
      <c r="B27" s="461">
        <v>901</v>
      </c>
      <c r="C27" s="465" t="s">
        <v>118</v>
      </c>
      <c r="D27" s="465" t="s">
        <v>491</v>
      </c>
      <c r="E27" s="465"/>
      <c r="F27" s="465"/>
      <c r="G27" s="463">
        <f>G28</f>
        <v>50</v>
      </c>
      <c r="H27" s="518"/>
      <c r="I27" s="471"/>
      <c r="J27" s="499"/>
      <c r="K27" s="471"/>
    </row>
    <row r="28" spans="1:12" s="204" customFormat="1" ht="15.75" x14ac:dyDescent="0.25">
      <c r="A28" s="464" t="s">
        <v>141</v>
      </c>
      <c r="B28" s="461">
        <v>901</v>
      </c>
      <c r="C28" s="465" t="s">
        <v>118</v>
      </c>
      <c r="D28" s="465" t="s">
        <v>491</v>
      </c>
      <c r="E28" s="465" t="s">
        <v>866</v>
      </c>
      <c r="F28" s="465"/>
      <c r="G28" s="463">
        <f>G29</f>
        <v>50</v>
      </c>
      <c r="H28" s="518"/>
      <c r="I28" s="471"/>
      <c r="J28" s="499"/>
      <c r="K28" s="471"/>
    </row>
    <row r="29" spans="1:12" s="204" customFormat="1" ht="31.5" x14ac:dyDescent="0.25">
      <c r="A29" s="464" t="s">
        <v>870</v>
      </c>
      <c r="B29" s="461">
        <v>901</v>
      </c>
      <c r="C29" s="465" t="s">
        <v>118</v>
      </c>
      <c r="D29" s="465" t="s">
        <v>491</v>
      </c>
      <c r="E29" s="465" t="s">
        <v>865</v>
      </c>
      <c r="F29" s="465"/>
      <c r="G29" s="463">
        <f>G30</f>
        <v>50</v>
      </c>
      <c r="H29" s="518"/>
      <c r="I29" s="471"/>
      <c r="J29" s="499"/>
      <c r="K29" s="471"/>
    </row>
    <row r="30" spans="1:12" s="204" customFormat="1" ht="15.75" x14ac:dyDescent="0.25">
      <c r="A30" s="466" t="s">
        <v>1142</v>
      </c>
      <c r="B30" s="460">
        <v>901</v>
      </c>
      <c r="C30" s="462" t="s">
        <v>118</v>
      </c>
      <c r="D30" s="462" t="s">
        <v>491</v>
      </c>
      <c r="E30" s="462" t="s">
        <v>1143</v>
      </c>
      <c r="F30" s="462"/>
      <c r="G30" s="467">
        <f>G31</f>
        <v>50</v>
      </c>
      <c r="H30" s="518"/>
      <c r="I30" s="471"/>
      <c r="J30" s="499"/>
      <c r="K30" s="471"/>
    </row>
    <row r="31" spans="1:12" s="204" customFormat="1" ht="15.75" x14ac:dyDescent="0.25">
      <c r="A31" s="466" t="s">
        <v>135</v>
      </c>
      <c r="B31" s="460">
        <v>901</v>
      </c>
      <c r="C31" s="462" t="s">
        <v>118</v>
      </c>
      <c r="D31" s="462" t="s">
        <v>491</v>
      </c>
      <c r="E31" s="462" t="s">
        <v>1143</v>
      </c>
      <c r="F31" s="462" t="s">
        <v>145</v>
      </c>
      <c r="G31" s="467">
        <f>G32</f>
        <v>50</v>
      </c>
      <c r="H31" s="518"/>
      <c r="I31" s="471"/>
      <c r="J31" s="499"/>
      <c r="K31" s="471"/>
    </row>
    <row r="32" spans="1:12" s="204" customFormat="1" ht="15.75" x14ac:dyDescent="0.25">
      <c r="A32" s="466" t="s">
        <v>1142</v>
      </c>
      <c r="B32" s="460">
        <v>901</v>
      </c>
      <c r="C32" s="462" t="s">
        <v>118</v>
      </c>
      <c r="D32" s="462" t="s">
        <v>491</v>
      </c>
      <c r="E32" s="462" t="s">
        <v>1143</v>
      </c>
      <c r="F32" s="462" t="s">
        <v>1144</v>
      </c>
      <c r="G32" s="467">
        <v>50</v>
      </c>
      <c r="H32" s="518"/>
      <c r="I32" s="471"/>
      <c r="J32" s="499"/>
      <c r="K32" s="471"/>
    </row>
    <row r="33" spans="1:12" ht="15.75" x14ac:dyDescent="0.25">
      <c r="A33" s="461" t="s">
        <v>148</v>
      </c>
      <c r="B33" s="461">
        <v>902</v>
      </c>
      <c r="C33" s="462"/>
      <c r="D33" s="462"/>
      <c r="E33" s="462"/>
      <c r="F33" s="462"/>
      <c r="G33" s="463">
        <f>G34+G182+G214+G238+G175</f>
        <v>97468.780089999986</v>
      </c>
      <c r="H33" s="518"/>
      <c r="I33" s="113"/>
      <c r="J33" s="499"/>
      <c r="K33" s="471"/>
      <c r="L33" s="229"/>
    </row>
    <row r="34" spans="1:12" ht="15.75" x14ac:dyDescent="0.25">
      <c r="A34" s="464" t="s">
        <v>117</v>
      </c>
      <c r="B34" s="461">
        <v>902</v>
      </c>
      <c r="C34" s="465" t="s">
        <v>118</v>
      </c>
      <c r="D34" s="462"/>
      <c r="E34" s="462"/>
      <c r="F34" s="462"/>
      <c r="G34" s="463">
        <f>G54+G118+G138+G127+G35</f>
        <v>74981.242180000001</v>
      </c>
      <c r="H34" s="518"/>
      <c r="I34" s="471"/>
      <c r="J34" s="499"/>
      <c r="K34" s="471"/>
      <c r="L34" s="204"/>
    </row>
    <row r="35" spans="1:12" s="204" customFormat="1" ht="31.9" customHeight="1" x14ac:dyDescent="0.25">
      <c r="A35" s="464" t="s">
        <v>575</v>
      </c>
      <c r="B35" s="461">
        <v>902</v>
      </c>
      <c r="C35" s="465" t="s">
        <v>118</v>
      </c>
      <c r="D35" s="465" t="s">
        <v>213</v>
      </c>
      <c r="E35" s="462"/>
      <c r="F35" s="462"/>
      <c r="G35" s="463">
        <f>G36</f>
        <v>5241.54</v>
      </c>
      <c r="H35" s="518"/>
      <c r="I35" s="471"/>
      <c r="J35" s="499"/>
      <c r="K35" s="471"/>
    </row>
    <row r="36" spans="1:12" s="204" customFormat="1" ht="31.5" x14ac:dyDescent="0.25">
      <c r="A36" s="464" t="s">
        <v>917</v>
      </c>
      <c r="B36" s="461">
        <v>902</v>
      </c>
      <c r="C36" s="465" t="s">
        <v>118</v>
      </c>
      <c r="D36" s="465" t="s">
        <v>213</v>
      </c>
      <c r="E36" s="465" t="s">
        <v>858</v>
      </c>
      <c r="F36" s="462"/>
      <c r="G36" s="463">
        <f>G37+G49</f>
        <v>5241.54</v>
      </c>
      <c r="H36" s="518"/>
      <c r="I36" s="471"/>
      <c r="J36" s="499"/>
      <c r="K36" s="471"/>
    </row>
    <row r="37" spans="1:12" s="204" customFormat="1" ht="15.75" x14ac:dyDescent="0.25">
      <c r="A37" s="464" t="s">
        <v>918</v>
      </c>
      <c r="B37" s="461">
        <v>902</v>
      </c>
      <c r="C37" s="465" t="s">
        <v>118</v>
      </c>
      <c r="D37" s="465" t="s">
        <v>213</v>
      </c>
      <c r="E37" s="465" t="s">
        <v>859</v>
      </c>
      <c r="F37" s="462"/>
      <c r="G37" s="463">
        <f>G38+G43+G46</f>
        <v>5239.8999999999996</v>
      </c>
      <c r="H37" s="518"/>
      <c r="I37" s="471"/>
      <c r="J37" s="499"/>
      <c r="K37" s="471"/>
    </row>
    <row r="38" spans="1:12" s="204" customFormat="1" ht="31.5" x14ac:dyDescent="0.25">
      <c r="A38" s="466" t="s">
        <v>576</v>
      </c>
      <c r="B38" s="460">
        <v>902</v>
      </c>
      <c r="C38" s="462" t="s">
        <v>118</v>
      </c>
      <c r="D38" s="462" t="s">
        <v>213</v>
      </c>
      <c r="E38" s="462" t="s">
        <v>1338</v>
      </c>
      <c r="F38" s="462"/>
      <c r="G38" s="467">
        <f>G39+G41</f>
        <v>5239.8999999999996</v>
      </c>
      <c r="H38" s="518"/>
      <c r="I38" s="471"/>
      <c r="J38" s="499"/>
      <c r="K38" s="471"/>
    </row>
    <row r="39" spans="1:12" s="204" customFormat="1" ht="63" x14ac:dyDescent="0.25">
      <c r="A39" s="466" t="s">
        <v>127</v>
      </c>
      <c r="B39" s="460">
        <v>902</v>
      </c>
      <c r="C39" s="462" t="s">
        <v>118</v>
      </c>
      <c r="D39" s="462" t="s">
        <v>213</v>
      </c>
      <c r="E39" s="462" t="s">
        <v>1338</v>
      </c>
      <c r="F39" s="462" t="s">
        <v>128</v>
      </c>
      <c r="G39" s="467">
        <f>G40</f>
        <v>5212.2</v>
      </c>
      <c r="H39" s="518"/>
      <c r="I39" s="471"/>
      <c r="J39" s="499"/>
      <c r="K39" s="471"/>
    </row>
    <row r="40" spans="1:12" s="204" customFormat="1" ht="31.5" x14ac:dyDescent="0.25">
      <c r="A40" s="466" t="s">
        <v>129</v>
      </c>
      <c r="B40" s="460">
        <v>902</v>
      </c>
      <c r="C40" s="462" t="s">
        <v>118</v>
      </c>
      <c r="D40" s="462" t="s">
        <v>213</v>
      </c>
      <c r="E40" s="462" t="s">
        <v>1338</v>
      </c>
      <c r="F40" s="462" t="s">
        <v>130</v>
      </c>
      <c r="G40" s="27">
        <f>4736.9-15-25-26.9-15+457.2+100</f>
        <v>5212.2</v>
      </c>
      <c r="H40" s="519"/>
      <c r="I40" s="162"/>
      <c r="J40" s="499"/>
      <c r="K40" s="471"/>
      <c r="L40" s="510"/>
    </row>
    <row r="41" spans="1:12" s="204" customFormat="1" ht="31.5" x14ac:dyDescent="0.25">
      <c r="A41" s="466" t="s">
        <v>198</v>
      </c>
      <c r="B41" s="460">
        <v>902</v>
      </c>
      <c r="C41" s="462" t="s">
        <v>118</v>
      </c>
      <c r="D41" s="462" t="s">
        <v>213</v>
      </c>
      <c r="E41" s="462" t="s">
        <v>1338</v>
      </c>
      <c r="F41" s="462" t="s">
        <v>132</v>
      </c>
      <c r="G41" s="467">
        <f>G42</f>
        <v>27.700000000000003</v>
      </c>
      <c r="H41" s="518"/>
      <c r="I41" s="471"/>
      <c r="J41" s="499"/>
      <c r="K41" s="471"/>
    </row>
    <row r="42" spans="1:12" s="204" customFormat="1" ht="31.5" x14ac:dyDescent="0.25">
      <c r="A42" s="466" t="s">
        <v>133</v>
      </c>
      <c r="B42" s="460">
        <v>902</v>
      </c>
      <c r="C42" s="462" t="s">
        <v>118</v>
      </c>
      <c r="D42" s="462" t="s">
        <v>213</v>
      </c>
      <c r="E42" s="462" t="s">
        <v>1338</v>
      </c>
      <c r="F42" s="462" t="s">
        <v>134</v>
      </c>
      <c r="G42" s="467">
        <f>90-62.3</f>
        <v>27.700000000000003</v>
      </c>
      <c r="H42" s="518"/>
      <c r="I42" s="471"/>
      <c r="J42" s="499"/>
      <c r="K42" s="471"/>
    </row>
    <row r="43" spans="1:12" s="204" customFormat="1" ht="31.5" hidden="1" x14ac:dyDescent="0.25">
      <c r="A43" s="466" t="s">
        <v>839</v>
      </c>
      <c r="B43" s="460">
        <v>902</v>
      </c>
      <c r="C43" s="462" t="s">
        <v>118</v>
      </c>
      <c r="D43" s="462" t="s">
        <v>213</v>
      </c>
      <c r="E43" s="462" t="s">
        <v>862</v>
      </c>
      <c r="F43" s="462"/>
      <c r="G43" s="467">
        <f>G44</f>
        <v>0</v>
      </c>
      <c r="H43" s="518"/>
      <c r="I43" s="471"/>
      <c r="J43" s="499"/>
      <c r="K43" s="471"/>
    </row>
    <row r="44" spans="1:12" s="204" customFormat="1" ht="63" hidden="1" x14ac:dyDescent="0.25">
      <c r="A44" s="466" t="s">
        <v>127</v>
      </c>
      <c r="B44" s="460">
        <v>902</v>
      </c>
      <c r="C44" s="462" t="s">
        <v>118</v>
      </c>
      <c r="D44" s="462" t="s">
        <v>213</v>
      </c>
      <c r="E44" s="462" t="s">
        <v>862</v>
      </c>
      <c r="F44" s="462" t="s">
        <v>128</v>
      </c>
      <c r="G44" s="467">
        <f>G45</f>
        <v>0</v>
      </c>
      <c r="H44" s="518"/>
      <c r="I44" s="471"/>
      <c r="J44" s="499"/>
      <c r="K44" s="471"/>
    </row>
    <row r="45" spans="1:12" s="204" customFormat="1" ht="31.5" hidden="1" x14ac:dyDescent="0.25">
      <c r="A45" s="466" t="s">
        <v>129</v>
      </c>
      <c r="B45" s="460">
        <v>902</v>
      </c>
      <c r="C45" s="462" t="s">
        <v>118</v>
      </c>
      <c r="D45" s="462" t="s">
        <v>213</v>
      </c>
      <c r="E45" s="462" t="s">
        <v>862</v>
      </c>
      <c r="F45" s="462" t="s">
        <v>130</v>
      </c>
      <c r="G45" s="467">
        <f>42-42</f>
        <v>0</v>
      </c>
      <c r="H45" s="518"/>
      <c r="I45" s="471"/>
      <c r="J45" s="499"/>
      <c r="K45" s="471"/>
    </row>
    <row r="46" spans="1:12" s="204" customFormat="1" ht="31.5" hidden="1" x14ac:dyDescent="0.25">
      <c r="A46" s="466" t="s">
        <v>1793</v>
      </c>
      <c r="B46" s="460">
        <v>902</v>
      </c>
      <c r="C46" s="462" t="s">
        <v>118</v>
      </c>
      <c r="D46" s="462" t="s">
        <v>213</v>
      </c>
      <c r="E46" s="462" t="s">
        <v>1794</v>
      </c>
      <c r="F46" s="462"/>
      <c r="G46" s="467">
        <f>G47</f>
        <v>0</v>
      </c>
      <c r="H46" s="518"/>
      <c r="I46" s="471"/>
      <c r="J46" s="499"/>
      <c r="K46" s="471"/>
    </row>
    <row r="47" spans="1:12" s="204" customFormat="1" ht="63" hidden="1" x14ac:dyDescent="0.25">
      <c r="A47" s="466" t="s">
        <v>127</v>
      </c>
      <c r="B47" s="460">
        <v>902</v>
      </c>
      <c r="C47" s="462" t="s">
        <v>118</v>
      </c>
      <c r="D47" s="462" t="s">
        <v>213</v>
      </c>
      <c r="E47" s="462" t="s">
        <v>1794</v>
      </c>
      <c r="F47" s="462" t="s">
        <v>128</v>
      </c>
      <c r="G47" s="467">
        <f>G48</f>
        <v>0</v>
      </c>
      <c r="H47" s="518"/>
      <c r="I47" s="471"/>
      <c r="J47" s="499"/>
      <c r="K47" s="471"/>
    </row>
    <row r="48" spans="1:12" s="204" customFormat="1" ht="31.5" hidden="1" x14ac:dyDescent="0.25">
      <c r="A48" s="466" t="s">
        <v>129</v>
      </c>
      <c r="B48" s="460">
        <v>902</v>
      </c>
      <c r="C48" s="462" t="s">
        <v>118</v>
      </c>
      <c r="D48" s="462" t="s">
        <v>213</v>
      </c>
      <c r="E48" s="462" t="s">
        <v>1794</v>
      </c>
      <c r="F48" s="462" t="s">
        <v>130</v>
      </c>
      <c r="G48" s="467">
        <f>266.1337-266.1337</f>
        <v>0</v>
      </c>
      <c r="H48" s="518"/>
      <c r="I48" s="471"/>
      <c r="J48" s="499"/>
      <c r="K48" s="471"/>
    </row>
    <row r="49" spans="1:12" s="204" customFormat="1" ht="31.5" x14ac:dyDescent="0.25">
      <c r="A49" s="464" t="s">
        <v>1349</v>
      </c>
      <c r="B49" s="461">
        <v>902</v>
      </c>
      <c r="C49" s="465" t="s">
        <v>118</v>
      </c>
      <c r="D49" s="465" t="s">
        <v>213</v>
      </c>
      <c r="E49" s="465" t="s">
        <v>162</v>
      </c>
      <c r="F49" s="465"/>
      <c r="G49" s="463">
        <f>G50</f>
        <v>1.6400000000000006</v>
      </c>
      <c r="H49" s="518"/>
      <c r="I49" s="471"/>
      <c r="J49" s="499"/>
      <c r="K49" s="471"/>
    </row>
    <row r="50" spans="1:12" s="204" customFormat="1" ht="63" x14ac:dyDescent="0.25">
      <c r="A50" s="215" t="s">
        <v>1351</v>
      </c>
      <c r="B50" s="272">
        <v>902</v>
      </c>
      <c r="C50" s="465" t="s">
        <v>118</v>
      </c>
      <c r="D50" s="465" t="s">
        <v>213</v>
      </c>
      <c r="E50" s="7" t="s">
        <v>850</v>
      </c>
      <c r="F50" s="465"/>
      <c r="G50" s="463">
        <f>G51</f>
        <v>1.6400000000000006</v>
      </c>
      <c r="H50" s="518"/>
      <c r="I50" s="471"/>
      <c r="J50" s="499"/>
      <c r="K50" s="471"/>
    </row>
    <row r="51" spans="1:12" s="204" customFormat="1" ht="59.1" customHeight="1" x14ac:dyDescent="0.25">
      <c r="A51" s="31" t="s">
        <v>695</v>
      </c>
      <c r="B51" s="460">
        <v>902</v>
      </c>
      <c r="C51" s="462" t="s">
        <v>118</v>
      </c>
      <c r="D51" s="462" t="s">
        <v>213</v>
      </c>
      <c r="E51" s="469" t="s">
        <v>993</v>
      </c>
      <c r="F51" s="462"/>
      <c r="G51" s="467">
        <f>G52</f>
        <v>1.6400000000000006</v>
      </c>
      <c r="H51" s="518"/>
      <c r="I51" s="471"/>
      <c r="J51" s="499"/>
      <c r="K51" s="471"/>
    </row>
    <row r="52" spans="1:12" s="204" customFormat="1" ht="31.5" x14ac:dyDescent="0.25">
      <c r="A52" s="466" t="s">
        <v>131</v>
      </c>
      <c r="B52" s="460">
        <v>902</v>
      </c>
      <c r="C52" s="462" t="s">
        <v>118</v>
      </c>
      <c r="D52" s="462" t="s">
        <v>213</v>
      </c>
      <c r="E52" s="469" t="s">
        <v>993</v>
      </c>
      <c r="F52" s="462" t="s">
        <v>132</v>
      </c>
      <c r="G52" s="467">
        <f>G53</f>
        <v>1.6400000000000006</v>
      </c>
      <c r="H52" s="518"/>
      <c r="I52" s="471"/>
      <c r="J52" s="499"/>
      <c r="K52" s="471"/>
    </row>
    <row r="53" spans="1:12" s="204" customFormat="1" ht="31.5" x14ac:dyDescent="0.25">
      <c r="A53" s="466" t="s">
        <v>133</v>
      </c>
      <c r="B53" s="460">
        <v>902</v>
      </c>
      <c r="C53" s="462" t="s">
        <v>118</v>
      </c>
      <c r="D53" s="462" t="s">
        <v>213</v>
      </c>
      <c r="E53" s="469" t="s">
        <v>993</v>
      </c>
      <c r="F53" s="462" t="s">
        <v>134</v>
      </c>
      <c r="G53" s="467">
        <f>0.5+40+1.14-40</f>
        <v>1.6400000000000006</v>
      </c>
      <c r="H53" s="518"/>
      <c r="I53" s="471"/>
      <c r="J53" s="499"/>
      <c r="K53" s="471"/>
    </row>
    <row r="54" spans="1:12" ht="46.15" customHeight="1" x14ac:dyDescent="0.25">
      <c r="A54" s="464" t="s">
        <v>149</v>
      </c>
      <c r="B54" s="461">
        <v>902</v>
      </c>
      <c r="C54" s="465" t="s">
        <v>118</v>
      </c>
      <c r="D54" s="465" t="s">
        <v>150</v>
      </c>
      <c r="E54" s="465"/>
      <c r="F54" s="465"/>
      <c r="G54" s="463">
        <f>G55+G97</f>
        <v>56748.126650000006</v>
      </c>
      <c r="H54" s="518"/>
      <c r="I54" s="471"/>
      <c r="J54" s="499"/>
      <c r="K54" s="471"/>
      <c r="L54" s="204"/>
    </row>
    <row r="55" spans="1:12" ht="31.5" x14ac:dyDescent="0.25">
      <c r="A55" s="464" t="s">
        <v>917</v>
      </c>
      <c r="B55" s="461">
        <v>902</v>
      </c>
      <c r="C55" s="465" t="s">
        <v>118</v>
      </c>
      <c r="D55" s="465" t="s">
        <v>150</v>
      </c>
      <c r="E55" s="465" t="s">
        <v>858</v>
      </c>
      <c r="F55" s="465"/>
      <c r="G55" s="44">
        <f>G56+G75</f>
        <v>56125.226650000004</v>
      </c>
      <c r="H55" s="518"/>
      <c r="I55" s="471"/>
      <c r="J55" s="499"/>
      <c r="K55" s="471"/>
      <c r="L55" s="204"/>
    </row>
    <row r="56" spans="1:12" s="204" customFormat="1" ht="15.75" x14ac:dyDescent="0.25">
      <c r="A56" s="464" t="s">
        <v>918</v>
      </c>
      <c r="B56" s="461">
        <v>902</v>
      </c>
      <c r="C56" s="465" t="s">
        <v>118</v>
      </c>
      <c r="D56" s="465" t="s">
        <v>150</v>
      </c>
      <c r="E56" s="465" t="s">
        <v>859</v>
      </c>
      <c r="F56" s="465"/>
      <c r="G56" s="44">
        <f>G57+G66+G69+G72</f>
        <v>52746.326650000003</v>
      </c>
      <c r="H56" s="518"/>
      <c r="I56" s="471"/>
      <c r="J56" s="499"/>
      <c r="K56" s="471"/>
    </row>
    <row r="57" spans="1:12" ht="31.5" x14ac:dyDescent="0.25">
      <c r="A57" s="466" t="s">
        <v>897</v>
      </c>
      <c r="B57" s="460">
        <v>902</v>
      </c>
      <c r="C57" s="462" t="s">
        <v>118</v>
      </c>
      <c r="D57" s="462" t="s">
        <v>150</v>
      </c>
      <c r="E57" s="462" t="s">
        <v>860</v>
      </c>
      <c r="F57" s="462"/>
      <c r="G57" s="467">
        <f>G58+G60+G64+G62</f>
        <v>47822.226450000002</v>
      </c>
      <c r="H57" s="518"/>
      <c r="I57" s="471"/>
      <c r="J57" s="499"/>
      <c r="K57" s="471"/>
      <c r="L57" s="204"/>
    </row>
    <row r="58" spans="1:12" ht="62.1" customHeight="1" x14ac:dyDescent="0.25">
      <c r="A58" s="466" t="s">
        <v>127</v>
      </c>
      <c r="B58" s="460">
        <v>902</v>
      </c>
      <c r="C58" s="462" t="s">
        <v>118</v>
      </c>
      <c r="D58" s="462" t="s">
        <v>150</v>
      </c>
      <c r="E58" s="462" t="s">
        <v>860</v>
      </c>
      <c r="F58" s="462" t="s">
        <v>128</v>
      </c>
      <c r="G58" s="467">
        <f>G59</f>
        <v>38490.29</v>
      </c>
      <c r="H58" s="518"/>
      <c r="I58" s="471"/>
      <c r="J58" s="499"/>
      <c r="K58" s="471"/>
      <c r="L58" s="204"/>
    </row>
    <row r="59" spans="1:12" ht="31.5" x14ac:dyDescent="0.25">
      <c r="A59" s="466" t="s">
        <v>129</v>
      </c>
      <c r="B59" s="460">
        <v>902</v>
      </c>
      <c r="C59" s="462" t="s">
        <v>118</v>
      </c>
      <c r="D59" s="462" t="s">
        <v>150</v>
      </c>
      <c r="E59" s="462" t="s">
        <v>860</v>
      </c>
      <c r="F59" s="462" t="s">
        <v>130</v>
      </c>
      <c r="G59" s="27">
        <f>36772.2+2068.3+300+1000-786.27+4540.56-55.3-17-923+15+25-4000+4000-52-5000+26.9-94.5-683-2860-86.6+4360+640-700</f>
        <v>38490.29</v>
      </c>
      <c r="H59" s="519"/>
      <c r="I59" s="162"/>
      <c r="J59" s="499"/>
      <c r="K59" s="471"/>
      <c r="L59" s="510"/>
    </row>
    <row r="60" spans="1:12" ht="31.5" x14ac:dyDescent="0.25">
      <c r="A60" s="466" t="s">
        <v>131</v>
      </c>
      <c r="B60" s="460">
        <v>902</v>
      </c>
      <c r="C60" s="462" t="s">
        <v>118</v>
      </c>
      <c r="D60" s="462" t="s">
        <v>150</v>
      </c>
      <c r="E60" s="462" t="s">
        <v>860</v>
      </c>
      <c r="F60" s="462" t="s">
        <v>132</v>
      </c>
      <c r="G60" s="467">
        <f>G61</f>
        <v>9290.9364499999992</v>
      </c>
      <c r="H60" s="518"/>
      <c r="I60" s="471"/>
      <c r="J60" s="499"/>
      <c r="K60" s="471"/>
      <c r="L60" s="204"/>
    </row>
    <row r="61" spans="1:12" ht="31.5" x14ac:dyDescent="0.25">
      <c r="A61" s="466" t="s">
        <v>133</v>
      </c>
      <c r="B61" s="460">
        <v>902</v>
      </c>
      <c r="C61" s="462" t="s">
        <v>118</v>
      </c>
      <c r="D61" s="462" t="s">
        <v>150</v>
      </c>
      <c r="E61" s="462" t="s">
        <v>860</v>
      </c>
      <c r="F61" s="462" t="s">
        <v>134</v>
      </c>
      <c r="G61" s="27">
        <f>6101-541.6+72+430-100-383+1300+13+100-518-23.5-85+3.5+105+39+413-1.99-170+170+444-37.75+35+730+277+923+68+83+830+15+348.505+15+38+58-277-270-891-94.32855+30+43.1</f>
        <v>9290.9364499999992</v>
      </c>
      <c r="H61" s="519"/>
      <c r="I61" s="472"/>
      <c r="J61" s="501"/>
      <c r="K61" s="471"/>
      <c r="L61" s="204"/>
    </row>
    <row r="62" spans="1:12" s="204" customFormat="1" ht="15.75" hidden="1" x14ac:dyDescent="0.25">
      <c r="A62" s="466" t="s">
        <v>248</v>
      </c>
      <c r="B62" s="460">
        <v>902</v>
      </c>
      <c r="C62" s="462" t="s">
        <v>118</v>
      </c>
      <c r="D62" s="462" t="s">
        <v>150</v>
      </c>
      <c r="E62" s="462" t="s">
        <v>860</v>
      </c>
      <c r="F62" s="462" t="s">
        <v>249</v>
      </c>
      <c r="G62" s="27">
        <f>G63</f>
        <v>0</v>
      </c>
      <c r="H62" s="518"/>
      <c r="I62" s="471"/>
      <c r="J62" s="499"/>
      <c r="K62" s="471"/>
    </row>
    <row r="63" spans="1:12" s="204" customFormat="1" ht="31.5" hidden="1" x14ac:dyDescent="0.25">
      <c r="A63" s="466" t="s">
        <v>250</v>
      </c>
      <c r="B63" s="460">
        <v>902</v>
      </c>
      <c r="C63" s="462" t="s">
        <v>118</v>
      </c>
      <c r="D63" s="462" t="s">
        <v>150</v>
      </c>
      <c r="E63" s="462" t="s">
        <v>860</v>
      </c>
      <c r="F63" s="462" t="s">
        <v>251</v>
      </c>
      <c r="G63" s="27">
        <f>755-755</f>
        <v>0</v>
      </c>
      <c r="H63" s="518"/>
      <c r="I63" s="471"/>
      <c r="J63" s="499"/>
      <c r="K63" s="471"/>
    </row>
    <row r="64" spans="1:12" ht="15.75" x14ac:dyDescent="0.25">
      <c r="A64" s="466" t="s">
        <v>135</v>
      </c>
      <c r="B64" s="460">
        <v>902</v>
      </c>
      <c r="C64" s="462" t="s">
        <v>118</v>
      </c>
      <c r="D64" s="462" t="s">
        <v>150</v>
      </c>
      <c r="E64" s="462" t="s">
        <v>860</v>
      </c>
      <c r="F64" s="462" t="s">
        <v>145</v>
      </c>
      <c r="G64" s="467">
        <f>G65</f>
        <v>41</v>
      </c>
      <c r="H64" s="518"/>
      <c r="I64" s="471"/>
      <c r="J64" s="501"/>
      <c r="K64" s="471"/>
      <c r="L64" s="204"/>
    </row>
    <row r="65" spans="1:12" ht="15.75" x14ac:dyDescent="0.25">
      <c r="A65" s="466" t="s">
        <v>568</v>
      </c>
      <c r="B65" s="460">
        <v>902</v>
      </c>
      <c r="C65" s="462" t="s">
        <v>118</v>
      </c>
      <c r="D65" s="462" t="s">
        <v>150</v>
      </c>
      <c r="E65" s="462" t="s">
        <v>860</v>
      </c>
      <c r="F65" s="462" t="s">
        <v>138</v>
      </c>
      <c r="G65" s="27">
        <f>75-34</f>
        <v>41</v>
      </c>
      <c r="H65" s="518"/>
      <c r="I65" s="471"/>
      <c r="J65" s="499"/>
      <c r="K65" s="471"/>
      <c r="L65" s="204"/>
    </row>
    <row r="66" spans="1:12" s="204" customFormat="1" ht="31.5" x14ac:dyDescent="0.25">
      <c r="A66" s="466" t="s">
        <v>840</v>
      </c>
      <c r="B66" s="460">
        <v>902</v>
      </c>
      <c r="C66" s="462" t="s">
        <v>118</v>
      </c>
      <c r="D66" s="462" t="s">
        <v>150</v>
      </c>
      <c r="E66" s="462" t="s">
        <v>861</v>
      </c>
      <c r="F66" s="462"/>
      <c r="G66" s="27">
        <f>G67</f>
        <v>2749.6000000000004</v>
      </c>
      <c r="H66" s="518"/>
      <c r="I66" s="471"/>
      <c r="J66" s="499"/>
      <c r="K66" s="471"/>
    </row>
    <row r="67" spans="1:12" s="204" customFormat="1" ht="67.7" customHeight="1" x14ac:dyDescent="0.25">
      <c r="A67" s="466" t="s">
        <v>127</v>
      </c>
      <c r="B67" s="460">
        <v>902</v>
      </c>
      <c r="C67" s="462" t="s">
        <v>118</v>
      </c>
      <c r="D67" s="462" t="s">
        <v>150</v>
      </c>
      <c r="E67" s="462" t="s">
        <v>861</v>
      </c>
      <c r="F67" s="462" t="s">
        <v>128</v>
      </c>
      <c r="G67" s="27">
        <f>G68</f>
        <v>2749.6000000000004</v>
      </c>
      <c r="H67" s="518"/>
      <c r="I67" s="471"/>
      <c r="J67" s="499"/>
      <c r="K67" s="471"/>
    </row>
    <row r="68" spans="1:12" s="204" customFormat="1" ht="31.5" x14ac:dyDescent="0.25">
      <c r="A68" s="466" t="s">
        <v>129</v>
      </c>
      <c r="B68" s="460">
        <v>902</v>
      </c>
      <c r="C68" s="462" t="s">
        <v>118</v>
      </c>
      <c r="D68" s="462" t="s">
        <v>150</v>
      </c>
      <c r="E68" s="462" t="s">
        <v>861</v>
      </c>
      <c r="F68" s="462" t="s">
        <v>130</v>
      </c>
      <c r="G68" s="27">
        <f>2071.4+646.4+71.8-40</f>
        <v>2749.6000000000004</v>
      </c>
      <c r="H68" s="518"/>
      <c r="I68" s="471"/>
      <c r="J68" s="499"/>
      <c r="K68" s="471"/>
    </row>
    <row r="69" spans="1:12" s="204" customFormat="1" ht="31.5" x14ac:dyDescent="0.25">
      <c r="A69" s="466" t="s">
        <v>839</v>
      </c>
      <c r="B69" s="460">
        <v>902</v>
      </c>
      <c r="C69" s="462" t="s">
        <v>118</v>
      </c>
      <c r="D69" s="462" t="s">
        <v>150</v>
      </c>
      <c r="E69" s="462" t="s">
        <v>862</v>
      </c>
      <c r="F69" s="462"/>
      <c r="G69" s="467">
        <f>G70</f>
        <v>1013.6399999999999</v>
      </c>
      <c r="H69" s="518"/>
      <c r="I69" s="471"/>
      <c r="J69" s="499"/>
      <c r="K69" s="471"/>
    </row>
    <row r="70" spans="1:12" s="204" customFormat="1" ht="63" x14ac:dyDescent="0.25">
      <c r="A70" s="466" t="s">
        <v>127</v>
      </c>
      <c r="B70" s="460">
        <v>902</v>
      </c>
      <c r="C70" s="462" t="s">
        <v>118</v>
      </c>
      <c r="D70" s="462" t="s">
        <v>150</v>
      </c>
      <c r="E70" s="462" t="s">
        <v>862</v>
      </c>
      <c r="F70" s="462" t="s">
        <v>128</v>
      </c>
      <c r="G70" s="467">
        <f>G71</f>
        <v>1013.6399999999999</v>
      </c>
      <c r="H70" s="518"/>
      <c r="I70" s="471"/>
      <c r="J70" s="499"/>
      <c r="K70" s="471"/>
    </row>
    <row r="71" spans="1:12" s="204" customFormat="1" ht="31.5" x14ac:dyDescent="0.25">
      <c r="A71" s="466" t="s">
        <v>129</v>
      </c>
      <c r="B71" s="460">
        <v>902</v>
      </c>
      <c r="C71" s="462" t="s">
        <v>118</v>
      </c>
      <c r="D71" s="462" t="s">
        <v>150</v>
      </c>
      <c r="E71" s="462" t="s">
        <v>862</v>
      </c>
      <c r="F71" s="462" t="s">
        <v>130</v>
      </c>
      <c r="G71" s="467">
        <f>1545+46-10-40-79-18.025-43-117.335-270</f>
        <v>1013.6399999999999</v>
      </c>
      <c r="H71" s="519"/>
      <c r="I71" s="162"/>
      <c r="J71" s="499"/>
      <c r="K71" s="471"/>
      <c r="L71" s="510"/>
    </row>
    <row r="72" spans="1:12" s="204" customFormat="1" ht="31.5" x14ac:dyDescent="0.25">
      <c r="A72" s="466" t="s">
        <v>1793</v>
      </c>
      <c r="B72" s="460">
        <v>902</v>
      </c>
      <c r="C72" s="462" t="s">
        <v>118</v>
      </c>
      <c r="D72" s="462" t="s">
        <v>150</v>
      </c>
      <c r="E72" s="462" t="s">
        <v>1794</v>
      </c>
      <c r="F72" s="462"/>
      <c r="G72" s="467">
        <f>G73</f>
        <v>1160.8601999999998</v>
      </c>
      <c r="H72" s="521"/>
      <c r="I72" s="478"/>
      <c r="J72" s="499"/>
      <c r="K72" s="471"/>
      <c r="L72" s="510"/>
    </row>
    <row r="73" spans="1:12" s="204" customFormat="1" ht="63" x14ac:dyDescent="0.25">
      <c r="A73" s="466" t="s">
        <v>127</v>
      </c>
      <c r="B73" s="460">
        <v>902</v>
      </c>
      <c r="C73" s="462" t="s">
        <v>118</v>
      </c>
      <c r="D73" s="462" t="s">
        <v>150</v>
      </c>
      <c r="E73" s="462" t="s">
        <v>1794</v>
      </c>
      <c r="F73" s="462" t="s">
        <v>128</v>
      </c>
      <c r="G73" s="467">
        <f>G74</f>
        <v>1160.8601999999998</v>
      </c>
      <c r="H73" s="521"/>
      <c r="I73" s="478"/>
      <c r="J73" s="499"/>
      <c r="K73" s="471"/>
      <c r="L73" s="510"/>
    </row>
    <row r="74" spans="1:12" s="204" customFormat="1" ht="31.5" x14ac:dyDescent="0.25">
      <c r="A74" s="466" t="s">
        <v>129</v>
      </c>
      <c r="B74" s="460">
        <v>902</v>
      </c>
      <c r="C74" s="462" t="s">
        <v>118</v>
      </c>
      <c r="D74" s="462" t="s">
        <v>150</v>
      </c>
      <c r="E74" s="462" t="s">
        <v>1794</v>
      </c>
      <c r="F74" s="462" t="s">
        <v>130</v>
      </c>
      <c r="G74" s="467">
        <f>842.6465+266.1337+52.08</f>
        <v>1160.8601999999998</v>
      </c>
      <c r="H74" s="521"/>
      <c r="I74" s="478"/>
      <c r="J74" s="499"/>
      <c r="K74" s="471"/>
      <c r="L74" s="510"/>
    </row>
    <row r="75" spans="1:12" s="204" customFormat="1" ht="31.5" x14ac:dyDescent="0.25">
      <c r="A75" s="464" t="s">
        <v>885</v>
      </c>
      <c r="B75" s="461">
        <v>902</v>
      </c>
      <c r="C75" s="465" t="s">
        <v>118</v>
      </c>
      <c r="D75" s="465" t="s">
        <v>150</v>
      </c>
      <c r="E75" s="465" t="s">
        <v>863</v>
      </c>
      <c r="F75" s="465"/>
      <c r="G75" s="463">
        <f>G76+G82+G87+G92+G79</f>
        <v>3378.9</v>
      </c>
      <c r="H75" s="518"/>
      <c r="I75" s="471"/>
      <c r="J75" s="499"/>
      <c r="K75" s="471"/>
    </row>
    <row r="76" spans="1:12" s="204" customFormat="1" ht="35.450000000000003" hidden="1" customHeight="1" x14ac:dyDescent="0.25">
      <c r="A76" s="466" t="s">
        <v>779</v>
      </c>
      <c r="B76" s="460">
        <v>902</v>
      </c>
      <c r="C76" s="462" t="s">
        <v>118</v>
      </c>
      <c r="D76" s="462" t="s">
        <v>150</v>
      </c>
      <c r="E76" s="462" t="s">
        <v>919</v>
      </c>
      <c r="F76" s="465"/>
      <c r="G76" s="467">
        <f>G77</f>
        <v>0</v>
      </c>
      <c r="H76" s="518"/>
      <c r="I76" s="471"/>
      <c r="J76" s="499"/>
      <c r="K76" s="471"/>
    </row>
    <row r="77" spans="1:12" s="204" customFormat="1" ht="31.5" hidden="1" x14ac:dyDescent="0.25">
      <c r="A77" s="466" t="s">
        <v>131</v>
      </c>
      <c r="B77" s="460">
        <v>902</v>
      </c>
      <c r="C77" s="462" t="s">
        <v>118</v>
      </c>
      <c r="D77" s="462" t="s">
        <v>150</v>
      </c>
      <c r="E77" s="462" t="s">
        <v>919</v>
      </c>
      <c r="F77" s="462" t="s">
        <v>132</v>
      </c>
      <c r="G77" s="467">
        <f>G78</f>
        <v>0</v>
      </c>
      <c r="H77" s="518"/>
      <c r="I77" s="471"/>
      <c r="J77" s="499"/>
      <c r="K77" s="471"/>
    </row>
    <row r="78" spans="1:12" s="204" customFormat="1" ht="31.5" hidden="1" x14ac:dyDescent="0.25">
      <c r="A78" s="466" t="s">
        <v>133</v>
      </c>
      <c r="B78" s="460">
        <v>902</v>
      </c>
      <c r="C78" s="462" t="s">
        <v>118</v>
      </c>
      <c r="D78" s="462" t="s">
        <v>150</v>
      </c>
      <c r="E78" s="462" t="s">
        <v>919</v>
      </c>
      <c r="F78" s="462" t="s">
        <v>134</v>
      </c>
      <c r="G78" s="467">
        <v>0</v>
      </c>
      <c r="H78" s="518"/>
      <c r="I78" s="471"/>
      <c r="J78" s="499"/>
      <c r="K78" s="471"/>
    </row>
    <row r="79" spans="1:12" s="204" customFormat="1" ht="47.25" x14ac:dyDescent="0.25">
      <c r="A79" s="31" t="s">
        <v>1179</v>
      </c>
      <c r="B79" s="460">
        <v>902</v>
      </c>
      <c r="C79" s="462" t="s">
        <v>118</v>
      </c>
      <c r="D79" s="462" t="s">
        <v>150</v>
      </c>
      <c r="E79" s="462" t="s">
        <v>1178</v>
      </c>
      <c r="F79" s="462"/>
      <c r="G79" s="467">
        <f>G80</f>
        <v>105.9</v>
      </c>
      <c r="H79" s="518"/>
      <c r="I79" s="471"/>
      <c r="J79" s="499"/>
      <c r="K79" s="471"/>
    </row>
    <row r="80" spans="1:12" s="204" customFormat="1" ht="31.5" x14ac:dyDescent="0.25">
      <c r="A80" s="466" t="s">
        <v>131</v>
      </c>
      <c r="B80" s="460">
        <v>902</v>
      </c>
      <c r="C80" s="462" t="s">
        <v>118</v>
      </c>
      <c r="D80" s="462" t="s">
        <v>150</v>
      </c>
      <c r="E80" s="462" t="s">
        <v>1178</v>
      </c>
      <c r="F80" s="462" t="s">
        <v>132</v>
      </c>
      <c r="G80" s="467">
        <f>G81</f>
        <v>105.9</v>
      </c>
      <c r="H80" s="518"/>
      <c r="I80" s="471"/>
      <c r="J80" s="499"/>
      <c r="K80" s="471"/>
    </row>
    <row r="81" spans="1:11" s="204" customFormat="1" ht="31.5" x14ac:dyDescent="0.25">
      <c r="A81" s="466" t="s">
        <v>133</v>
      </c>
      <c r="B81" s="460">
        <v>902</v>
      </c>
      <c r="C81" s="462" t="s">
        <v>118</v>
      </c>
      <c r="D81" s="462" t="s">
        <v>150</v>
      </c>
      <c r="E81" s="462" t="s">
        <v>1178</v>
      </c>
      <c r="F81" s="462" t="s">
        <v>134</v>
      </c>
      <c r="G81" s="467">
        <v>105.9</v>
      </c>
      <c r="H81" s="518"/>
      <c r="I81" s="471"/>
      <c r="J81" s="499"/>
      <c r="K81" s="471"/>
    </row>
    <row r="82" spans="1:11" s="204" customFormat="1" ht="47.25" x14ac:dyDescent="0.25">
      <c r="A82" s="31" t="s">
        <v>189</v>
      </c>
      <c r="B82" s="460">
        <v>902</v>
      </c>
      <c r="C82" s="462" t="s">
        <v>118</v>
      </c>
      <c r="D82" s="462" t="s">
        <v>150</v>
      </c>
      <c r="E82" s="462" t="s">
        <v>920</v>
      </c>
      <c r="F82" s="462"/>
      <c r="G82" s="467">
        <f>G83+G85</f>
        <v>499.29999999999995</v>
      </c>
      <c r="H82" s="518"/>
      <c r="I82" s="471"/>
      <c r="J82" s="499"/>
      <c r="K82" s="471"/>
    </row>
    <row r="83" spans="1:11" s="204" customFormat="1" ht="63" x14ac:dyDescent="0.25">
      <c r="A83" s="466" t="s">
        <v>127</v>
      </c>
      <c r="B83" s="460">
        <v>902</v>
      </c>
      <c r="C83" s="462" t="s">
        <v>118</v>
      </c>
      <c r="D83" s="462" t="s">
        <v>150</v>
      </c>
      <c r="E83" s="462" t="s">
        <v>920</v>
      </c>
      <c r="F83" s="462" t="s">
        <v>128</v>
      </c>
      <c r="G83" s="467">
        <f>G84</f>
        <v>499.29999999999995</v>
      </c>
      <c r="H83" s="518"/>
      <c r="I83" s="471"/>
      <c r="J83" s="499"/>
      <c r="K83" s="471"/>
    </row>
    <row r="84" spans="1:11" s="204" customFormat="1" ht="31.5" x14ac:dyDescent="0.25">
      <c r="A84" s="466" t="s">
        <v>129</v>
      </c>
      <c r="B84" s="460">
        <v>902</v>
      </c>
      <c r="C84" s="462" t="s">
        <v>118</v>
      </c>
      <c r="D84" s="462" t="s">
        <v>150</v>
      </c>
      <c r="E84" s="462" t="s">
        <v>920</v>
      </c>
      <c r="F84" s="462" t="s">
        <v>130</v>
      </c>
      <c r="G84" s="467">
        <f>555.9-56.6+1.99917-1.99917</f>
        <v>499.29999999999995</v>
      </c>
      <c r="H84" s="518"/>
      <c r="I84" s="471"/>
      <c r="J84" s="499"/>
      <c r="K84" s="471"/>
    </row>
    <row r="85" spans="1:11" s="204" customFormat="1" ht="31.5" hidden="1" x14ac:dyDescent="0.25">
      <c r="A85" s="466" t="s">
        <v>131</v>
      </c>
      <c r="B85" s="460">
        <v>902</v>
      </c>
      <c r="C85" s="462" t="s">
        <v>118</v>
      </c>
      <c r="D85" s="462" t="s">
        <v>150</v>
      </c>
      <c r="E85" s="462" t="s">
        <v>920</v>
      </c>
      <c r="F85" s="462" t="s">
        <v>132</v>
      </c>
      <c r="G85" s="467">
        <f>G86</f>
        <v>0</v>
      </c>
      <c r="H85" s="518"/>
      <c r="I85" s="471"/>
      <c r="J85" s="499"/>
      <c r="K85" s="471"/>
    </row>
    <row r="86" spans="1:11" s="204" customFormat="1" ht="31.5" hidden="1" x14ac:dyDescent="0.25">
      <c r="A86" s="466" t="s">
        <v>133</v>
      </c>
      <c r="B86" s="460">
        <v>902</v>
      </c>
      <c r="C86" s="462" t="s">
        <v>118</v>
      </c>
      <c r="D86" s="462" t="s">
        <v>150</v>
      </c>
      <c r="E86" s="462" t="s">
        <v>920</v>
      </c>
      <c r="F86" s="462" t="s">
        <v>134</v>
      </c>
      <c r="G86" s="467">
        <v>0</v>
      </c>
      <c r="H86" s="518"/>
      <c r="I86" s="471"/>
      <c r="J86" s="499"/>
      <c r="K86" s="471"/>
    </row>
    <row r="87" spans="1:11" s="204" customFormat="1" ht="47.25" x14ac:dyDescent="0.25">
      <c r="A87" s="31" t="s">
        <v>194</v>
      </c>
      <c r="B87" s="460">
        <v>902</v>
      </c>
      <c r="C87" s="462" t="s">
        <v>118</v>
      </c>
      <c r="D87" s="462" t="s">
        <v>150</v>
      </c>
      <c r="E87" s="462" t="s">
        <v>1030</v>
      </c>
      <c r="F87" s="462"/>
      <c r="G87" s="467">
        <f>G88+G90</f>
        <v>1439.3999999999999</v>
      </c>
      <c r="H87" s="518"/>
      <c r="I87" s="471"/>
      <c r="J87" s="499"/>
      <c r="K87" s="471"/>
    </row>
    <row r="88" spans="1:11" s="204" customFormat="1" ht="63" x14ac:dyDescent="0.25">
      <c r="A88" s="466" t="s">
        <v>127</v>
      </c>
      <c r="B88" s="460">
        <v>902</v>
      </c>
      <c r="C88" s="462" t="s">
        <v>118</v>
      </c>
      <c r="D88" s="462" t="s">
        <v>150</v>
      </c>
      <c r="E88" s="462" t="s">
        <v>1030</v>
      </c>
      <c r="F88" s="462" t="s">
        <v>128</v>
      </c>
      <c r="G88" s="467">
        <f>G89</f>
        <v>1359.1</v>
      </c>
      <c r="H88" s="518"/>
      <c r="I88" s="471"/>
      <c r="J88" s="499"/>
      <c r="K88" s="471"/>
    </row>
    <row r="89" spans="1:11" s="204" customFormat="1" ht="31.5" x14ac:dyDescent="0.25">
      <c r="A89" s="466" t="s">
        <v>129</v>
      </c>
      <c r="B89" s="460">
        <v>902</v>
      </c>
      <c r="C89" s="462" t="s">
        <v>118</v>
      </c>
      <c r="D89" s="462" t="s">
        <v>150</v>
      </c>
      <c r="E89" s="462" t="s">
        <v>1030</v>
      </c>
      <c r="F89" s="462" t="s">
        <v>130</v>
      </c>
      <c r="G89" s="467">
        <f>1333.1-39.7-21.5+100.2+8.8-21.8</f>
        <v>1359.1</v>
      </c>
      <c r="H89" s="518"/>
      <c r="I89" s="471"/>
      <c r="J89" s="499"/>
      <c r="K89" s="471"/>
    </row>
    <row r="90" spans="1:11" s="204" customFormat="1" ht="31.5" x14ac:dyDescent="0.25">
      <c r="A90" s="466" t="s">
        <v>131</v>
      </c>
      <c r="B90" s="460">
        <v>902</v>
      </c>
      <c r="C90" s="462" t="s">
        <v>118</v>
      </c>
      <c r="D90" s="462" t="s">
        <v>150</v>
      </c>
      <c r="E90" s="462" t="s">
        <v>1030</v>
      </c>
      <c r="F90" s="462" t="s">
        <v>132</v>
      </c>
      <c r="G90" s="467">
        <f>G91</f>
        <v>80.3</v>
      </c>
      <c r="H90" s="518"/>
      <c r="I90" s="471"/>
      <c r="J90" s="499"/>
      <c r="K90" s="471"/>
    </row>
    <row r="91" spans="1:11" s="204" customFormat="1" ht="31.5" x14ac:dyDescent="0.25">
      <c r="A91" s="466" t="s">
        <v>133</v>
      </c>
      <c r="B91" s="460">
        <v>902</v>
      </c>
      <c r="C91" s="462" t="s">
        <v>118</v>
      </c>
      <c r="D91" s="462" t="s">
        <v>150</v>
      </c>
      <c r="E91" s="462" t="s">
        <v>1030</v>
      </c>
      <c r="F91" s="462" t="s">
        <v>134</v>
      </c>
      <c r="G91" s="467">
        <f>156.9-116.5-0.7+21.5-2.7+21.8</f>
        <v>80.3</v>
      </c>
      <c r="H91" s="518"/>
      <c r="I91" s="471"/>
      <c r="J91" s="499"/>
      <c r="K91" s="471"/>
    </row>
    <row r="92" spans="1:11" s="204" customFormat="1" ht="31.5" x14ac:dyDescent="0.25">
      <c r="A92" s="31" t="s">
        <v>196</v>
      </c>
      <c r="B92" s="460">
        <v>902</v>
      </c>
      <c r="C92" s="462" t="s">
        <v>118</v>
      </c>
      <c r="D92" s="462" t="s">
        <v>150</v>
      </c>
      <c r="E92" s="462" t="s">
        <v>921</v>
      </c>
      <c r="F92" s="462"/>
      <c r="G92" s="467">
        <f>G93+G95</f>
        <v>1334.3000000000002</v>
      </c>
      <c r="H92" s="518"/>
      <c r="I92" s="471"/>
      <c r="J92" s="499"/>
      <c r="K92" s="471"/>
    </row>
    <row r="93" spans="1:11" s="204" customFormat="1" ht="63" x14ac:dyDescent="0.25">
      <c r="A93" s="466" t="s">
        <v>127</v>
      </c>
      <c r="B93" s="460">
        <v>902</v>
      </c>
      <c r="C93" s="462" t="s">
        <v>118</v>
      </c>
      <c r="D93" s="462" t="s">
        <v>150</v>
      </c>
      <c r="E93" s="462" t="s">
        <v>921</v>
      </c>
      <c r="F93" s="462" t="s">
        <v>128</v>
      </c>
      <c r="G93" s="467">
        <f>G94</f>
        <v>1293.0000000000002</v>
      </c>
      <c r="H93" s="518"/>
      <c r="I93" s="471"/>
      <c r="J93" s="499"/>
      <c r="K93" s="471"/>
    </row>
    <row r="94" spans="1:11" s="204" customFormat="1" ht="31.5" x14ac:dyDescent="0.25">
      <c r="A94" s="466" t="s">
        <v>129</v>
      </c>
      <c r="B94" s="460">
        <v>902</v>
      </c>
      <c r="C94" s="462" t="s">
        <v>118</v>
      </c>
      <c r="D94" s="462" t="s">
        <v>150</v>
      </c>
      <c r="E94" s="462" t="s">
        <v>921</v>
      </c>
      <c r="F94" s="462" t="s">
        <v>130</v>
      </c>
      <c r="G94" s="467">
        <f>1026.5+55.4+218.4-7.3</f>
        <v>1293.0000000000002</v>
      </c>
      <c r="H94" s="518"/>
      <c r="I94" s="471"/>
      <c r="J94" s="499"/>
      <c r="K94" s="471"/>
    </row>
    <row r="95" spans="1:11" s="204" customFormat="1" ht="31.5" x14ac:dyDescent="0.25">
      <c r="A95" s="466" t="s">
        <v>198</v>
      </c>
      <c r="B95" s="460">
        <v>902</v>
      </c>
      <c r="C95" s="462" t="s">
        <v>118</v>
      </c>
      <c r="D95" s="462" t="s">
        <v>150</v>
      </c>
      <c r="E95" s="462" t="s">
        <v>921</v>
      </c>
      <c r="F95" s="462" t="s">
        <v>132</v>
      </c>
      <c r="G95" s="467">
        <f>G96</f>
        <v>41.300000000000004</v>
      </c>
      <c r="H95" s="518"/>
      <c r="I95" s="471"/>
      <c r="J95" s="499"/>
      <c r="K95" s="471"/>
    </row>
    <row r="96" spans="1:11" s="204" customFormat="1" ht="31.5" x14ac:dyDescent="0.25">
      <c r="A96" s="466" t="s">
        <v>133</v>
      </c>
      <c r="B96" s="460">
        <v>902</v>
      </c>
      <c r="C96" s="462" t="s">
        <v>118</v>
      </c>
      <c r="D96" s="462" t="s">
        <v>150</v>
      </c>
      <c r="E96" s="462" t="s">
        <v>921</v>
      </c>
      <c r="F96" s="462" t="s">
        <v>134</v>
      </c>
      <c r="G96" s="467">
        <f>89.4-55.4+7.3</f>
        <v>41.300000000000004</v>
      </c>
      <c r="H96" s="518"/>
      <c r="I96" s="471"/>
      <c r="J96" s="499"/>
      <c r="K96" s="471"/>
    </row>
    <row r="97" spans="1:11" s="204" customFormat="1" ht="31.5" x14ac:dyDescent="0.25">
      <c r="A97" s="464" t="s">
        <v>1349</v>
      </c>
      <c r="B97" s="461">
        <v>902</v>
      </c>
      <c r="C97" s="465" t="s">
        <v>118</v>
      </c>
      <c r="D97" s="465" t="s">
        <v>150</v>
      </c>
      <c r="E97" s="465" t="s">
        <v>162</v>
      </c>
      <c r="F97" s="465"/>
      <c r="G97" s="463">
        <f>G98+G102+G111</f>
        <v>622.9</v>
      </c>
      <c r="H97" s="518"/>
      <c r="I97" s="471"/>
      <c r="J97" s="499"/>
      <c r="K97" s="471"/>
    </row>
    <row r="98" spans="1:11" s="204" customFormat="1" ht="63" x14ac:dyDescent="0.25">
      <c r="A98" s="299" t="s">
        <v>1350</v>
      </c>
      <c r="B98" s="461">
        <v>902</v>
      </c>
      <c r="C98" s="465" t="s">
        <v>118</v>
      </c>
      <c r="D98" s="465" t="s">
        <v>150</v>
      </c>
      <c r="E98" s="7" t="s">
        <v>849</v>
      </c>
      <c r="F98" s="465"/>
      <c r="G98" s="463">
        <f>G99</f>
        <v>426</v>
      </c>
      <c r="H98" s="518"/>
      <c r="I98" s="471"/>
      <c r="J98" s="499"/>
      <c r="K98" s="471"/>
    </row>
    <row r="99" spans="1:11" s="204" customFormat="1" ht="47.25" x14ac:dyDescent="0.25">
      <c r="A99" s="29" t="s">
        <v>1314</v>
      </c>
      <c r="B99" s="460">
        <v>902</v>
      </c>
      <c r="C99" s="462" t="s">
        <v>118</v>
      </c>
      <c r="D99" s="462" t="s">
        <v>150</v>
      </c>
      <c r="E99" s="469" t="s">
        <v>841</v>
      </c>
      <c r="F99" s="462"/>
      <c r="G99" s="467">
        <f>G100</f>
        <v>426</v>
      </c>
      <c r="H99" s="518"/>
      <c r="I99" s="471"/>
      <c r="J99" s="499"/>
      <c r="K99" s="471"/>
    </row>
    <row r="100" spans="1:11" s="204" customFormat="1" ht="31.5" x14ac:dyDescent="0.25">
      <c r="A100" s="466" t="s">
        <v>131</v>
      </c>
      <c r="B100" s="460">
        <v>902</v>
      </c>
      <c r="C100" s="462" t="s">
        <v>118</v>
      </c>
      <c r="D100" s="462" t="s">
        <v>150</v>
      </c>
      <c r="E100" s="469" t="s">
        <v>841</v>
      </c>
      <c r="F100" s="462" t="s">
        <v>132</v>
      </c>
      <c r="G100" s="467">
        <f>G101</f>
        <v>426</v>
      </c>
      <c r="H100" s="518"/>
      <c r="I100" s="471"/>
      <c r="J100" s="499"/>
      <c r="K100" s="471"/>
    </row>
    <row r="101" spans="1:11" s="204" customFormat="1" ht="31.5" x14ac:dyDescent="0.25">
      <c r="A101" s="466" t="s">
        <v>133</v>
      </c>
      <c r="B101" s="460">
        <v>902</v>
      </c>
      <c r="C101" s="462" t="s">
        <v>118</v>
      </c>
      <c r="D101" s="462" t="s">
        <v>150</v>
      </c>
      <c r="E101" s="469" t="s">
        <v>841</v>
      </c>
      <c r="F101" s="462" t="s">
        <v>134</v>
      </c>
      <c r="G101" s="467">
        <f>606-180</f>
        <v>426</v>
      </c>
      <c r="H101" s="518"/>
      <c r="I101" s="471"/>
      <c r="J101" s="499"/>
      <c r="K101" s="471"/>
    </row>
    <row r="102" spans="1:11" s="204" customFormat="1" ht="69.75" customHeight="1" x14ac:dyDescent="0.25">
      <c r="A102" s="215" t="s">
        <v>1351</v>
      </c>
      <c r="B102" s="272">
        <v>902</v>
      </c>
      <c r="C102" s="465" t="s">
        <v>118</v>
      </c>
      <c r="D102" s="465" t="s">
        <v>150</v>
      </c>
      <c r="E102" s="7" t="s">
        <v>850</v>
      </c>
      <c r="F102" s="465"/>
      <c r="G102" s="463">
        <f>G103+G108</f>
        <v>196.4</v>
      </c>
      <c r="H102" s="518"/>
      <c r="I102" s="471"/>
      <c r="J102" s="499"/>
      <c r="K102" s="471"/>
    </row>
    <row r="103" spans="1:11" s="204" customFormat="1" ht="47.25" x14ac:dyDescent="0.25">
      <c r="A103" s="174" t="s">
        <v>165</v>
      </c>
      <c r="B103" s="460">
        <v>902</v>
      </c>
      <c r="C103" s="462" t="s">
        <v>118</v>
      </c>
      <c r="D103" s="462" t="s">
        <v>150</v>
      </c>
      <c r="E103" s="469" t="s">
        <v>842</v>
      </c>
      <c r="F103" s="462"/>
      <c r="G103" s="467">
        <f>G104+G106</f>
        <v>196.4</v>
      </c>
      <c r="H103" s="518"/>
      <c r="I103" s="471"/>
      <c r="J103" s="499"/>
      <c r="K103" s="471"/>
    </row>
    <row r="104" spans="1:11" s="204" customFormat="1" ht="63" x14ac:dyDescent="0.25">
      <c r="A104" s="466" t="s">
        <v>127</v>
      </c>
      <c r="B104" s="460">
        <v>902</v>
      </c>
      <c r="C104" s="462" t="s">
        <v>118</v>
      </c>
      <c r="D104" s="462" t="s">
        <v>150</v>
      </c>
      <c r="E104" s="469" t="s">
        <v>842</v>
      </c>
      <c r="F104" s="462" t="s">
        <v>128</v>
      </c>
      <c r="G104" s="467">
        <f>G105</f>
        <v>151.4</v>
      </c>
      <c r="H104" s="518"/>
      <c r="I104" s="471"/>
      <c r="J104" s="499"/>
      <c r="K104" s="471"/>
    </row>
    <row r="105" spans="1:11" s="204" customFormat="1" ht="31.5" x14ac:dyDescent="0.25">
      <c r="A105" s="466" t="s">
        <v>129</v>
      </c>
      <c r="B105" s="460">
        <v>902</v>
      </c>
      <c r="C105" s="462" t="s">
        <v>118</v>
      </c>
      <c r="D105" s="462" t="s">
        <v>150</v>
      </c>
      <c r="E105" s="469" t="s">
        <v>842</v>
      </c>
      <c r="F105" s="462" t="s">
        <v>130</v>
      </c>
      <c r="G105" s="467">
        <f>37+55.3+17+42.1</f>
        <v>151.4</v>
      </c>
      <c r="H105" s="519"/>
      <c r="I105" s="471"/>
      <c r="J105" s="499"/>
      <c r="K105" s="471"/>
    </row>
    <row r="106" spans="1:11" s="204" customFormat="1" ht="31.5" x14ac:dyDescent="0.25">
      <c r="A106" s="466" t="s">
        <v>131</v>
      </c>
      <c r="B106" s="460">
        <v>902</v>
      </c>
      <c r="C106" s="462" t="s">
        <v>118</v>
      </c>
      <c r="D106" s="462" t="s">
        <v>150</v>
      </c>
      <c r="E106" s="469" t="s">
        <v>842</v>
      </c>
      <c r="F106" s="462" t="s">
        <v>132</v>
      </c>
      <c r="G106" s="467">
        <f>G107</f>
        <v>45</v>
      </c>
      <c r="H106" s="518"/>
      <c r="I106" s="471"/>
      <c r="J106" s="499"/>
      <c r="K106" s="471"/>
    </row>
    <row r="107" spans="1:11" s="204" customFormat="1" ht="31.5" x14ac:dyDescent="0.25">
      <c r="A107" s="466" t="s">
        <v>133</v>
      </c>
      <c r="B107" s="460">
        <v>902</v>
      </c>
      <c r="C107" s="462" t="s">
        <v>118</v>
      </c>
      <c r="D107" s="462" t="s">
        <v>150</v>
      </c>
      <c r="E107" s="469" t="s">
        <v>842</v>
      </c>
      <c r="F107" s="462" t="s">
        <v>134</v>
      </c>
      <c r="G107" s="467">
        <f>40+5</f>
        <v>45</v>
      </c>
      <c r="H107" s="518"/>
      <c r="I107" s="471"/>
      <c r="J107" s="499"/>
      <c r="K107" s="471"/>
    </row>
    <row r="108" spans="1:11" s="204" customFormat="1" ht="47.25" hidden="1" x14ac:dyDescent="0.25">
      <c r="A108" s="31" t="s">
        <v>1098</v>
      </c>
      <c r="B108" s="460">
        <v>902</v>
      </c>
      <c r="C108" s="462" t="s">
        <v>118</v>
      </c>
      <c r="D108" s="462" t="s">
        <v>150</v>
      </c>
      <c r="E108" s="469" t="s">
        <v>993</v>
      </c>
      <c r="F108" s="462"/>
      <c r="G108" s="467">
        <f>G109</f>
        <v>0</v>
      </c>
      <c r="H108" s="518"/>
      <c r="I108" s="471"/>
      <c r="J108" s="499"/>
      <c r="K108" s="471"/>
    </row>
    <row r="109" spans="1:11" s="204" customFormat="1" ht="31.5" hidden="1" x14ac:dyDescent="0.25">
      <c r="A109" s="466" t="s">
        <v>131</v>
      </c>
      <c r="B109" s="460">
        <v>902</v>
      </c>
      <c r="C109" s="462" t="s">
        <v>118</v>
      </c>
      <c r="D109" s="462" t="s">
        <v>150</v>
      </c>
      <c r="E109" s="469" t="s">
        <v>993</v>
      </c>
      <c r="F109" s="462" t="s">
        <v>132</v>
      </c>
      <c r="G109" s="467">
        <f>G110</f>
        <v>0</v>
      </c>
      <c r="H109" s="518"/>
      <c r="I109" s="471"/>
      <c r="J109" s="499"/>
      <c r="K109" s="471"/>
    </row>
    <row r="110" spans="1:11" s="204" customFormat="1" ht="31.5" hidden="1" x14ac:dyDescent="0.25">
      <c r="A110" s="466" t="s">
        <v>133</v>
      </c>
      <c r="B110" s="460">
        <v>902</v>
      </c>
      <c r="C110" s="462" t="s">
        <v>118</v>
      </c>
      <c r="D110" s="462" t="s">
        <v>150</v>
      </c>
      <c r="E110" s="469" t="s">
        <v>696</v>
      </c>
      <c r="F110" s="462" t="s">
        <v>134</v>
      </c>
      <c r="G110" s="467">
        <v>0</v>
      </c>
      <c r="H110" s="518"/>
      <c r="I110" s="471"/>
      <c r="J110" s="499"/>
      <c r="K110" s="471"/>
    </row>
    <row r="111" spans="1:11" s="204" customFormat="1" ht="51" customHeight="1" x14ac:dyDescent="0.25">
      <c r="A111" s="220" t="s">
        <v>1003</v>
      </c>
      <c r="B111" s="461">
        <v>902</v>
      </c>
      <c r="C111" s="465" t="s">
        <v>118</v>
      </c>
      <c r="D111" s="465" t="s">
        <v>150</v>
      </c>
      <c r="E111" s="7" t="s">
        <v>851</v>
      </c>
      <c r="F111" s="465"/>
      <c r="G111" s="463">
        <f>G112+G115</f>
        <v>0.5</v>
      </c>
      <c r="H111" s="518"/>
      <c r="I111" s="471"/>
      <c r="J111" s="499"/>
      <c r="K111" s="471"/>
    </row>
    <row r="112" spans="1:11" s="204" customFormat="1" ht="31.5" x14ac:dyDescent="0.25">
      <c r="A112" s="33" t="s">
        <v>191</v>
      </c>
      <c r="B112" s="460">
        <v>902</v>
      </c>
      <c r="C112" s="462" t="s">
        <v>118</v>
      </c>
      <c r="D112" s="462" t="s">
        <v>150</v>
      </c>
      <c r="E112" s="469" t="s">
        <v>844</v>
      </c>
      <c r="F112" s="462"/>
      <c r="G112" s="467">
        <f>G113</f>
        <v>0.5</v>
      </c>
      <c r="H112" s="518"/>
      <c r="I112" s="471"/>
      <c r="J112" s="499"/>
      <c r="K112" s="471"/>
    </row>
    <row r="113" spans="1:12" s="204" customFormat="1" ht="31.5" x14ac:dyDescent="0.25">
      <c r="A113" s="466" t="s">
        <v>131</v>
      </c>
      <c r="B113" s="460">
        <v>902</v>
      </c>
      <c r="C113" s="462" t="s">
        <v>118</v>
      </c>
      <c r="D113" s="462" t="s">
        <v>150</v>
      </c>
      <c r="E113" s="469" t="s">
        <v>844</v>
      </c>
      <c r="F113" s="462" t="s">
        <v>132</v>
      </c>
      <c r="G113" s="467">
        <f>G114</f>
        <v>0.5</v>
      </c>
      <c r="H113" s="518"/>
      <c r="I113" s="471"/>
      <c r="J113" s="499"/>
      <c r="K113" s="471"/>
    </row>
    <row r="114" spans="1:12" s="204" customFormat="1" ht="31.5" x14ac:dyDescent="0.25">
      <c r="A114" s="466" t="s">
        <v>133</v>
      </c>
      <c r="B114" s="460">
        <v>902</v>
      </c>
      <c r="C114" s="462" t="s">
        <v>118</v>
      </c>
      <c r="D114" s="462" t="s">
        <v>150</v>
      </c>
      <c r="E114" s="469" t="s">
        <v>844</v>
      </c>
      <c r="F114" s="462" t="s">
        <v>134</v>
      </c>
      <c r="G114" s="467">
        <v>0.5</v>
      </c>
      <c r="H114" s="518"/>
      <c r="I114" s="471"/>
      <c r="J114" s="499"/>
      <c r="K114" s="471"/>
    </row>
    <row r="115" spans="1:12" s="204" customFormat="1" ht="31.5" hidden="1" x14ac:dyDescent="0.25">
      <c r="A115" s="33" t="s">
        <v>191</v>
      </c>
      <c r="B115" s="460">
        <v>902</v>
      </c>
      <c r="C115" s="462" t="s">
        <v>118</v>
      </c>
      <c r="D115" s="462" t="s">
        <v>150</v>
      </c>
      <c r="E115" s="462" t="s">
        <v>845</v>
      </c>
      <c r="F115" s="462"/>
      <c r="G115" s="467">
        <f>G116</f>
        <v>0</v>
      </c>
      <c r="H115" s="518"/>
      <c r="I115" s="471"/>
      <c r="J115" s="499"/>
      <c r="K115" s="471"/>
    </row>
    <row r="116" spans="1:12" s="204" customFormat="1" ht="31.5" hidden="1" x14ac:dyDescent="0.25">
      <c r="A116" s="466" t="s">
        <v>131</v>
      </c>
      <c r="B116" s="460">
        <v>902</v>
      </c>
      <c r="C116" s="462" t="s">
        <v>118</v>
      </c>
      <c r="D116" s="462" t="s">
        <v>150</v>
      </c>
      <c r="E116" s="462" t="s">
        <v>845</v>
      </c>
      <c r="F116" s="462" t="s">
        <v>132</v>
      </c>
      <c r="G116" s="467">
        <f>G117</f>
        <v>0</v>
      </c>
      <c r="H116" s="518"/>
      <c r="I116" s="471"/>
      <c r="J116" s="499"/>
      <c r="K116" s="471"/>
    </row>
    <row r="117" spans="1:12" s="204" customFormat="1" ht="31.5" hidden="1" x14ac:dyDescent="0.25">
      <c r="A117" s="466" t="s">
        <v>133</v>
      </c>
      <c r="B117" s="460">
        <v>902</v>
      </c>
      <c r="C117" s="462" t="s">
        <v>118</v>
      </c>
      <c r="D117" s="462" t="s">
        <v>150</v>
      </c>
      <c r="E117" s="462" t="s">
        <v>845</v>
      </c>
      <c r="F117" s="462" t="s">
        <v>134</v>
      </c>
      <c r="G117" s="467">
        <v>0</v>
      </c>
      <c r="H117" s="518"/>
      <c r="I117" s="471"/>
      <c r="J117" s="499"/>
      <c r="K117" s="471"/>
    </row>
    <row r="118" spans="1:12" ht="47.25" x14ac:dyDescent="0.25">
      <c r="A118" s="464" t="s">
        <v>119</v>
      </c>
      <c r="B118" s="461">
        <v>902</v>
      </c>
      <c r="C118" s="465" t="s">
        <v>118</v>
      </c>
      <c r="D118" s="465" t="s">
        <v>120</v>
      </c>
      <c r="E118" s="465"/>
      <c r="F118" s="462"/>
      <c r="G118" s="463">
        <f>G119</f>
        <v>1510.5133000000001</v>
      </c>
      <c r="H118" s="518"/>
      <c r="I118" s="471"/>
      <c r="J118" s="499"/>
      <c r="K118" s="471"/>
      <c r="L118" s="204"/>
    </row>
    <row r="119" spans="1:12" ht="39.200000000000003" customHeight="1" x14ac:dyDescent="0.25">
      <c r="A119" s="464" t="s">
        <v>917</v>
      </c>
      <c r="B119" s="461">
        <v>902</v>
      </c>
      <c r="C119" s="465" t="s">
        <v>118</v>
      </c>
      <c r="D119" s="465" t="s">
        <v>120</v>
      </c>
      <c r="E119" s="465" t="s">
        <v>858</v>
      </c>
      <c r="F119" s="465"/>
      <c r="G119" s="463">
        <f>G120</f>
        <v>1510.5133000000001</v>
      </c>
      <c r="H119" s="518"/>
      <c r="I119" s="471"/>
      <c r="J119" s="499"/>
      <c r="K119" s="471"/>
      <c r="L119" s="204"/>
    </row>
    <row r="120" spans="1:12" ht="15.75" x14ac:dyDescent="0.25">
      <c r="A120" s="464" t="s">
        <v>918</v>
      </c>
      <c r="B120" s="461">
        <v>902</v>
      </c>
      <c r="C120" s="465" t="s">
        <v>118</v>
      </c>
      <c r="D120" s="465" t="s">
        <v>120</v>
      </c>
      <c r="E120" s="465" t="s">
        <v>859</v>
      </c>
      <c r="F120" s="465"/>
      <c r="G120" s="463">
        <f>G121+G124+G135</f>
        <v>1510.5133000000001</v>
      </c>
      <c r="H120" s="518"/>
      <c r="I120" s="471"/>
      <c r="J120" s="499"/>
      <c r="K120" s="471"/>
      <c r="L120" s="204"/>
    </row>
    <row r="121" spans="1:12" ht="31.5" x14ac:dyDescent="0.25">
      <c r="A121" s="466" t="s">
        <v>897</v>
      </c>
      <c r="B121" s="460">
        <v>902</v>
      </c>
      <c r="C121" s="462" t="s">
        <v>118</v>
      </c>
      <c r="D121" s="462" t="s">
        <v>120</v>
      </c>
      <c r="E121" s="462" t="s">
        <v>860</v>
      </c>
      <c r="F121" s="462"/>
      <c r="G121" s="467">
        <f>G122</f>
        <v>1429.9</v>
      </c>
      <c r="H121" s="518"/>
      <c r="I121" s="471"/>
      <c r="J121" s="499"/>
      <c r="K121" s="471"/>
      <c r="L121" s="204"/>
    </row>
    <row r="122" spans="1:12" ht="63" x14ac:dyDescent="0.25">
      <c r="A122" s="466" t="s">
        <v>127</v>
      </c>
      <c r="B122" s="460">
        <v>902</v>
      </c>
      <c r="C122" s="462" t="s">
        <v>118</v>
      </c>
      <c r="D122" s="462" t="s">
        <v>120</v>
      </c>
      <c r="E122" s="462" t="s">
        <v>860</v>
      </c>
      <c r="F122" s="462" t="s">
        <v>128</v>
      </c>
      <c r="G122" s="467">
        <f>G123</f>
        <v>1429.9</v>
      </c>
      <c r="H122" s="518"/>
      <c r="I122" s="471"/>
      <c r="J122" s="499"/>
      <c r="K122" s="471"/>
      <c r="L122" s="204"/>
    </row>
    <row r="123" spans="1:12" ht="31.5" x14ac:dyDescent="0.25">
      <c r="A123" s="466" t="s">
        <v>129</v>
      </c>
      <c r="B123" s="460">
        <v>902</v>
      </c>
      <c r="C123" s="462" t="s">
        <v>118</v>
      </c>
      <c r="D123" s="462" t="s">
        <v>120</v>
      </c>
      <c r="E123" s="462" t="s">
        <v>860</v>
      </c>
      <c r="F123" s="462" t="s">
        <v>130</v>
      </c>
      <c r="G123" s="27">
        <f>1286.2+100+25+38.7-20</f>
        <v>1429.9</v>
      </c>
      <c r="H123" s="518"/>
      <c r="I123" s="471"/>
      <c r="J123" s="499"/>
      <c r="K123" s="471"/>
      <c r="L123" s="204"/>
    </row>
    <row r="124" spans="1:12" ht="31.7" customHeight="1" x14ac:dyDescent="0.25">
      <c r="A124" s="466" t="s">
        <v>839</v>
      </c>
      <c r="B124" s="460">
        <v>902</v>
      </c>
      <c r="C124" s="462" t="s">
        <v>118</v>
      </c>
      <c r="D124" s="462" t="s">
        <v>120</v>
      </c>
      <c r="E124" s="462" t="s">
        <v>862</v>
      </c>
      <c r="F124" s="462"/>
      <c r="G124" s="467">
        <f>G125</f>
        <v>53.02</v>
      </c>
      <c r="H124" s="518"/>
      <c r="I124" s="471"/>
      <c r="J124" s="499"/>
      <c r="K124" s="471"/>
      <c r="L124" s="204"/>
    </row>
    <row r="125" spans="1:12" s="204" customFormat="1" ht="31.7" customHeight="1" x14ac:dyDescent="0.25">
      <c r="A125" s="466" t="s">
        <v>127</v>
      </c>
      <c r="B125" s="460">
        <v>902</v>
      </c>
      <c r="C125" s="462" t="s">
        <v>118</v>
      </c>
      <c r="D125" s="462" t="s">
        <v>120</v>
      </c>
      <c r="E125" s="462" t="s">
        <v>862</v>
      </c>
      <c r="F125" s="462" t="s">
        <v>128</v>
      </c>
      <c r="G125" s="467">
        <f>G126</f>
        <v>53.02</v>
      </c>
      <c r="H125" s="518"/>
      <c r="I125" s="471"/>
      <c r="J125" s="499"/>
      <c r="K125" s="471"/>
    </row>
    <row r="126" spans="1:12" ht="34.5" customHeight="1" x14ac:dyDescent="0.25">
      <c r="A126" s="466" t="s">
        <v>129</v>
      </c>
      <c r="B126" s="460">
        <v>902</v>
      </c>
      <c r="C126" s="462" t="s">
        <v>118</v>
      </c>
      <c r="D126" s="462" t="s">
        <v>120</v>
      </c>
      <c r="E126" s="462" t="s">
        <v>862</v>
      </c>
      <c r="F126" s="462" t="s">
        <v>130</v>
      </c>
      <c r="G126" s="467">
        <f>46+10-2.98</f>
        <v>53.02</v>
      </c>
      <c r="H126" s="518"/>
      <c r="I126" s="471"/>
      <c r="J126" s="499"/>
      <c r="K126" s="471"/>
      <c r="L126" s="204"/>
    </row>
    <row r="127" spans="1:12" s="204" customFormat="1" ht="17.45" hidden="1" customHeight="1" x14ac:dyDescent="0.25">
      <c r="A127" s="464" t="s">
        <v>1152</v>
      </c>
      <c r="B127" s="461">
        <v>902</v>
      </c>
      <c r="C127" s="465" t="s">
        <v>118</v>
      </c>
      <c r="D127" s="465" t="s">
        <v>264</v>
      </c>
      <c r="E127" s="465"/>
      <c r="F127" s="462"/>
      <c r="G127" s="463">
        <f>G128</f>
        <v>0</v>
      </c>
      <c r="H127" s="518"/>
      <c r="I127" s="471"/>
      <c r="J127" s="499"/>
      <c r="K127" s="471"/>
    </row>
    <row r="128" spans="1:12" s="204" customFormat="1" ht="21.75" hidden="1" customHeight="1" x14ac:dyDescent="0.25">
      <c r="A128" s="464" t="s">
        <v>141</v>
      </c>
      <c r="B128" s="461">
        <v>902</v>
      </c>
      <c r="C128" s="465" t="s">
        <v>118</v>
      </c>
      <c r="D128" s="465" t="s">
        <v>264</v>
      </c>
      <c r="E128" s="465" t="s">
        <v>866</v>
      </c>
      <c r="F128" s="462"/>
      <c r="G128" s="463">
        <f>G129</f>
        <v>0</v>
      </c>
      <c r="H128" s="518"/>
      <c r="I128" s="471"/>
      <c r="J128" s="499"/>
      <c r="K128" s="471"/>
    </row>
    <row r="129" spans="1:12" s="204" customFormat="1" ht="34.5" hidden="1" customHeight="1" x14ac:dyDescent="0.25">
      <c r="A129" s="464" t="s">
        <v>870</v>
      </c>
      <c r="B129" s="461">
        <v>902</v>
      </c>
      <c r="C129" s="465" t="s">
        <v>118</v>
      </c>
      <c r="D129" s="465" t="s">
        <v>264</v>
      </c>
      <c r="E129" s="465" t="s">
        <v>865</v>
      </c>
      <c r="F129" s="462"/>
      <c r="G129" s="463">
        <f>G130</f>
        <v>0</v>
      </c>
      <c r="H129" s="518"/>
      <c r="I129" s="471"/>
      <c r="J129" s="499"/>
      <c r="K129" s="471"/>
    </row>
    <row r="130" spans="1:12" s="204" customFormat="1" ht="18" hidden="1" customHeight="1" x14ac:dyDescent="0.25">
      <c r="A130" s="45" t="s">
        <v>199</v>
      </c>
      <c r="B130" s="460">
        <v>902</v>
      </c>
      <c r="C130" s="462" t="s">
        <v>118</v>
      </c>
      <c r="D130" s="462" t="s">
        <v>264</v>
      </c>
      <c r="E130" s="462" t="s">
        <v>1151</v>
      </c>
      <c r="F130" s="462"/>
      <c r="G130" s="467">
        <f>G131+G133</f>
        <v>0</v>
      </c>
      <c r="H130" s="518"/>
      <c r="I130" s="471"/>
      <c r="J130" s="499"/>
      <c r="K130" s="471"/>
    </row>
    <row r="131" spans="1:12" s="204" customFormat="1" ht="69.75" hidden="1" customHeight="1" x14ac:dyDescent="0.25">
      <c r="A131" s="466" t="s">
        <v>127</v>
      </c>
      <c r="B131" s="460">
        <v>902</v>
      </c>
      <c r="C131" s="462" t="s">
        <v>118</v>
      </c>
      <c r="D131" s="462" t="s">
        <v>264</v>
      </c>
      <c r="E131" s="462" t="s">
        <v>1151</v>
      </c>
      <c r="F131" s="462" t="s">
        <v>128</v>
      </c>
      <c r="G131" s="467">
        <f>G132</f>
        <v>0</v>
      </c>
      <c r="H131" s="518"/>
      <c r="I131" s="471"/>
      <c r="J131" s="499"/>
      <c r="K131" s="471"/>
    </row>
    <row r="132" spans="1:12" s="204" customFormat="1" ht="34.5" hidden="1" customHeight="1" x14ac:dyDescent="0.25">
      <c r="A132" s="466" t="s">
        <v>129</v>
      </c>
      <c r="B132" s="460">
        <v>902</v>
      </c>
      <c r="C132" s="462" t="s">
        <v>118</v>
      </c>
      <c r="D132" s="462" t="s">
        <v>264</v>
      </c>
      <c r="E132" s="462" t="s">
        <v>1151</v>
      </c>
      <c r="F132" s="462" t="s">
        <v>130</v>
      </c>
      <c r="G132" s="467">
        <v>0</v>
      </c>
      <c r="H132" s="518"/>
      <c r="I132" s="471"/>
      <c r="J132" s="499"/>
      <c r="K132" s="471"/>
    </row>
    <row r="133" spans="1:12" s="204" customFormat="1" ht="34.5" hidden="1" customHeight="1" x14ac:dyDescent="0.25">
      <c r="A133" s="466" t="s">
        <v>198</v>
      </c>
      <c r="B133" s="460">
        <v>902</v>
      </c>
      <c r="C133" s="462" t="s">
        <v>118</v>
      </c>
      <c r="D133" s="462" t="s">
        <v>264</v>
      </c>
      <c r="E133" s="462" t="s">
        <v>1151</v>
      </c>
      <c r="F133" s="462" t="s">
        <v>132</v>
      </c>
      <c r="G133" s="467">
        <f>G134</f>
        <v>0</v>
      </c>
      <c r="H133" s="518"/>
      <c r="I133" s="471"/>
      <c r="J133" s="499"/>
      <c r="K133" s="471"/>
    </row>
    <row r="134" spans="1:12" s="204" customFormat="1" ht="34.5" hidden="1" customHeight="1" x14ac:dyDescent="0.25">
      <c r="A134" s="466" t="s">
        <v>133</v>
      </c>
      <c r="B134" s="460">
        <v>902</v>
      </c>
      <c r="C134" s="462" t="s">
        <v>118</v>
      </c>
      <c r="D134" s="462" t="s">
        <v>264</v>
      </c>
      <c r="E134" s="462" t="s">
        <v>1151</v>
      </c>
      <c r="F134" s="462" t="s">
        <v>134</v>
      </c>
      <c r="G134" s="467">
        <v>0</v>
      </c>
      <c r="H134" s="518"/>
      <c r="I134" s="471"/>
      <c r="J134" s="499"/>
      <c r="K134" s="471"/>
    </row>
    <row r="135" spans="1:12" s="204" customFormat="1" ht="31.5" x14ac:dyDescent="0.25">
      <c r="A135" s="466" t="s">
        <v>1793</v>
      </c>
      <c r="B135" s="460">
        <v>902</v>
      </c>
      <c r="C135" s="462" t="s">
        <v>118</v>
      </c>
      <c r="D135" s="462" t="s">
        <v>120</v>
      </c>
      <c r="E135" s="462" t="s">
        <v>1794</v>
      </c>
      <c r="F135" s="462"/>
      <c r="G135" s="467">
        <f>G136</f>
        <v>27.593299999999999</v>
      </c>
      <c r="H135" s="518"/>
      <c r="I135" s="471"/>
      <c r="J135" s="499"/>
      <c r="K135" s="471"/>
    </row>
    <row r="136" spans="1:12" s="204" customFormat="1" ht="63" x14ac:dyDescent="0.25">
      <c r="A136" s="466" t="s">
        <v>127</v>
      </c>
      <c r="B136" s="460">
        <v>902</v>
      </c>
      <c r="C136" s="462" t="s">
        <v>118</v>
      </c>
      <c r="D136" s="462" t="s">
        <v>120</v>
      </c>
      <c r="E136" s="462" t="s">
        <v>1794</v>
      </c>
      <c r="F136" s="462" t="s">
        <v>128</v>
      </c>
      <c r="G136" s="467">
        <f>G137</f>
        <v>27.593299999999999</v>
      </c>
      <c r="H136" s="518"/>
      <c r="I136" s="471"/>
      <c r="J136" s="499"/>
      <c r="K136" s="471"/>
    </row>
    <row r="137" spans="1:12" s="204" customFormat="1" ht="31.5" x14ac:dyDescent="0.25">
      <c r="A137" s="466" t="s">
        <v>129</v>
      </c>
      <c r="B137" s="460">
        <v>902</v>
      </c>
      <c r="C137" s="462" t="s">
        <v>118</v>
      </c>
      <c r="D137" s="462" t="s">
        <v>120</v>
      </c>
      <c r="E137" s="462" t="s">
        <v>1794</v>
      </c>
      <c r="F137" s="462" t="s">
        <v>130</v>
      </c>
      <c r="G137" s="467">
        <v>27.593299999999999</v>
      </c>
      <c r="H137" s="518"/>
      <c r="I137" s="471"/>
      <c r="J137" s="499"/>
      <c r="K137" s="471"/>
    </row>
    <row r="138" spans="1:12" ht="15.75" x14ac:dyDescent="0.25">
      <c r="A138" s="464" t="s">
        <v>139</v>
      </c>
      <c r="B138" s="461">
        <v>902</v>
      </c>
      <c r="C138" s="465" t="s">
        <v>118</v>
      </c>
      <c r="D138" s="465" t="s">
        <v>140</v>
      </c>
      <c r="E138" s="465"/>
      <c r="F138" s="465"/>
      <c r="G138" s="463">
        <f>G156+G165+G139+G170</f>
        <v>11481.06223</v>
      </c>
      <c r="H138" s="518"/>
      <c r="I138" s="113"/>
      <c r="J138" s="499"/>
      <c r="K138" s="471"/>
      <c r="L138" s="204"/>
    </row>
    <row r="139" spans="1:12" s="204" customFormat="1" ht="19.5" customHeight="1" x14ac:dyDescent="0.25">
      <c r="A139" s="464" t="s">
        <v>141</v>
      </c>
      <c r="B139" s="461">
        <v>902</v>
      </c>
      <c r="C139" s="465" t="s">
        <v>118</v>
      </c>
      <c r="D139" s="465" t="s">
        <v>140</v>
      </c>
      <c r="E139" s="465" t="s">
        <v>866</v>
      </c>
      <c r="F139" s="465"/>
      <c r="G139" s="463">
        <f>G144+G140</f>
        <v>11452.90223</v>
      </c>
      <c r="H139" s="518"/>
      <c r="I139" s="471"/>
      <c r="J139" s="499"/>
      <c r="K139" s="471"/>
    </row>
    <row r="140" spans="1:12" s="204" customFormat="1" ht="30.6" customHeight="1" x14ac:dyDescent="0.25">
      <c r="A140" s="464" t="s">
        <v>870</v>
      </c>
      <c r="B140" s="461">
        <v>902</v>
      </c>
      <c r="C140" s="465" t="s">
        <v>118</v>
      </c>
      <c r="D140" s="465" t="s">
        <v>140</v>
      </c>
      <c r="E140" s="465" t="s">
        <v>865</v>
      </c>
      <c r="F140" s="465"/>
      <c r="G140" s="463">
        <f>G141</f>
        <v>5000</v>
      </c>
      <c r="H140" s="518"/>
      <c r="I140" s="471"/>
      <c r="J140" s="499"/>
      <c r="K140" s="471"/>
    </row>
    <row r="141" spans="1:12" s="204" customFormat="1" ht="19.5" customHeight="1" x14ac:dyDescent="0.25">
      <c r="A141" s="466" t="s">
        <v>199</v>
      </c>
      <c r="B141" s="460">
        <v>902</v>
      </c>
      <c r="C141" s="462" t="s">
        <v>118</v>
      </c>
      <c r="D141" s="462" t="s">
        <v>140</v>
      </c>
      <c r="E141" s="462" t="s">
        <v>1151</v>
      </c>
      <c r="F141" s="462"/>
      <c r="G141" s="467">
        <f>G142</f>
        <v>5000</v>
      </c>
      <c r="H141" s="518"/>
      <c r="I141" s="471"/>
      <c r="J141" s="499"/>
      <c r="K141" s="471"/>
    </row>
    <row r="142" spans="1:12" s="204" customFormat="1" ht="19.5" customHeight="1" x14ac:dyDescent="0.25">
      <c r="A142" s="466" t="s">
        <v>135</v>
      </c>
      <c r="B142" s="460">
        <v>902</v>
      </c>
      <c r="C142" s="462" t="s">
        <v>118</v>
      </c>
      <c r="D142" s="462" t="s">
        <v>140</v>
      </c>
      <c r="E142" s="462" t="s">
        <v>1151</v>
      </c>
      <c r="F142" s="462" t="s">
        <v>145</v>
      </c>
      <c r="G142" s="467">
        <f>G143</f>
        <v>5000</v>
      </c>
      <c r="H142" s="518"/>
      <c r="I142" s="471"/>
      <c r="J142" s="499"/>
      <c r="K142" s="471"/>
    </row>
    <row r="143" spans="1:12" s="204" customFormat="1" ht="19.5" customHeight="1" x14ac:dyDescent="0.25">
      <c r="A143" s="466" t="s">
        <v>568</v>
      </c>
      <c r="B143" s="460">
        <v>902</v>
      </c>
      <c r="C143" s="462" t="s">
        <v>118</v>
      </c>
      <c r="D143" s="462" t="s">
        <v>140</v>
      </c>
      <c r="E143" s="462" t="s">
        <v>1151</v>
      </c>
      <c r="F143" s="462" t="s">
        <v>138</v>
      </c>
      <c r="G143" s="467">
        <v>5000</v>
      </c>
      <c r="H143" s="518"/>
      <c r="I143" s="471"/>
      <c r="J143" s="499"/>
      <c r="K143" s="471"/>
    </row>
    <row r="144" spans="1:12" s="204" customFormat="1" ht="34.5" customHeight="1" x14ac:dyDescent="0.25">
      <c r="A144" s="464" t="s">
        <v>922</v>
      </c>
      <c r="B144" s="461">
        <v>902</v>
      </c>
      <c r="C144" s="465" t="s">
        <v>118</v>
      </c>
      <c r="D144" s="465" t="s">
        <v>140</v>
      </c>
      <c r="E144" s="465" t="s">
        <v>867</v>
      </c>
      <c r="F144" s="465"/>
      <c r="G144" s="463">
        <f>G145+G150+G153</f>
        <v>6452.9022299999997</v>
      </c>
      <c r="H144" s="518"/>
      <c r="I144" s="471"/>
      <c r="J144" s="499"/>
      <c r="K144" s="471"/>
    </row>
    <row r="145" spans="1:16" s="204" customFormat="1" ht="21.75" customHeight="1" x14ac:dyDescent="0.25">
      <c r="A145" s="466" t="s">
        <v>928</v>
      </c>
      <c r="B145" s="460">
        <v>902</v>
      </c>
      <c r="C145" s="462" t="s">
        <v>118</v>
      </c>
      <c r="D145" s="462" t="s">
        <v>140</v>
      </c>
      <c r="E145" s="462" t="s">
        <v>868</v>
      </c>
      <c r="F145" s="462"/>
      <c r="G145" s="467">
        <f>G146+G148</f>
        <v>6024.4852300000002</v>
      </c>
      <c r="H145" s="518"/>
      <c r="I145" s="471"/>
      <c r="J145" s="499"/>
      <c r="K145" s="471"/>
    </row>
    <row r="146" spans="1:16" s="204" customFormat="1" ht="66.75" customHeight="1" x14ac:dyDescent="0.25">
      <c r="A146" s="466" t="s">
        <v>127</v>
      </c>
      <c r="B146" s="460">
        <v>902</v>
      </c>
      <c r="C146" s="462" t="s">
        <v>118</v>
      </c>
      <c r="D146" s="462" t="s">
        <v>140</v>
      </c>
      <c r="E146" s="462" t="s">
        <v>868</v>
      </c>
      <c r="F146" s="462" t="s">
        <v>128</v>
      </c>
      <c r="G146" s="467">
        <f>G147</f>
        <v>4401</v>
      </c>
      <c r="H146" s="518"/>
      <c r="I146" s="471"/>
      <c r="J146" s="499"/>
      <c r="K146" s="471"/>
    </row>
    <row r="147" spans="1:16" s="204" customFormat="1" ht="20.25" customHeight="1" x14ac:dyDescent="0.25">
      <c r="A147" s="466" t="s">
        <v>208</v>
      </c>
      <c r="B147" s="460">
        <v>902</v>
      </c>
      <c r="C147" s="462" t="s">
        <v>118</v>
      </c>
      <c r="D147" s="462" t="s">
        <v>140</v>
      </c>
      <c r="E147" s="462" t="s">
        <v>868</v>
      </c>
      <c r="F147" s="462" t="s">
        <v>209</v>
      </c>
      <c r="G147" s="27">
        <f>4501-100</f>
        <v>4401</v>
      </c>
      <c r="H147" s="518"/>
      <c r="I147" s="471"/>
      <c r="J147" s="499"/>
      <c r="K147" s="471"/>
    </row>
    <row r="148" spans="1:16" s="204" customFormat="1" ht="39.200000000000003" customHeight="1" x14ac:dyDescent="0.25">
      <c r="A148" s="466" t="s">
        <v>198</v>
      </c>
      <c r="B148" s="460">
        <v>902</v>
      </c>
      <c r="C148" s="462" t="s">
        <v>118</v>
      </c>
      <c r="D148" s="462" t="s">
        <v>140</v>
      </c>
      <c r="E148" s="462" t="s">
        <v>868</v>
      </c>
      <c r="F148" s="462" t="s">
        <v>132</v>
      </c>
      <c r="G148" s="467">
        <f>G149</f>
        <v>1623.4852299999998</v>
      </c>
      <c r="H148" s="518"/>
      <c r="I148" s="471"/>
      <c r="J148" s="499"/>
      <c r="K148" s="471"/>
    </row>
    <row r="149" spans="1:16" s="204" customFormat="1" ht="39.200000000000003" customHeight="1" x14ac:dyDescent="0.25">
      <c r="A149" s="466" t="s">
        <v>133</v>
      </c>
      <c r="B149" s="460">
        <v>902</v>
      </c>
      <c r="C149" s="462" t="s">
        <v>118</v>
      </c>
      <c r="D149" s="462" t="s">
        <v>140</v>
      </c>
      <c r="E149" s="462" t="s">
        <v>868</v>
      </c>
      <c r="F149" s="462" t="s">
        <v>134</v>
      </c>
      <c r="G149" s="27">
        <f>1174.7+113.8-77.5-11-972-15.9+972+7.3+8.6+134+162+198+10-56.48-24.03477</f>
        <v>1623.4852299999998</v>
      </c>
      <c r="H149" s="527"/>
      <c r="I149" s="471"/>
      <c r="J149" s="499"/>
      <c r="K149" s="471"/>
    </row>
    <row r="150" spans="1:16" s="204" customFormat="1" ht="28.5" customHeight="1" x14ac:dyDescent="0.25">
      <c r="A150" s="466" t="s">
        <v>839</v>
      </c>
      <c r="B150" s="460">
        <v>902</v>
      </c>
      <c r="C150" s="462" t="s">
        <v>118</v>
      </c>
      <c r="D150" s="462" t="s">
        <v>140</v>
      </c>
      <c r="E150" s="462" t="s">
        <v>869</v>
      </c>
      <c r="F150" s="462"/>
      <c r="G150" s="467">
        <f>G151</f>
        <v>331.36</v>
      </c>
      <c r="H150" s="518"/>
      <c r="I150" s="471"/>
      <c r="J150" s="499"/>
      <c r="K150" s="471"/>
    </row>
    <row r="151" spans="1:16" s="204" customFormat="1" ht="63" customHeight="1" x14ac:dyDescent="0.25">
      <c r="A151" s="466" t="s">
        <v>127</v>
      </c>
      <c r="B151" s="460">
        <v>902</v>
      </c>
      <c r="C151" s="462" t="s">
        <v>118</v>
      </c>
      <c r="D151" s="462" t="s">
        <v>140</v>
      </c>
      <c r="E151" s="462" t="s">
        <v>869</v>
      </c>
      <c r="F151" s="462" t="s">
        <v>128</v>
      </c>
      <c r="G151" s="467">
        <f>G152</f>
        <v>331.36</v>
      </c>
      <c r="H151" s="518"/>
      <c r="I151" s="471"/>
      <c r="J151" s="499"/>
      <c r="K151" s="471"/>
    </row>
    <row r="152" spans="1:16" s="204" customFormat="1" ht="23.25" customHeight="1" x14ac:dyDescent="0.25">
      <c r="A152" s="466" t="s">
        <v>208</v>
      </c>
      <c r="B152" s="460">
        <v>902</v>
      </c>
      <c r="C152" s="462" t="s">
        <v>118</v>
      </c>
      <c r="D152" s="462" t="s">
        <v>140</v>
      </c>
      <c r="E152" s="462" t="s">
        <v>869</v>
      </c>
      <c r="F152" s="462" t="s">
        <v>209</v>
      </c>
      <c r="G152" s="467">
        <f>128+79+18.025-18.025+43+81.36</f>
        <v>331.36</v>
      </c>
      <c r="H152" s="519"/>
      <c r="I152" s="471"/>
      <c r="J152" s="499"/>
      <c r="K152" s="471"/>
      <c r="L152" s="510"/>
      <c r="N152" s="510"/>
      <c r="P152" s="510"/>
    </row>
    <row r="153" spans="1:16" s="204" customFormat="1" ht="31.5" x14ac:dyDescent="0.25">
      <c r="A153" s="466" t="s">
        <v>1793</v>
      </c>
      <c r="B153" s="460">
        <v>902</v>
      </c>
      <c r="C153" s="462" t="s">
        <v>118</v>
      </c>
      <c r="D153" s="462" t="s">
        <v>140</v>
      </c>
      <c r="E153" s="462" t="s">
        <v>1795</v>
      </c>
      <c r="F153" s="462"/>
      <c r="G153" s="467">
        <f>G154</f>
        <v>97.057000000000002</v>
      </c>
      <c r="H153" s="521"/>
      <c r="I153" s="471"/>
      <c r="J153" s="499"/>
      <c r="K153" s="471"/>
      <c r="L153" s="510"/>
      <c r="N153" s="510"/>
      <c r="P153" s="510"/>
    </row>
    <row r="154" spans="1:16" s="204" customFormat="1" ht="63" x14ac:dyDescent="0.25">
      <c r="A154" s="466" t="s">
        <v>127</v>
      </c>
      <c r="B154" s="460">
        <v>902</v>
      </c>
      <c r="C154" s="462" t="s">
        <v>118</v>
      </c>
      <c r="D154" s="462" t="s">
        <v>140</v>
      </c>
      <c r="E154" s="462" t="s">
        <v>1795</v>
      </c>
      <c r="F154" s="462" t="s">
        <v>128</v>
      </c>
      <c r="G154" s="467">
        <f>G155</f>
        <v>97.057000000000002</v>
      </c>
      <c r="H154" s="521"/>
      <c r="I154" s="471"/>
      <c r="J154" s="499"/>
      <c r="K154" s="471"/>
      <c r="L154" s="510"/>
      <c r="N154" s="510"/>
      <c r="P154" s="510"/>
    </row>
    <row r="155" spans="1:16" s="204" customFormat="1" ht="15.75" x14ac:dyDescent="0.25">
      <c r="A155" s="466" t="s">
        <v>208</v>
      </c>
      <c r="B155" s="460">
        <v>902</v>
      </c>
      <c r="C155" s="462" t="s">
        <v>118</v>
      </c>
      <c r="D155" s="462" t="s">
        <v>140</v>
      </c>
      <c r="E155" s="462" t="s">
        <v>1795</v>
      </c>
      <c r="F155" s="462" t="s">
        <v>209</v>
      </c>
      <c r="G155" s="467">
        <v>97.057000000000002</v>
      </c>
      <c r="H155" s="521"/>
      <c r="I155" s="471"/>
      <c r="J155" s="499"/>
      <c r="K155" s="471"/>
      <c r="L155" s="510"/>
      <c r="N155" s="510"/>
      <c r="P155" s="510"/>
    </row>
    <row r="156" spans="1:16" ht="47.25" x14ac:dyDescent="0.25">
      <c r="A156" s="470" t="s">
        <v>1352</v>
      </c>
      <c r="B156" s="461">
        <v>902</v>
      </c>
      <c r="C156" s="465" t="s">
        <v>118</v>
      </c>
      <c r="D156" s="465" t="s">
        <v>140</v>
      </c>
      <c r="E156" s="465" t="s">
        <v>705</v>
      </c>
      <c r="F156" s="474"/>
      <c r="G156" s="463">
        <f>G157+G161</f>
        <v>15</v>
      </c>
      <c r="H156" s="518"/>
      <c r="I156" s="471"/>
      <c r="J156" s="499"/>
      <c r="K156" s="471"/>
      <c r="L156" s="204"/>
    </row>
    <row r="157" spans="1:16" s="204" customFormat="1" ht="47.25" hidden="1" customHeight="1" x14ac:dyDescent="0.25">
      <c r="A157" s="210" t="s">
        <v>846</v>
      </c>
      <c r="B157" s="461">
        <v>902</v>
      </c>
      <c r="C157" s="465" t="s">
        <v>118</v>
      </c>
      <c r="D157" s="465" t="s">
        <v>140</v>
      </c>
      <c r="E157" s="465" t="s">
        <v>852</v>
      </c>
      <c r="F157" s="474"/>
      <c r="G157" s="463">
        <f>G158</f>
        <v>0</v>
      </c>
      <c r="H157" s="518"/>
      <c r="I157" s="471"/>
      <c r="J157" s="499"/>
      <c r="K157" s="471"/>
    </row>
    <row r="158" spans="1:16" ht="36.75" hidden="1" customHeight="1" x14ac:dyDescent="0.25">
      <c r="A158" s="98" t="s">
        <v>776</v>
      </c>
      <c r="B158" s="460">
        <v>902</v>
      </c>
      <c r="C158" s="462" t="s">
        <v>118</v>
      </c>
      <c r="D158" s="462" t="s">
        <v>140</v>
      </c>
      <c r="E158" s="462" t="s">
        <v>847</v>
      </c>
      <c r="F158" s="468"/>
      <c r="G158" s="467">
        <f>G159</f>
        <v>0</v>
      </c>
      <c r="H158" s="518"/>
      <c r="I158" s="471"/>
      <c r="J158" s="499"/>
      <c r="K158" s="471"/>
      <c r="L158" s="204"/>
    </row>
    <row r="159" spans="1:16" ht="31.5" hidden="1" x14ac:dyDescent="0.25">
      <c r="A159" s="466" t="s">
        <v>131</v>
      </c>
      <c r="B159" s="460">
        <v>902</v>
      </c>
      <c r="C159" s="462" t="s">
        <v>118</v>
      </c>
      <c r="D159" s="462" t="s">
        <v>140</v>
      </c>
      <c r="E159" s="462" t="s">
        <v>847</v>
      </c>
      <c r="F159" s="468" t="s">
        <v>132</v>
      </c>
      <c r="G159" s="467">
        <f>G160</f>
        <v>0</v>
      </c>
      <c r="H159" s="518"/>
      <c r="I159" s="471"/>
      <c r="J159" s="499"/>
      <c r="K159" s="471"/>
      <c r="L159" s="204"/>
    </row>
    <row r="160" spans="1:16" ht="31.5" hidden="1" x14ac:dyDescent="0.25">
      <c r="A160" s="466" t="s">
        <v>133</v>
      </c>
      <c r="B160" s="460">
        <v>902</v>
      </c>
      <c r="C160" s="462" t="s">
        <v>118</v>
      </c>
      <c r="D160" s="462" t="s">
        <v>140</v>
      </c>
      <c r="E160" s="462" t="s">
        <v>847</v>
      </c>
      <c r="F160" s="468" t="s">
        <v>134</v>
      </c>
      <c r="G160" s="467">
        <f>28-28</f>
        <v>0</v>
      </c>
      <c r="H160" s="518"/>
      <c r="I160" s="471"/>
      <c r="J160" s="499"/>
      <c r="K160" s="471"/>
      <c r="L160" s="204"/>
    </row>
    <row r="161" spans="1:12" s="204" customFormat="1" ht="34.5" customHeight="1" x14ac:dyDescent="0.25">
      <c r="A161" s="473" t="s">
        <v>1023</v>
      </c>
      <c r="B161" s="461">
        <v>902</v>
      </c>
      <c r="C161" s="465" t="s">
        <v>118</v>
      </c>
      <c r="D161" s="465" t="s">
        <v>140</v>
      </c>
      <c r="E161" s="465" t="s">
        <v>853</v>
      </c>
      <c r="F161" s="474"/>
      <c r="G161" s="463">
        <f>G162</f>
        <v>15</v>
      </c>
      <c r="H161" s="518"/>
      <c r="I161" s="471"/>
      <c r="J161" s="499"/>
      <c r="K161" s="471"/>
    </row>
    <row r="162" spans="1:12" ht="39.200000000000003" customHeight="1" x14ac:dyDescent="0.25">
      <c r="A162" s="98" t="s">
        <v>777</v>
      </c>
      <c r="B162" s="460">
        <v>902</v>
      </c>
      <c r="C162" s="462" t="s">
        <v>118</v>
      </c>
      <c r="D162" s="462" t="s">
        <v>140</v>
      </c>
      <c r="E162" s="462" t="s">
        <v>848</v>
      </c>
      <c r="F162" s="468"/>
      <c r="G162" s="467">
        <f>G163</f>
        <v>15</v>
      </c>
      <c r="H162" s="518"/>
      <c r="I162" s="471"/>
      <c r="J162" s="499"/>
      <c r="K162" s="471"/>
      <c r="L162" s="204"/>
    </row>
    <row r="163" spans="1:12" ht="31.7" customHeight="1" x14ac:dyDescent="0.25">
      <c r="A163" s="466" t="s">
        <v>131</v>
      </c>
      <c r="B163" s="460">
        <v>902</v>
      </c>
      <c r="C163" s="462" t="s">
        <v>118</v>
      </c>
      <c r="D163" s="462" t="s">
        <v>140</v>
      </c>
      <c r="E163" s="462" t="s">
        <v>848</v>
      </c>
      <c r="F163" s="468" t="s">
        <v>132</v>
      </c>
      <c r="G163" s="467">
        <f>G164</f>
        <v>15</v>
      </c>
      <c r="H163" s="518"/>
      <c r="I163" s="471"/>
      <c r="J163" s="499"/>
      <c r="K163" s="471"/>
      <c r="L163" s="204"/>
    </row>
    <row r="164" spans="1:12" ht="32.25" customHeight="1" x14ac:dyDescent="0.25">
      <c r="A164" s="466" t="s">
        <v>133</v>
      </c>
      <c r="B164" s="460">
        <v>902</v>
      </c>
      <c r="C164" s="462" t="s">
        <v>118</v>
      </c>
      <c r="D164" s="462" t="s">
        <v>140</v>
      </c>
      <c r="E164" s="462" t="s">
        <v>848</v>
      </c>
      <c r="F164" s="468" t="s">
        <v>134</v>
      </c>
      <c r="G164" s="467">
        <v>15</v>
      </c>
      <c r="H164" s="518"/>
      <c r="I164" s="471"/>
      <c r="J164" s="499"/>
      <c r="K164" s="471"/>
      <c r="L164" s="204"/>
    </row>
    <row r="165" spans="1:12" ht="68.25" hidden="1" customHeight="1" x14ac:dyDescent="0.25">
      <c r="A165" s="470" t="s">
        <v>1353</v>
      </c>
      <c r="B165" s="461">
        <v>902</v>
      </c>
      <c r="C165" s="8" t="s">
        <v>118</v>
      </c>
      <c r="D165" s="8" t="s">
        <v>140</v>
      </c>
      <c r="E165" s="194" t="s">
        <v>817</v>
      </c>
      <c r="F165" s="8"/>
      <c r="G165" s="463">
        <f>G167</f>
        <v>0</v>
      </c>
      <c r="H165" s="518"/>
      <c r="I165" s="471"/>
      <c r="J165" s="499"/>
      <c r="K165" s="471"/>
      <c r="L165" s="204"/>
    </row>
    <row r="166" spans="1:12" s="204" customFormat="1" ht="35.450000000000003" hidden="1" customHeight="1" x14ac:dyDescent="0.25">
      <c r="A166" s="212" t="s">
        <v>854</v>
      </c>
      <c r="B166" s="461">
        <v>902</v>
      </c>
      <c r="C166" s="8" t="s">
        <v>118</v>
      </c>
      <c r="D166" s="8" t="s">
        <v>140</v>
      </c>
      <c r="E166" s="194" t="s">
        <v>1078</v>
      </c>
      <c r="F166" s="8"/>
      <c r="G166" s="463">
        <f>G167</f>
        <v>0</v>
      </c>
      <c r="H166" s="518"/>
      <c r="I166" s="471"/>
      <c r="J166" s="499"/>
      <c r="K166" s="471"/>
    </row>
    <row r="167" spans="1:12" ht="31.7" hidden="1" customHeight="1" x14ac:dyDescent="0.25">
      <c r="A167" s="97" t="s">
        <v>171</v>
      </c>
      <c r="B167" s="460">
        <v>902</v>
      </c>
      <c r="C167" s="9" t="s">
        <v>118</v>
      </c>
      <c r="D167" s="9" t="s">
        <v>140</v>
      </c>
      <c r="E167" s="5" t="s">
        <v>855</v>
      </c>
      <c r="F167" s="9"/>
      <c r="G167" s="467">
        <f>G168</f>
        <v>0</v>
      </c>
      <c r="H167" s="518"/>
      <c r="I167" s="471"/>
      <c r="J167" s="499"/>
      <c r="K167" s="471"/>
      <c r="L167" s="204"/>
    </row>
    <row r="168" spans="1:12" ht="35.450000000000003" hidden="1" customHeight="1" x14ac:dyDescent="0.25">
      <c r="A168" s="466" t="s">
        <v>131</v>
      </c>
      <c r="B168" s="460">
        <v>902</v>
      </c>
      <c r="C168" s="9" t="s">
        <v>118</v>
      </c>
      <c r="D168" s="9" t="s">
        <v>140</v>
      </c>
      <c r="E168" s="5" t="s">
        <v>855</v>
      </c>
      <c r="F168" s="9" t="s">
        <v>132</v>
      </c>
      <c r="G168" s="467">
        <f>G169</f>
        <v>0</v>
      </c>
      <c r="H168" s="518"/>
      <c r="I168" s="471"/>
      <c r="J168" s="499"/>
      <c r="K168" s="471"/>
      <c r="L168" s="204"/>
    </row>
    <row r="169" spans="1:12" ht="33" hidden="1" customHeight="1" x14ac:dyDescent="0.25">
      <c r="A169" s="466" t="s">
        <v>133</v>
      </c>
      <c r="B169" s="460">
        <v>902</v>
      </c>
      <c r="C169" s="9" t="s">
        <v>118</v>
      </c>
      <c r="D169" s="9" t="s">
        <v>140</v>
      </c>
      <c r="E169" s="5" t="s">
        <v>855</v>
      </c>
      <c r="F169" s="9" t="s">
        <v>134</v>
      </c>
      <c r="G169" s="467">
        <f>40-40</f>
        <v>0</v>
      </c>
      <c r="H169" s="518"/>
      <c r="I169" s="471"/>
      <c r="J169" s="499"/>
      <c r="K169" s="471"/>
      <c r="L169" s="204"/>
    </row>
    <row r="170" spans="1:12" s="204" customFormat="1" ht="63" x14ac:dyDescent="0.25">
      <c r="A170" s="470" t="s">
        <v>1663</v>
      </c>
      <c r="B170" s="461">
        <v>902</v>
      </c>
      <c r="C170" s="8" t="s">
        <v>118</v>
      </c>
      <c r="D170" s="8" t="s">
        <v>140</v>
      </c>
      <c r="E170" s="194" t="s">
        <v>818</v>
      </c>
      <c r="F170" s="8"/>
      <c r="G170" s="463">
        <f>G172</f>
        <v>13.159999999999997</v>
      </c>
      <c r="H170" s="518"/>
      <c r="I170" s="471"/>
      <c r="J170" s="499"/>
      <c r="K170" s="471"/>
    </row>
    <row r="171" spans="1:12" s="204" customFormat="1" ht="31.5" x14ac:dyDescent="0.25">
      <c r="A171" s="58" t="s">
        <v>856</v>
      </c>
      <c r="B171" s="461">
        <v>902</v>
      </c>
      <c r="C171" s="8" t="s">
        <v>118</v>
      </c>
      <c r="D171" s="8" t="s">
        <v>140</v>
      </c>
      <c r="E171" s="194" t="s">
        <v>864</v>
      </c>
      <c r="F171" s="8"/>
      <c r="G171" s="463">
        <f>G172</f>
        <v>13.159999999999997</v>
      </c>
      <c r="H171" s="518"/>
      <c r="I171" s="471"/>
      <c r="J171" s="499"/>
      <c r="K171" s="471"/>
    </row>
    <row r="172" spans="1:12" s="204" customFormat="1" ht="15.75" x14ac:dyDescent="0.25">
      <c r="A172" s="45" t="s">
        <v>822</v>
      </c>
      <c r="B172" s="460">
        <v>902</v>
      </c>
      <c r="C172" s="9" t="s">
        <v>118</v>
      </c>
      <c r="D172" s="9" t="s">
        <v>140</v>
      </c>
      <c r="E172" s="5" t="s">
        <v>857</v>
      </c>
      <c r="F172" s="9"/>
      <c r="G172" s="467">
        <f>G173</f>
        <v>13.159999999999997</v>
      </c>
      <c r="H172" s="518"/>
      <c r="I172" s="471"/>
      <c r="J172" s="499"/>
      <c r="K172" s="471"/>
    </row>
    <row r="173" spans="1:12" s="204" customFormat="1" ht="31.5" x14ac:dyDescent="0.25">
      <c r="A173" s="466" t="s">
        <v>131</v>
      </c>
      <c r="B173" s="460">
        <v>902</v>
      </c>
      <c r="C173" s="9" t="s">
        <v>118</v>
      </c>
      <c r="D173" s="9" t="s">
        <v>140</v>
      </c>
      <c r="E173" s="5" t="s">
        <v>857</v>
      </c>
      <c r="F173" s="9" t="s">
        <v>132</v>
      </c>
      <c r="G173" s="467">
        <f>G174</f>
        <v>13.159999999999997</v>
      </c>
      <c r="H173" s="518"/>
      <c r="I173" s="471"/>
      <c r="J173" s="499"/>
      <c r="K173" s="471"/>
    </row>
    <row r="174" spans="1:12" s="204" customFormat="1" ht="31.5" x14ac:dyDescent="0.25">
      <c r="A174" s="466" t="s">
        <v>133</v>
      </c>
      <c r="B174" s="460">
        <v>902</v>
      </c>
      <c r="C174" s="9" t="s">
        <v>118</v>
      </c>
      <c r="D174" s="9" t="s">
        <v>140</v>
      </c>
      <c r="E174" s="5" t="s">
        <v>857</v>
      </c>
      <c r="F174" s="9" t="s">
        <v>134</v>
      </c>
      <c r="G174" s="467">
        <f>70+17.1-31-42.94</f>
        <v>13.159999999999997</v>
      </c>
      <c r="H174" s="520"/>
      <c r="I174" s="471"/>
      <c r="J174" s="499"/>
      <c r="K174" s="471"/>
    </row>
    <row r="175" spans="1:12" ht="15.75" hidden="1" customHeight="1" x14ac:dyDescent="0.25">
      <c r="A175" s="464" t="s">
        <v>212</v>
      </c>
      <c r="B175" s="461">
        <v>902</v>
      </c>
      <c r="C175" s="465" t="s">
        <v>213</v>
      </c>
      <c r="D175" s="465"/>
      <c r="E175" s="465"/>
      <c r="F175" s="465"/>
      <c r="G175" s="463">
        <f t="shared" ref="G175:G180" si="0">G176</f>
        <v>0</v>
      </c>
      <c r="H175" s="518"/>
      <c r="I175" s="471"/>
      <c r="J175" s="499"/>
      <c r="K175" s="471"/>
      <c r="L175" s="204"/>
    </row>
    <row r="176" spans="1:12" ht="20.25" hidden="1" customHeight="1" x14ac:dyDescent="0.25">
      <c r="A176" s="464" t="s">
        <v>218</v>
      </c>
      <c r="B176" s="461">
        <v>902</v>
      </c>
      <c r="C176" s="465" t="s">
        <v>213</v>
      </c>
      <c r="D176" s="465" t="s">
        <v>219</v>
      </c>
      <c r="E176" s="465"/>
      <c r="F176" s="465"/>
      <c r="G176" s="463">
        <f t="shared" si="0"/>
        <v>0</v>
      </c>
      <c r="H176" s="518"/>
      <c r="I176" s="471"/>
      <c r="J176" s="499"/>
      <c r="K176" s="471"/>
      <c r="L176" s="204"/>
    </row>
    <row r="177" spans="1:12" ht="15.75" hidden="1" customHeight="1" x14ac:dyDescent="0.25">
      <c r="A177" s="464" t="s">
        <v>141</v>
      </c>
      <c r="B177" s="461">
        <v>902</v>
      </c>
      <c r="C177" s="465" t="s">
        <v>213</v>
      </c>
      <c r="D177" s="465" t="s">
        <v>219</v>
      </c>
      <c r="E177" s="465" t="s">
        <v>866</v>
      </c>
      <c r="F177" s="465"/>
      <c r="G177" s="463">
        <f t="shared" si="0"/>
        <v>0</v>
      </c>
      <c r="H177" s="518"/>
      <c r="I177" s="471"/>
      <c r="J177" s="499"/>
      <c r="K177" s="471"/>
      <c r="L177" s="204"/>
    </row>
    <row r="178" spans="1:12" ht="33.75" hidden="1" customHeight="1" x14ac:dyDescent="0.25">
      <c r="A178" s="464" t="s">
        <v>870</v>
      </c>
      <c r="B178" s="461">
        <v>902</v>
      </c>
      <c r="C178" s="465" t="s">
        <v>213</v>
      </c>
      <c r="D178" s="465" t="s">
        <v>219</v>
      </c>
      <c r="E178" s="465" t="s">
        <v>865</v>
      </c>
      <c r="F178" s="465"/>
      <c r="G178" s="463">
        <f t="shared" si="0"/>
        <v>0</v>
      </c>
      <c r="H178" s="518"/>
      <c r="I178" s="471"/>
      <c r="J178" s="499"/>
      <c r="K178" s="471"/>
      <c r="L178" s="204"/>
    </row>
    <row r="179" spans="1:12" ht="15.75" hidden="1" customHeight="1" x14ac:dyDescent="0.25">
      <c r="A179" s="466" t="s">
        <v>220</v>
      </c>
      <c r="B179" s="460">
        <v>902</v>
      </c>
      <c r="C179" s="462" t="s">
        <v>213</v>
      </c>
      <c r="D179" s="462" t="s">
        <v>219</v>
      </c>
      <c r="E179" s="462" t="s">
        <v>871</v>
      </c>
      <c r="F179" s="462"/>
      <c r="G179" s="467">
        <f t="shared" si="0"/>
        <v>0</v>
      </c>
      <c r="H179" s="518"/>
      <c r="I179" s="471"/>
      <c r="J179" s="499"/>
      <c r="K179" s="471"/>
      <c r="L179" s="204"/>
    </row>
    <row r="180" spans="1:12" ht="33.75" hidden="1" customHeight="1" x14ac:dyDescent="0.25">
      <c r="A180" s="466" t="s">
        <v>198</v>
      </c>
      <c r="B180" s="460">
        <v>902</v>
      </c>
      <c r="C180" s="462" t="s">
        <v>213</v>
      </c>
      <c r="D180" s="462" t="s">
        <v>219</v>
      </c>
      <c r="E180" s="462" t="s">
        <v>871</v>
      </c>
      <c r="F180" s="462" t="s">
        <v>132</v>
      </c>
      <c r="G180" s="467">
        <f t="shared" si="0"/>
        <v>0</v>
      </c>
      <c r="H180" s="518"/>
      <c r="I180" s="471"/>
      <c r="J180" s="499"/>
      <c r="K180" s="471"/>
      <c r="L180" s="204"/>
    </row>
    <row r="181" spans="1:12" ht="40.700000000000003" hidden="1" customHeight="1" x14ac:dyDescent="0.25">
      <c r="A181" s="466" t="s">
        <v>133</v>
      </c>
      <c r="B181" s="460">
        <v>902</v>
      </c>
      <c r="C181" s="462" t="s">
        <v>213</v>
      </c>
      <c r="D181" s="462" t="s">
        <v>219</v>
      </c>
      <c r="E181" s="462" t="s">
        <v>871</v>
      </c>
      <c r="F181" s="462" t="s">
        <v>134</v>
      </c>
      <c r="G181" s="27">
        <v>0</v>
      </c>
      <c r="H181" s="518"/>
      <c r="I181" s="471"/>
      <c r="J181" s="499"/>
      <c r="K181" s="471"/>
      <c r="L181" s="204"/>
    </row>
    <row r="182" spans="1:12" ht="31.5" x14ac:dyDescent="0.25">
      <c r="A182" s="464" t="s">
        <v>222</v>
      </c>
      <c r="B182" s="461">
        <v>902</v>
      </c>
      <c r="C182" s="465" t="s">
        <v>215</v>
      </c>
      <c r="D182" s="465"/>
      <c r="E182" s="465"/>
      <c r="F182" s="465"/>
      <c r="G182" s="463">
        <f>G183</f>
        <v>7435.9079100000008</v>
      </c>
      <c r="H182" s="518"/>
      <c r="I182" s="471"/>
      <c r="J182" s="499"/>
      <c r="K182" s="471"/>
      <c r="L182" s="204"/>
    </row>
    <row r="183" spans="1:12" ht="47.25" customHeight="1" x14ac:dyDescent="0.25">
      <c r="A183" s="464" t="s">
        <v>1356</v>
      </c>
      <c r="B183" s="461">
        <v>902</v>
      </c>
      <c r="C183" s="465" t="s">
        <v>215</v>
      </c>
      <c r="D183" s="465" t="s">
        <v>244</v>
      </c>
      <c r="E183" s="462"/>
      <c r="F183" s="462"/>
      <c r="G183" s="463">
        <f>G184+G204</f>
        <v>7435.9079100000008</v>
      </c>
      <c r="H183" s="518"/>
      <c r="I183" s="471"/>
      <c r="J183" s="499"/>
      <c r="K183" s="471"/>
      <c r="L183" s="204"/>
    </row>
    <row r="184" spans="1:12" ht="15.75" x14ac:dyDescent="0.25">
      <c r="A184" s="464" t="s">
        <v>141</v>
      </c>
      <c r="B184" s="461">
        <v>902</v>
      </c>
      <c r="C184" s="465" t="s">
        <v>215</v>
      </c>
      <c r="D184" s="465" t="s">
        <v>244</v>
      </c>
      <c r="E184" s="465" t="s">
        <v>866</v>
      </c>
      <c r="F184" s="465"/>
      <c r="G184" s="463">
        <f>G185+G192</f>
        <v>6835.9079100000008</v>
      </c>
      <c r="H184" s="518"/>
      <c r="I184" s="471"/>
      <c r="J184" s="499"/>
      <c r="K184" s="471"/>
      <c r="L184" s="204"/>
    </row>
    <row r="185" spans="1:12" s="204" customFormat="1" ht="31.5" x14ac:dyDescent="0.25">
      <c r="A185" s="464" t="s">
        <v>870</v>
      </c>
      <c r="B185" s="461">
        <v>902</v>
      </c>
      <c r="C185" s="465" t="s">
        <v>215</v>
      </c>
      <c r="D185" s="465" t="s">
        <v>244</v>
      </c>
      <c r="E185" s="465" t="s">
        <v>865</v>
      </c>
      <c r="F185" s="465"/>
      <c r="G185" s="463">
        <f>G186+G189</f>
        <v>326.56081</v>
      </c>
      <c r="H185" s="518"/>
      <c r="I185" s="471"/>
      <c r="J185" s="499"/>
      <c r="K185" s="471"/>
    </row>
    <row r="186" spans="1:12" s="204" customFormat="1" ht="31.5" x14ac:dyDescent="0.25">
      <c r="A186" s="466" t="s">
        <v>224</v>
      </c>
      <c r="B186" s="460">
        <v>902</v>
      </c>
      <c r="C186" s="462" t="s">
        <v>215</v>
      </c>
      <c r="D186" s="462" t="s">
        <v>244</v>
      </c>
      <c r="E186" s="462" t="s">
        <v>875</v>
      </c>
      <c r="F186" s="462"/>
      <c r="G186" s="467">
        <f>G187</f>
        <v>279</v>
      </c>
      <c r="H186" s="518"/>
      <c r="I186" s="471"/>
      <c r="J186" s="499"/>
      <c r="K186" s="471"/>
    </row>
    <row r="187" spans="1:12" s="204" customFormat="1" ht="31.5" x14ac:dyDescent="0.25">
      <c r="A187" s="466" t="s">
        <v>198</v>
      </c>
      <c r="B187" s="460">
        <v>902</v>
      </c>
      <c r="C187" s="462" t="s">
        <v>215</v>
      </c>
      <c r="D187" s="462" t="s">
        <v>244</v>
      </c>
      <c r="E187" s="462" t="s">
        <v>875</v>
      </c>
      <c r="F187" s="462" t="s">
        <v>132</v>
      </c>
      <c r="G187" s="467">
        <f>G188</f>
        <v>279</v>
      </c>
      <c r="H187" s="518"/>
      <c r="I187" s="471"/>
      <c r="J187" s="499"/>
      <c r="K187" s="471"/>
    </row>
    <row r="188" spans="1:12" s="204" customFormat="1" ht="31.5" x14ac:dyDescent="0.25">
      <c r="A188" s="466" t="s">
        <v>133</v>
      </c>
      <c r="B188" s="460">
        <v>902</v>
      </c>
      <c r="C188" s="462" t="s">
        <v>215</v>
      </c>
      <c r="D188" s="462" t="s">
        <v>244</v>
      </c>
      <c r="E188" s="462" t="s">
        <v>875</v>
      </c>
      <c r="F188" s="462" t="s">
        <v>134</v>
      </c>
      <c r="G188" s="568">
        <f>1785-521-1064+79</f>
        <v>279</v>
      </c>
      <c r="H188" s="518"/>
      <c r="I188" s="471"/>
      <c r="J188" s="499"/>
      <c r="K188" s="471"/>
    </row>
    <row r="189" spans="1:12" s="204" customFormat="1" ht="15.75" x14ac:dyDescent="0.25">
      <c r="A189" s="466" t="s">
        <v>230</v>
      </c>
      <c r="B189" s="460">
        <v>902</v>
      </c>
      <c r="C189" s="462" t="s">
        <v>215</v>
      </c>
      <c r="D189" s="462" t="s">
        <v>244</v>
      </c>
      <c r="E189" s="462" t="s">
        <v>876</v>
      </c>
      <c r="F189" s="462"/>
      <c r="G189" s="27">
        <f>G190</f>
        <v>47.560810000000004</v>
      </c>
      <c r="H189" s="518"/>
      <c r="I189" s="471"/>
      <c r="J189" s="499"/>
      <c r="K189" s="471"/>
    </row>
    <row r="190" spans="1:12" s="204" customFormat="1" ht="31.5" x14ac:dyDescent="0.25">
      <c r="A190" s="466" t="s">
        <v>198</v>
      </c>
      <c r="B190" s="460">
        <v>902</v>
      </c>
      <c r="C190" s="462" t="s">
        <v>215</v>
      </c>
      <c r="D190" s="462" t="s">
        <v>244</v>
      </c>
      <c r="E190" s="462" t="s">
        <v>876</v>
      </c>
      <c r="F190" s="462" t="s">
        <v>132</v>
      </c>
      <c r="G190" s="27">
        <f>G191</f>
        <v>47.560810000000004</v>
      </c>
      <c r="H190" s="518"/>
      <c r="I190" s="471"/>
      <c r="J190" s="499"/>
      <c r="K190" s="471"/>
    </row>
    <row r="191" spans="1:12" s="204" customFormat="1" ht="31.5" x14ac:dyDescent="0.25">
      <c r="A191" s="466" t="s">
        <v>133</v>
      </c>
      <c r="B191" s="460">
        <v>902</v>
      </c>
      <c r="C191" s="462" t="s">
        <v>215</v>
      </c>
      <c r="D191" s="462" t="s">
        <v>244</v>
      </c>
      <c r="E191" s="462" t="s">
        <v>876</v>
      </c>
      <c r="F191" s="462" t="s">
        <v>134</v>
      </c>
      <c r="G191" s="27">
        <f>99+98+0.85-150.28919</f>
        <v>47.560810000000004</v>
      </c>
      <c r="H191" s="518"/>
      <c r="I191" s="471"/>
      <c r="J191" s="499"/>
      <c r="K191" s="471"/>
    </row>
    <row r="192" spans="1:12" s="204" customFormat="1" ht="34.5" customHeight="1" x14ac:dyDescent="0.25">
      <c r="A192" s="464" t="s">
        <v>923</v>
      </c>
      <c r="B192" s="461">
        <v>902</v>
      </c>
      <c r="C192" s="465" t="s">
        <v>215</v>
      </c>
      <c r="D192" s="465" t="s">
        <v>244</v>
      </c>
      <c r="E192" s="465" t="s">
        <v>872</v>
      </c>
      <c r="F192" s="465"/>
      <c r="G192" s="463">
        <f>G193+G198+G201</f>
        <v>6509.3471000000009</v>
      </c>
      <c r="H192" s="518"/>
      <c r="I192" s="471"/>
      <c r="J192" s="499"/>
      <c r="K192" s="471"/>
    </row>
    <row r="193" spans="1:11" s="204" customFormat="1" ht="31.5" x14ac:dyDescent="0.25">
      <c r="A193" s="466" t="s">
        <v>927</v>
      </c>
      <c r="B193" s="460">
        <v>902</v>
      </c>
      <c r="C193" s="462" t="s">
        <v>215</v>
      </c>
      <c r="D193" s="462" t="s">
        <v>244</v>
      </c>
      <c r="E193" s="462" t="s">
        <v>873</v>
      </c>
      <c r="F193" s="462"/>
      <c r="G193" s="467">
        <f>G194+G196</f>
        <v>6041.9500000000007</v>
      </c>
      <c r="H193" s="518"/>
      <c r="I193" s="471"/>
      <c r="J193" s="499"/>
      <c r="K193" s="471"/>
    </row>
    <row r="194" spans="1:11" s="204" customFormat="1" ht="63" x14ac:dyDescent="0.25">
      <c r="A194" s="466" t="s">
        <v>127</v>
      </c>
      <c r="B194" s="460">
        <v>902</v>
      </c>
      <c r="C194" s="462" t="s">
        <v>215</v>
      </c>
      <c r="D194" s="462" t="s">
        <v>244</v>
      </c>
      <c r="E194" s="462" t="s">
        <v>873</v>
      </c>
      <c r="F194" s="462" t="s">
        <v>128</v>
      </c>
      <c r="G194" s="467">
        <f>G195</f>
        <v>5857.2000000000007</v>
      </c>
      <c r="H194" s="518"/>
      <c r="I194" s="471"/>
      <c r="J194" s="499"/>
      <c r="K194" s="471"/>
    </row>
    <row r="195" spans="1:11" s="204" customFormat="1" ht="15.75" x14ac:dyDescent="0.25">
      <c r="A195" s="466" t="s">
        <v>208</v>
      </c>
      <c r="B195" s="460">
        <v>902</v>
      </c>
      <c r="C195" s="462" t="s">
        <v>215</v>
      </c>
      <c r="D195" s="462" t="s">
        <v>244</v>
      </c>
      <c r="E195" s="462" t="s">
        <v>873</v>
      </c>
      <c r="F195" s="462" t="s">
        <v>209</v>
      </c>
      <c r="G195" s="27">
        <f>5693.1-10.9+175</f>
        <v>5857.2000000000007</v>
      </c>
      <c r="H195" s="518"/>
      <c r="I195" s="471"/>
      <c r="J195" s="499"/>
      <c r="K195" s="471"/>
    </row>
    <row r="196" spans="1:11" s="204" customFormat="1" ht="31.5" x14ac:dyDescent="0.25">
      <c r="A196" s="466" t="s">
        <v>198</v>
      </c>
      <c r="B196" s="460">
        <v>902</v>
      </c>
      <c r="C196" s="462" t="s">
        <v>215</v>
      </c>
      <c r="D196" s="462" t="s">
        <v>244</v>
      </c>
      <c r="E196" s="462" t="s">
        <v>873</v>
      </c>
      <c r="F196" s="462" t="s">
        <v>132</v>
      </c>
      <c r="G196" s="467">
        <f>G197</f>
        <v>184.75</v>
      </c>
      <c r="H196" s="518"/>
      <c r="I196" s="471"/>
      <c r="J196" s="499"/>
      <c r="K196" s="471"/>
    </row>
    <row r="197" spans="1:11" s="204" customFormat="1" ht="31.5" x14ac:dyDescent="0.25">
      <c r="A197" s="466" t="s">
        <v>133</v>
      </c>
      <c r="B197" s="460">
        <v>902</v>
      </c>
      <c r="C197" s="462" t="s">
        <v>215</v>
      </c>
      <c r="D197" s="462" t="s">
        <v>244</v>
      </c>
      <c r="E197" s="462" t="s">
        <v>873</v>
      </c>
      <c r="F197" s="462" t="s">
        <v>134</v>
      </c>
      <c r="G197" s="27">
        <f>163+19+2.75</f>
        <v>184.75</v>
      </c>
      <c r="H197" s="519"/>
      <c r="I197" s="471"/>
      <c r="J197" s="499"/>
      <c r="K197" s="471"/>
    </row>
    <row r="198" spans="1:11" s="204" customFormat="1" ht="31.5" x14ac:dyDescent="0.25">
      <c r="A198" s="466" t="s">
        <v>839</v>
      </c>
      <c r="B198" s="460">
        <v>902</v>
      </c>
      <c r="C198" s="462" t="s">
        <v>215</v>
      </c>
      <c r="D198" s="462" t="s">
        <v>244</v>
      </c>
      <c r="E198" s="462" t="s">
        <v>874</v>
      </c>
      <c r="F198" s="462"/>
      <c r="G198" s="467">
        <f>G199</f>
        <v>346</v>
      </c>
      <c r="H198" s="518"/>
      <c r="I198" s="471"/>
      <c r="J198" s="499"/>
      <c r="K198" s="471"/>
    </row>
    <row r="199" spans="1:11" s="204" customFormat="1" ht="63" x14ac:dyDescent="0.25">
      <c r="A199" s="466" t="s">
        <v>127</v>
      </c>
      <c r="B199" s="460">
        <v>902</v>
      </c>
      <c r="C199" s="462" t="s">
        <v>215</v>
      </c>
      <c r="D199" s="462" t="s">
        <v>244</v>
      </c>
      <c r="E199" s="462" t="s">
        <v>874</v>
      </c>
      <c r="F199" s="462" t="s">
        <v>128</v>
      </c>
      <c r="G199" s="467">
        <f>G200</f>
        <v>346</v>
      </c>
      <c r="H199" s="518"/>
      <c r="I199" s="471"/>
      <c r="J199" s="499"/>
      <c r="K199" s="471"/>
    </row>
    <row r="200" spans="1:11" s="204" customFormat="1" ht="15.75" x14ac:dyDescent="0.25">
      <c r="A200" s="466" t="s">
        <v>208</v>
      </c>
      <c r="B200" s="460">
        <v>902</v>
      </c>
      <c r="C200" s="462" t="s">
        <v>215</v>
      </c>
      <c r="D200" s="462" t="s">
        <v>244</v>
      </c>
      <c r="E200" s="462" t="s">
        <v>874</v>
      </c>
      <c r="F200" s="462" t="s">
        <v>209</v>
      </c>
      <c r="G200" s="467">
        <f>252+40+18.025+35.975</f>
        <v>346</v>
      </c>
      <c r="H200" s="519"/>
      <c r="I200" s="471"/>
      <c r="J200" s="499"/>
      <c r="K200" s="471"/>
    </row>
    <row r="201" spans="1:11" s="204" customFormat="1" ht="31.5" x14ac:dyDescent="0.25">
      <c r="A201" s="466" t="s">
        <v>1793</v>
      </c>
      <c r="B201" s="460">
        <v>902</v>
      </c>
      <c r="C201" s="462" t="s">
        <v>215</v>
      </c>
      <c r="D201" s="462" t="s">
        <v>244</v>
      </c>
      <c r="E201" s="462" t="s">
        <v>1796</v>
      </c>
      <c r="F201" s="462"/>
      <c r="G201" s="467">
        <f>G202</f>
        <v>121.39709999999999</v>
      </c>
      <c r="H201" s="521"/>
      <c r="I201" s="471"/>
      <c r="J201" s="499"/>
      <c r="K201" s="471"/>
    </row>
    <row r="202" spans="1:11" s="204" customFormat="1" ht="63" x14ac:dyDescent="0.25">
      <c r="A202" s="466" t="s">
        <v>127</v>
      </c>
      <c r="B202" s="460">
        <v>902</v>
      </c>
      <c r="C202" s="462" t="s">
        <v>215</v>
      </c>
      <c r="D202" s="462" t="s">
        <v>244</v>
      </c>
      <c r="E202" s="462" t="s">
        <v>1796</v>
      </c>
      <c r="F202" s="462" t="s">
        <v>128</v>
      </c>
      <c r="G202" s="467">
        <f>G203</f>
        <v>121.39709999999999</v>
      </c>
      <c r="H202" s="521"/>
      <c r="I202" s="471"/>
      <c r="J202" s="499"/>
      <c r="K202" s="471"/>
    </row>
    <row r="203" spans="1:11" s="204" customFormat="1" ht="15.75" x14ac:dyDescent="0.25">
      <c r="A203" s="466" t="s">
        <v>208</v>
      </c>
      <c r="B203" s="460">
        <v>902</v>
      </c>
      <c r="C203" s="462" t="s">
        <v>215</v>
      </c>
      <c r="D203" s="462" t="s">
        <v>244</v>
      </c>
      <c r="E203" s="462" t="s">
        <v>1796</v>
      </c>
      <c r="F203" s="462" t="s">
        <v>209</v>
      </c>
      <c r="G203" s="467">
        <v>121.39709999999999</v>
      </c>
      <c r="H203" s="521"/>
      <c r="I203" s="471"/>
      <c r="J203" s="499"/>
      <c r="K203" s="471"/>
    </row>
    <row r="204" spans="1:11" s="204" customFormat="1" ht="47.25" x14ac:dyDescent="0.25">
      <c r="A204" s="470" t="s">
        <v>1352</v>
      </c>
      <c r="B204" s="461">
        <v>902</v>
      </c>
      <c r="C204" s="465" t="s">
        <v>215</v>
      </c>
      <c r="D204" s="465" t="s">
        <v>244</v>
      </c>
      <c r="E204" s="465" t="s">
        <v>705</v>
      </c>
      <c r="F204" s="462"/>
      <c r="G204" s="463">
        <f>G205</f>
        <v>600</v>
      </c>
      <c r="H204" s="518"/>
      <c r="I204" s="471"/>
      <c r="J204" s="499"/>
      <c r="K204" s="471"/>
    </row>
    <row r="205" spans="1:11" s="204" customFormat="1" ht="31.5" x14ac:dyDescent="0.25">
      <c r="A205" s="473" t="s">
        <v>1643</v>
      </c>
      <c r="B205" s="461">
        <v>902</v>
      </c>
      <c r="C205" s="465" t="s">
        <v>215</v>
      </c>
      <c r="D205" s="465" t="s">
        <v>244</v>
      </c>
      <c r="E205" s="465" t="s">
        <v>1644</v>
      </c>
      <c r="F205" s="474"/>
      <c r="G205" s="463">
        <f>G206+G209</f>
        <v>600</v>
      </c>
      <c r="H205" s="518"/>
      <c r="I205" s="471"/>
      <c r="J205" s="499"/>
      <c r="K205" s="471"/>
    </row>
    <row r="206" spans="1:11" s="204" customFormat="1" ht="15.75" hidden="1" x14ac:dyDescent="0.25">
      <c r="A206" s="466" t="s">
        <v>230</v>
      </c>
      <c r="B206" s="460">
        <v>902</v>
      </c>
      <c r="C206" s="462" t="s">
        <v>215</v>
      </c>
      <c r="D206" s="462" t="s">
        <v>244</v>
      </c>
      <c r="E206" s="462" t="s">
        <v>1645</v>
      </c>
      <c r="F206" s="468"/>
      <c r="G206" s="467">
        <f>G207</f>
        <v>0</v>
      </c>
      <c r="H206" s="518"/>
      <c r="I206" s="471"/>
      <c r="J206" s="499"/>
      <c r="K206" s="471"/>
    </row>
    <row r="207" spans="1:11" s="204" customFormat="1" ht="31.5" hidden="1" x14ac:dyDescent="0.25">
      <c r="A207" s="466" t="s">
        <v>131</v>
      </c>
      <c r="B207" s="460">
        <v>902</v>
      </c>
      <c r="C207" s="462" t="s">
        <v>215</v>
      </c>
      <c r="D207" s="462" t="s">
        <v>244</v>
      </c>
      <c r="E207" s="462" t="s">
        <v>1645</v>
      </c>
      <c r="F207" s="468" t="s">
        <v>132</v>
      </c>
      <c r="G207" s="467">
        <f>G208</f>
        <v>0</v>
      </c>
      <c r="H207" s="518"/>
      <c r="I207" s="471"/>
      <c r="J207" s="499"/>
      <c r="K207" s="471"/>
    </row>
    <row r="208" spans="1:11" s="204" customFormat="1" ht="31.5" hidden="1" x14ac:dyDescent="0.25">
      <c r="A208" s="466" t="s">
        <v>133</v>
      </c>
      <c r="B208" s="460">
        <v>902</v>
      </c>
      <c r="C208" s="462" t="s">
        <v>215</v>
      </c>
      <c r="D208" s="462" t="s">
        <v>244</v>
      </c>
      <c r="E208" s="462" t="s">
        <v>1645</v>
      </c>
      <c r="F208" s="468" t="s">
        <v>134</v>
      </c>
      <c r="G208" s="467">
        <f>100-100</f>
        <v>0</v>
      </c>
      <c r="H208" s="519"/>
      <c r="I208" s="471"/>
      <c r="J208" s="499"/>
      <c r="K208" s="471"/>
    </row>
    <row r="209" spans="1:12" s="204" customFormat="1" ht="31.5" x14ac:dyDescent="0.25">
      <c r="A209" s="466" t="s">
        <v>1681</v>
      </c>
      <c r="B209" s="460">
        <v>902</v>
      </c>
      <c r="C209" s="462" t="s">
        <v>215</v>
      </c>
      <c r="D209" s="462" t="s">
        <v>244</v>
      </c>
      <c r="E209" s="462" t="s">
        <v>1682</v>
      </c>
      <c r="F209" s="468"/>
      <c r="G209" s="467">
        <f>G210+G212</f>
        <v>600</v>
      </c>
      <c r="H209" s="521"/>
      <c r="I209" s="471"/>
      <c r="J209" s="499"/>
      <c r="K209" s="471"/>
    </row>
    <row r="210" spans="1:12" s="204" customFormat="1" ht="31.5" hidden="1" x14ac:dyDescent="0.25">
      <c r="A210" s="466" t="s">
        <v>131</v>
      </c>
      <c r="B210" s="460">
        <v>902</v>
      </c>
      <c r="C210" s="462" t="s">
        <v>215</v>
      </c>
      <c r="D210" s="462" t="s">
        <v>244</v>
      </c>
      <c r="E210" s="462" t="s">
        <v>1682</v>
      </c>
      <c r="F210" s="468" t="s">
        <v>132</v>
      </c>
      <c r="G210" s="467">
        <f>G211</f>
        <v>0</v>
      </c>
      <c r="H210" s="521"/>
      <c r="I210" s="471"/>
      <c r="J210" s="499"/>
      <c r="K210" s="471"/>
    </row>
    <row r="211" spans="1:12" s="204" customFormat="1" ht="31.5" hidden="1" x14ac:dyDescent="0.25">
      <c r="A211" s="466" t="s">
        <v>133</v>
      </c>
      <c r="B211" s="460">
        <v>902</v>
      </c>
      <c r="C211" s="462" t="s">
        <v>215</v>
      </c>
      <c r="D211" s="462" t="s">
        <v>244</v>
      </c>
      <c r="E211" s="462" t="s">
        <v>1682</v>
      </c>
      <c r="F211" s="468" t="s">
        <v>134</v>
      </c>
      <c r="G211" s="467">
        <f>448+100-548</f>
        <v>0</v>
      </c>
      <c r="H211" s="521"/>
      <c r="I211" s="471"/>
      <c r="J211" s="499"/>
      <c r="K211" s="471"/>
    </row>
    <row r="212" spans="1:12" s="204" customFormat="1" ht="15.75" x14ac:dyDescent="0.25">
      <c r="A212" s="466" t="s">
        <v>248</v>
      </c>
      <c r="B212" s="460">
        <v>902</v>
      </c>
      <c r="C212" s="462" t="s">
        <v>215</v>
      </c>
      <c r="D212" s="462" t="s">
        <v>244</v>
      </c>
      <c r="E212" s="462" t="s">
        <v>1682</v>
      </c>
      <c r="F212" s="468" t="s">
        <v>249</v>
      </c>
      <c r="G212" s="467">
        <f>G213</f>
        <v>600</v>
      </c>
      <c r="H212" s="521"/>
      <c r="I212" s="471"/>
      <c r="J212" s="499"/>
      <c r="K212" s="471"/>
    </row>
    <row r="213" spans="1:12" s="204" customFormat="1" ht="30" customHeight="1" x14ac:dyDescent="0.25">
      <c r="A213" s="466" t="s">
        <v>250</v>
      </c>
      <c r="B213" s="460">
        <v>902</v>
      </c>
      <c r="C213" s="462" t="s">
        <v>215</v>
      </c>
      <c r="D213" s="462" t="s">
        <v>244</v>
      </c>
      <c r="E213" s="462" t="s">
        <v>1682</v>
      </c>
      <c r="F213" s="468" t="s">
        <v>251</v>
      </c>
      <c r="G213" s="467">
        <f>448+100+52</f>
        <v>600</v>
      </c>
      <c r="H213" s="521"/>
      <c r="I213" s="471"/>
      <c r="J213" s="499"/>
      <c r="K213" s="471"/>
    </row>
    <row r="214" spans="1:12" ht="15.75" x14ac:dyDescent="0.25">
      <c r="A214" s="464" t="s">
        <v>232</v>
      </c>
      <c r="B214" s="461">
        <v>902</v>
      </c>
      <c r="C214" s="465" t="s">
        <v>150</v>
      </c>
      <c r="D214" s="465"/>
      <c r="E214" s="465"/>
      <c r="F214" s="462"/>
      <c r="G214" s="463">
        <f>G225+G215</f>
        <v>383.2</v>
      </c>
      <c r="H214" s="518"/>
      <c r="I214" s="471"/>
      <c r="J214" s="499"/>
      <c r="K214" s="471"/>
      <c r="L214" s="204"/>
    </row>
    <row r="215" spans="1:12" ht="15.75" x14ac:dyDescent="0.25">
      <c r="A215" s="464" t="s">
        <v>233</v>
      </c>
      <c r="B215" s="461">
        <v>902</v>
      </c>
      <c r="C215" s="465" t="s">
        <v>150</v>
      </c>
      <c r="D215" s="465" t="s">
        <v>234</v>
      </c>
      <c r="E215" s="465"/>
      <c r="F215" s="462"/>
      <c r="G215" s="463">
        <f>G216</f>
        <v>19</v>
      </c>
      <c r="H215" s="518"/>
      <c r="I215" s="471"/>
      <c r="J215" s="499"/>
      <c r="K215" s="471"/>
      <c r="L215" s="204"/>
    </row>
    <row r="216" spans="1:12" ht="42.4" customHeight="1" x14ac:dyDescent="0.25">
      <c r="A216" s="34" t="s">
        <v>1355</v>
      </c>
      <c r="B216" s="461">
        <v>902</v>
      </c>
      <c r="C216" s="465" t="s">
        <v>150</v>
      </c>
      <c r="D216" s="465" t="s">
        <v>234</v>
      </c>
      <c r="E216" s="194" t="s">
        <v>182</v>
      </c>
      <c r="F216" s="474"/>
      <c r="G216" s="463">
        <f>G217+G221</f>
        <v>19</v>
      </c>
      <c r="H216" s="518"/>
      <c r="I216" s="471"/>
      <c r="J216" s="499"/>
      <c r="K216" s="471"/>
      <c r="L216" s="204"/>
    </row>
    <row r="217" spans="1:12" s="204" customFormat="1" ht="35.450000000000003" customHeight="1" x14ac:dyDescent="0.25">
      <c r="A217" s="34" t="s">
        <v>1006</v>
      </c>
      <c r="B217" s="461">
        <v>902</v>
      </c>
      <c r="C217" s="465" t="s">
        <v>150</v>
      </c>
      <c r="D217" s="465" t="s">
        <v>234</v>
      </c>
      <c r="E217" s="248" t="s">
        <v>877</v>
      </c>
      <c r="F217" s="474"/>
      <c r="G217" s="463">
        <f>G218</f>
        <v>19</v>
      </c>
      <c r="H217" s="518"/>
      <c r="I217" s="471"/>
      <c r="J217" s="499"/>
      <c r="K217" s="471"/>
    </row>
    <row r="218" spans="1:12" ht="31.5" x14ac:dyDescent="0.25">
      <c r="A218" s="466" t="s">
        <v>235</v>
      </c>
      <c r="B218" s="460">
        <v>902</v>
      </c>
      <c r="C218" s="462" t="s">
        <v>150</v>
      </c>
      <c r="D218" s="462" t="s">
        <v>234</v>
      </c>
      <c r="E218" s="462" t="s">
        <v>898</v>
      </c>
      <c r="F218" s="468"/>
      <c r="G218" s="467">
        <f>G219</f>
        <v>19</v>
      </c>
      <c r="H218" s="518"/>
      <c r="I218" s="471"/>
      <c r="J218" s="499"/>
      <c r="K218" s="471"/>
      <c r="L218" s="204"/>
    </row>
    <row r="219" spans="1:12" ht="15.75" x14ac:dyDescent="0.25">
      <c r="A219" s="29" t="s">
        <v>135</v>
      </c>
      <c r="B219" s="460">
        <v>902</v>
      </c>
      <c r="C219" s="462" t="s">
        <v>150</v>
      </c>
      <c r="D219" s="462" t="s">
        <v>234</v>
      </c>
      <c r="E219" s="462" t="s">
        <v>898</v>
      </c>
      <c r="F219" s="468" t="s">
        <v>145</v>
      </c>
      <c r="G219" s="467">
        <f>G220</f>
        <v>19</v>
      </c>
      <c r="H219" s="518"/>
      <c r="I219" s="471"/>
      <c r="J219" s="499"/>
      <c r="K219" s="471"/>
      <c r="L219" s="204"/>
    </row>
    <row r="220" spans="1:12" ht="47.25" x14ac:dyDescent="0.25">
      <c r="A220" s="29" t="s">
        <v>184</v>
      </c>
      <c r="B220" s="460">
        <v>902</v>
      </c>
      <c r="C220" s="462" t="s">
        <v>150</v>
      </c>
      <c r="D220" s="462" t="s">
        <v>234</v>
      </c>
      <c r="E220" s="462" t="s">
        <v>898</v>
      </c>
      <c r="F220" s="468" t="s">
        <v>160</v>
      </c>
      <c r="G220" s="467">
        <f>30-11+255-91.9-163.1</f>
        <v>19</v>
      </c>
      <c r="H220" s="519"/>
      <c r="I220" s="471"/>
      <c r="J220" s="499"/>
      <c r="K220" s="471"/>
      <c r="L220" s="204"/>
    </row>
    <row r="221" spans="1:12" s="204" customFormat="1" ht="31.5" hidden="1" x14ac:dyDescent="0.25">
      <c r="A221" s="240" t="s">
        <v>1007</v>
      </c>
      <c r="B221" s="461">
        <v>902</v>
      </c>
      <c r="C221" s="465" t="s">
        <v>150</v>
      </c>
      <c r="D221" s="465" t="s">
        <v>234</v>
      </c>
      <c r="E221" s="194" t="s">
        <v>879</v>
      </c>
      <c r="F221" s="474"/>
      <c r="G221" s="463">
        <f>G222</f>
        <v>0</v>
      </c>
      <c r="H221" s="518"/>
      <c r="I221" s="471"/>
      <c r="J221" s="499"/>
      <c r="K221" s="471"/>
    </row>
    <row r="222" spans="1:12" s="204" customFormat="1" ht="15.75" hidden="1" x14ac:dyDescent="0.25">
      <c r="A222" s="466" t="s">
        <v>878</v>
      </c>
      <c r="B222" s="460">
        <v>902</v>
      </c>
      <c r="C222" s="462" t="s">
        <v>150</v>
      </c>
      <c r="D222" s="462" t="s">
        <v>234</v>
      </c>
      <c r="E222" s="5" t="s">
        <v>899</v>
      </c>
      <c r="F222" s="468"/>
      <c r="G222" s="467">
        <f>G223</f>
        <v>0</v>
      </c>
      <c r="H222" s="518"/>
      <c r="I222" s="471"/>
      <c r="J222" s="499"/>
      <c r="K222" s="471"/>
    </row>
    <row r="223" spans="1:12" s="204" customFormat="1" ht="15.75" hidden="1" x14ac:dyDescent="0.25">
      <c r="A223" s="29" t="s">
        <v>135</v>
      </c>
      <c r="B223" s="460">
        <v>902</v>
      </c>
      <c r="C223" s="462" t="s">
        <v>150</v>
      </c>
      <c r="D223" s="462" t="s">
        <v>234</v>
      </c>
      <c r="E223" s="5" t="s">
        <v>899</v>
      </c>
      <c r="F223" s="468" t="s">
        <v>145</v>
      </c>
      <c r="G223" s="467">
        <f>G224</f>
        <v>0</v>
      </c>
      <c r="H223" s="518"/>
      <c r="I223" s="471"/>
      <c r="J223" s="499"/>
      <c r="K223" s="471"/>
    </row>
    <row r="224" spans="1:12" s="204" customFormat="1" ht="47.25" hidden="1" x14ac:dyDescent="0.25">
      <c r="A224" s="29" t="s">
        <v>184</v>
      </c>
      <c r="B224" s="460">
        <v>902</v>
      </c>
      <c r="C224" s="462" t="s">
        <v>150</v>
      </c>
      <c r="D224" s="462" t="s">
        <v>234</v>
      </c>
      <c r="E224" s="5" t="s">
        <v>899</v>
      </c>
      <c r="F224" s="468" t="s">
        <v>160</v>
      </c>
      <c r="G224" s="467">
        <v>0</v>
      </c>
      <c r="H224" s="518"/>
      <c r="I224" s="471"/>
      <c r="J224" s="499"/>
      <c r="K224" s="471"/>
    </row>
    <row r="225" spans="1:12" ht="15.75" x14ac:dyDescent="0.25">
      <c r="A225" s="464" t="s">
        <v>237</v>
      </c>
      <c r="B225" s="461">
        <v>902</v>
      </c>
      <c r="C225" s="465" t="s">
        <v>150</v>
      </c>
      <c r="D225" s="465" t="s">
        <v>238</v>
      </c>
      <c r="E225" s="465"/>
      <c r="F225" s="465"/>
      <c r="G225" s="463">
        <f>G226+G233</f>
        <v>364.2</v>
      </c>
      <c r="H225" s="518"/>
      <c r="I225" s="471"/>
      <c r="J225" s="499"/>
      <c r="K225" s="471"/>
      <c r="L225" s="204"/>
    </row>
    <row r="226" spans="1:12" ht="31.5" x14ac:dyDescent="0.25">
      <c r="A226" s="464" t="s">
        <v>917</v>
      </c>
      <c r="B226" s="461">
        <v>902</v>
      </c>
      <c r="C226" s="465" t="s">
        <v>150</v>
      </c>
      <c r="D226" s="465" t="s">
        <v>238</v>
      </c>
      <c r="E226" s="465" t="s">
        <v>858</v>
      </c>
      <c r="F226" s="465"/>
      <c r="G226" s="463">
        <f>G227</f>
        <v>264.2</v>
      </c>
      <c r="H226" s="518"/>
      <c r="I226" s="471"/>
      <c r="J226" s="499"/>
      <c r="K226" s="471"/>
      <c r="L226" s="204"/>
    </row>
    <row r="227" spans="1:12" ht="31.5" x14ac:dyDescent="0.25">
      <c r="A227" s="464" t="s">
        <v>885</v>
      </c>
      <c r="B227" s="461">
        <v>902</v>
      </c>
      <c r="C227" s="465" t="s">
        <v>150</v>
      </c>
      <c r="D227" s="465" t="s">
        <v>238</v>
      </c>
      <c r="E227" s="465" t="s">
        <v>863</v>
      </c>
      <c r="F227" s="465"/>
      <c r="G227" s="463">
        <f>G228</f>
        <v>264.2</v>
      </c>
      <c r="H227" s="518"/>
      <c r="I227" s="471"/>
      <c r="J227" s="499"/>
      <c r="K227" s="471"/>
      <c r="L227" s="204"/>
    </row>
    <row r="228" spans="1:12" ht="69.75" customHeight="1" x14ac:dyDescent="0.25">
      <c r="A228" s="31" t="s">
        <v>241</v>
      </c>
      <c r="B228" s="460">
        <v>902</v>
      </c>
      <c r="C228" s="462" t="s">
        <v>150</v>
      </c>
      <c r="D228" s="462" t="s">
        <v>238</v>
      </c>
      <c r="E228" s="462" t="s">
        <v>924</v>
      </c>
      <c r="F228" s="462"/>
      <c r="G228" s="467">
        <f>G229+G231</f>
        <v>264.2</v>
      </c>
      <c r="H228" s="518"/>
      <c r="I228" s="471"/>
      <c r="J228" s="499"/>
      <c r="K228" s="471"/>
      <c r="L228" s="204"/>
    </row>
    <row r="229" spans="1:12" ht="63" x14ac:dyDescent="0.25">
      <c r="A229" s="466" t="s">
        <v>127</v>
      </c>
      <c r="B229" s="460">
        <v>902</v>
      </c>
      <c r="C229" s="462" t="s">
        <v>150</v>
      </c>
      <c r="D229" s="462" t="s">
        <v>238</v>
      </c>
      <c r="E229" s="462" t="s">
        <v>924</v>
      </c>
      <c r="F229" s="462" t="s">
        <v>128</v>
      </c>
      <c r="G229" s="467">
        <f>G230</f>
        <v>240.2</v>
      </c>
      <c r="H229" s="518"/>
      <c r="I229" s="471"/>
      <c r="J229" s="499"/>
      <c r="K229" s="471"/>
      <c r="L229" s="204"/>
    </row>
    <row r="230" spans="1:12" ht="31.5" x14ac:dyDescent="0.25">
      <c r="A230" s="466" t="s">
        <v>129</v>
      </c>
      <c r="B230" s="460">
        <v>902</v>
      </c>
      <c r="C230" s="462" t="s">
        <v>150</v>
      </c>
      <c r="D230" s="462" t="s">
        <v>238</v>
      </c>
      <c r="E230" s="462" t="s">
        <v>924</v>
      </c>
      <c r="F230" s="462" t="s">
        <v>130</v>
      </c>
      <c r="G230" s="467">
        <f>187+11.4+41.8</f>
        <v>240.2</v>
      </c>
      <c r="H230" s="518"/>
      <c r="I230" s="471"/>
      <c r="J230" s="499"/>
      <c r="K230" s="471"/>
      <c r="L230" s="204"/>
    </row>
    <row r="231" spans="1:12" ht="31.5" x14ac:dyDescent="0.25">
      <c r="A231" s="466" t="s">
        <v>131</v>
      </c>
      <c r="B231" s="460">
        <v>902</v>
      </c>
      <c r="C231" s="462" t="s">
        <v>150</v>
      </c>
      <c r="D231" s="462" t="s">
        <v>238</v>
      </c>
      <c r="E231" s="462" t="s">
        <v>924</v>
      </c>
      <c r="F231" s="462" t="s">
        <v>132</v>
      </c>
      <c r="G231" s="467">
        <f>G232</f>
        <v>24</v>
      </c>
      <c r="H231" s="518"/>
      <c r="I231" s="471"/>
      <c r="J231" s="499"/>
      <c r="K231" s="471"/>
      <c r="L231" s="204"/>
    </row>
    <row r="232" spans="1:12" ht="31.5" x14ac:dyDescent="0.25">
      <c r="A232" s="466" t="s">
        <v>133</v>
      </c>
      <c r="B232" s="460">
        <v>902</v>
      </c>
      <c r="C232" s="462" t="s">
        <v>150</v>
      </c>
      <c r="D232" s="462" t="s">
        <v>238</v>
      </c>
      <c r="E232" s="462" t="s">
        <v>924</v>
      </c>
      <c r="F232" s="462" t="s">
        <v>134</v>
      </c>
      <c r="G232" s="467">
        <f>101.8-36-41.8</f>
        <v>24</v>
      </c>
      <c r="H232" s="518"/>
      <c r="I232" s="471"/>
      <c r="J232" s="499"/>
      <c r="K232" s="471"/>
      <c r="L232" s="204"/>
    </row>
    <row r="233" spans="1:12" s="204" customFormat="1" ht="33.4" customHeight="1" x14ac:dyDescent="0.25">
      <c r="A233" s="464" t="s">
        <v>1345</v>
      </c>
      <c r="B233" s="461">
        <v>902</v>
      </c>
      <c r="C233" s="465" t="s">
        <v>150</v>
      </c>
      <c r="D233" s="465" t="s">
        <v>238</v>
      </c>
      <c r="E233" s="465" t="s">
        <v>156</v>
      </c>
      <c r="F233" s="465"/>
      <c r="G233" s="463">
        <f>G234</f>
        <v>100</v>
      </c>
      <c r="H233" s="518"/>
      <c r="I233" s="471"/>
      <c r="J233" s="499"/>
      <c r="K233" s="471"/>
    </row>
    <row r="234" spans="1:12" s="204" customFormat="1" ht="31.5" x14ac:dyDescent="0.25">
      <c r="A234" s="464" t="s">
        <v>1067</v>
      </c>
      <c r="B234" s="461">
        <v>902</v>
      </c>
      <c r="C234" s="465" t="s">
        <v>150</v>
      </c>
      <c r="D234" s="465" t="s">
        <v>238</v>
      </c>
      <c r="E234" s="465" t="s">
        <v>1064</v>
      </c>
      <c r="F234" s="465"/>
      <c r="G234" s="463">
        <f>G235</f>
        <v>100</v>
      </c>
      <c r="H234" s="518"/>
      <c r="I234" s="471"/>
      <c r="J234" s="499"/>
      <c r="K234" s="471"/>
    </row>
    <row r="235" spans="1:12" s="204" customFormat="1" ht="31.5" x14ac:dyDescent="0.25">
      <c r="A235" s="466" t="s">
        <v>1068</v>
      </c>
      <c r="B235" s="460">
        <v>902</v>
      </c>
      <c r="C235" s="462" t="s">
        <v>150</v>
      </c>
      <c r="D235" s="462" t="s">
        <v>238</v>
      </c>
      <c r="E235" s="462" t="s">
        <v>1065</v>
      </c>
      <c r="F235" s="462"/>
      <c r="G235" s="467">
        <f>G236</f>
        <v>100</v>
      </c>
      <c r="H235" s="518"/>
      <c r="I235" s="471"/>
      <c r="J235" s="499"/>
      <c r="K235" s="471"/>
    </row>
    <row r="236" spans="1:12" s="204" customFormat="1" ht="15.75" x14ac:dyDescent="0.25">
      <c r="A236" s="466" t="s">
        <v>135</v>
      </c>
      <c r="B236" s="460">
        <v>902</v>
      </c>
      <c r="C236" s="462" t="s">
        <v>150</v>
      </c>
      <c r="D236" s="462" t="s">
        <v>238</v>
      </c>
      <c r="E236" s="462" t="s">
        <v>1065</v>
      </c>
      <c r="F236" s="462" t="s">
        <v>145</v>
      </c>
      <c r="G236" s="467">
        <f>G237</f>
        <v>100</v>
      </c>
      <c r="H236" s="518"/>
      <c r="I236" s="471"/>
      <c r="J236" s="499"/>
      <c r="K236" s="471"/>
    </row>
    <row r="237" spans="1:12" s="204" customFormat="1" ht="47.25" x14ac:dyDescent="0.25">
      <c r="A237" s="466" t="s">
        <v>184</v>
      </c>
      <c r="B237" s="460">
        <v>902</v>
      </c>
      <c r="C237" s="462" t="s">
        <v>150</v>
      </c>
      <c r="D237" s="462" t="s">
        <v>238</v>
      </c>
      <c r="E237" s="462" t="s">
        <v>1065</v>
      </c>
      <c r="F237" s="462" t="s">
        <v>160</v>
      </c>
      <c r="G237" s="467">
        <f>150-50</f>
        <v>100</v>
      </c>
      <c r="H237" s="518"/>
      <c r="I237" s="471"/>
      <c r="J237" s="499"/>
      <c r="K237" s="471"/>
    </row>
    <row r="238" spans="1:12" ht="16.5" customHeight="1" x14ac:dyDescent="0.25">
      <c r="A238" s="464" t="s">
        <v>243</v>
      </c>
      <c r="B238" s="461">
        <v>902</v>
      </c>
      <c r="C238" s="465" t="s">
        <v>244</v>
      </c>
      <c r="D238" s="465"/>
      <c r="E238" s="465"/>
      <c r="F238" s="465"/>
      <c r="G238" s="463">
        <f>G239+G245+G251</f>
        <v>14668.43</v>
      </c>
      <c r="H238" s="518"/>
      <c r="I238" s="471"/>
      <c r="J238" s="499"/>
      <c r="K238" s="471"/>
      <c r="L238" s="204"/>
    </row>
    <row r="239" spans="1:12" ht="15.75" x14ac:dyDescent="0.25">
      <c r="A239" s="464" t="s">
        <v>245</v>
      </c>
      <c r="B239" s="461">
        <v>902</v>
      </c>
      <c r="C239" s="465" t="s">
        <v>244</v>
      </c>
      <c r="D239" s="465" t="s">
        <v>118</v>
      </c>
      <c r="E239" s="465"/>
      <c r="F239" s="465"/>
      <c r="G239" s="463">
        <f>G240</f>
        <v>11049.23</v>
      </c>
      <c r="H239" s="518"/>
      <c r="I239" s="471"/>
      <c r="J239" s="499"/>
      <c r="K239" s="471"/>
      <c r="L239" s="204"/>
    </row>
    <row r="240" spans="1:12" ht="15.75" x14ac:dyDescent="0.25">
      <c r="A240" s="464" t="s">
        <v>141</v>
      </c>
      <c r="B240" s="461">
        <v>902</v>
      </c>
      <c r="C240" s="465" t="s">
        <v>244</v>
      </c>
      <c r="D240" s="465" t="s">
        <v>118</v>
      </c>
      <c r="E240" s="465" t="s">
        <v>866</v>
      </c>
      <c r="F240" s="465"/>
      <c r="G240" s="463">
        <f>G241</f>
        <v>11049.23</v>
      </c>
      <c r="H240" s="518"/>
      <c r="I240" s="471"/>
      <c r="J240" s="499"/>
      <c r="K240" s="471"/>
      <c r="L240" s="204"/>
    </row>
    <row r="241" spans="1:12" ht="31.5" x14ac:dyDescent="0.25">
      <c r="A241" s="464" t="s">
        <v>870</v>
      </c>
      <c r="B241" s="461">
        <v>902</v>
      </c>
      <c r="C241" s="465" t="s">
        <v>244</v>
      </c>
      <c r="D241" s="465" t="s">
        <v>118</v>
      </c>
      <c r="E241" s="465" t="s">
        <v>865</v>
      </c>
      <c r="F241" s="465"/>
      <c r="G241" s="463">
        <f>G242</f>
        <v>11049.23</v>
      </c>
      <c r="H241" s="518"/>
      <c r="I241" s="471"/>
      <c r="J241" s="499"/>
      <c r="K241" s="471"/>
      <c r="L241" s="204"/>
    </row>
    <row r="242" spans="1:12" ht="15.75" x14ac:dyDescent="0.25">
      <c r="A242" s="466" t="s">
        <v>246</v>
      </c>
      <c r="B242" s="460">
        <v>902</v>
      </c>
      <c r="C242" s="462" t="s">
        <v>244</v>
      </c>
      <c r="D242" s="462" t="s">
        <v>118</v>
      </c>
      <c r="E242" s="462" t="s">
        <v>881</v>
      </c>
      <c r="F242" s="462"/>
      <c r="G242" s="467">
        <f>G243</f>
        <v>11049.23</v>
      </c>
      <c r="H242" s="518"/>
      <c r="I242" s="471"/>
      <c r="J242" s="499"/>
      <c r="K242" s="471"/>
      <c r="L242" s="204"/>
    </row>
    <row r="243" spans="1:12" ht="15.75" x14ac:dyDescent="0.25">
      <c r="A243" s="466" t="s">
        <v>248</v>
      </c>
      <c r="B243" s="460">
        <v>902</v>
      </c>
      <c r="C243" s="462" t="s">
        <v>244</v>
      </c>
      <c r="D243" s="462" t="s">
        <v>118</v>
      </c>
      <c r="E243" s="462" t="s">
        <v>881</v>
      </c>
      <c r="F243" s="462" t="s">
        <v>249</v>
      </c>
      <c r="G243" s="467">
        <f>G244</f>
        <v>11049.23</v>
      </c>
      <c r="H243" s="518"/>
      <c r="I243" s="471"/>
      <c r="J243" s="499"/>
      <c r="K243" s="471"/>
      <c r="L243" s="204"/>
    </row>
    <row r="244" spans="1:12" ht="15.75" x14ac:dyDescent="0.25">
      <c r="A244" s="466" t="s">
        <v>348</v>
      </c>
      <c r="B244" s="460">
        <v>902</v>
      </c>
      <c r="C244" s="462" t="s">
        <v>244</v>
      </c>
      <c r="D244" s="462" t="s">
        <v>118</v>
      </c>
      <c r="E244" s="462" t="s">
        <v>881</v>
      </c>
      <c r="F244" s="462" t="s">
        <v>349</v>
      </c>
      <c r="G244" s="27">
        <f>9815.3+547+592.43+94.5</f>
        <v>11049.23</v>
      </c>
      <c r="H244" s="518"/>
      <c r="I244" s="471"/>
      <c r="J244" s="499"/>
      <c r="K244" s="471"/>
      <c r="L244" s="204"/>
    </row>
    <row r="245" spans="1:12" ht="15.75" hidden="1" x14ac:dyDescent="0.25">
      <c r="A245" s="464" t="s">
        <v>252</v>
      </c>
      <c r="B245" s="461">
        <v>902</v>
      </c>
      <c r="C245" s="465" t="s">
        <v>244</v>
      </c>
      <c r="D245" s="465" t="s">
        <v>215</v>
      </c>
      <c r="E245" s="462"/>
      <c r="F245" s="462"/>
      <c r="G245" s="463">
        <f>G246</f>
        <v>0</v>
      </c>
      <c r="H245" s="518"/>
      <c r="I245" s="471"/>
      <c r="J245" s="499"/>
      <c r="K245" s="471"/>
      <c r="L245" s="204"/>
    </row>
    <row r="246" spans="1:12" ht="47.25" hidden="1" x14ac:dyDescent="0.25">
      <c r="A246" s="464" t="s">
        <v>1357</v>
      </c>
      <c r="B246" s="461">
        <v>902</v>
      </c>
      <c r="C246" s="465" t="s">
        <v>244</v>
      </c>
      <c r="D246" s="465" t="s">
        <v>215</v>
      </c>
      <c r="E246" s="465" t="s">
        <v>254</v>
      </c>
      <c r="F246" s="465"/>
      <c r="G246" s="463">
        <f>G247</f>
        <v>0</v>
      </c>
      <c r="H246" s="518"/>
      <c r="I246" s="471"/>
      <c r="J246" s="499"/>
      <c r="K246" s="471"/>
      <c r="L246" s="204"/>
    </row>
    <row r="247" spans="1:12" s="204" customFormat="1" ht="31.5" hidden="1" x14ac:dyDescent="0.25">
      <c r="A247" s="34" t="s">
        <v>884</v>
      </c>
      <c r="B247" s="461">
        <v>902</v>
      </c>
      <c r="C247" s="465" t="s">
        <v>244</v>
      </c>
      <c r="D247" s="465" t="s">
        <v>215</v>
      </c>
      <c r="E247" s="465" t="s">
        <v>882</v>
      </c>
      <c r="F247" s="465"/>
      <c r="G247" s="463">
        <f>G248</f>
        <v>0</v>
      </c>
      <c r="H247" s="518"/>
      <c r="I247" s="471"/>
      <c r="J247" s="499"/>
      <c r="K247" s="471"/>
    </row>
    <row r="248" spans="1:12" ht="28.5" hidden="1" customHeight="1" x14ac:dyDescent="0.25">
      <c r="A248" s="466" t="s">
        <v>1195</v>
      </c>
      <c r="B248" s="460">
        <v>902</v>
      </c>
      <c r="C248" s="462" t="s">
        <v>244</v>
      </c>
      <c r="D248" s="462" t="s">
        <v>215</v>
      </c>
      <c r="E248" s="462" t="s">
        <v>1193</v>
      </c>
      <c r="F248" s="462"/>
      <c r="G248" s="467">
        <f>G249</f>
        <v>0</v>
      </c>
      <c r="H248" s="518"/>
      <c r="I248" s="471"/>
      <c r="J248" s="499"/>
      <c r="K248" s="471"/>
      <c r="L248" s="204"/>
    </row>
    <row r="249" spans="1:12" ht="19.5" hidden="1" customHeight="1" x14ac:dyDescent="0.25">
      <c r="A249" s="466" t="s">
        <v>248</v>
      </c>
      <c r="B249" s="460">
        <v>902</v>
      </c>
      <c r="C249" s="462" t="s">
        <v>244</v>
      </c>
      <c r="D249" s="462" t="s">
        <v>215</v>
      </c>
      <c r="E249" s="462" t="s">
        <v>1193</v>
      </c>
      <c r="F249" s="462" t="s">
        <v>249</v>
      </c>
      <c r="G249" s="467">
        <f>G250</f>
        <v>0</v>
      </c>
      <c r="H249" s="518"/>
      <c r="I249" s="471"/>
      <c r="J249" s="499"/>
      <c r="K249" s="471"/>
      <c r="L249" s="204"/>
    </row>
    <row r="250" spans="1:12" ht="31.5" hidden="1" x14ac:dyDescent="0.25">
      <c r="A250" s="466" t="s">
        <v>250</v>
      </c>
      <c r="B250" s="460">
        <v>902</v>
      </c>
      <c r="C250" s="462" t="s">
        <v>244</v>
      </c>
      <c r="D250" s="462" t="s">
        <v>215</v>
      </c>
      <c r="E250" s="462" t="s">
        <v>1193</v>
      </c>
      <c r="F250" s="462" t="s">
        <v>251</v>
      </c>
      <c r="G250" s="467">
        <f>10-10</f>
        <v>0</v>
      </c>
      <c r="H250" s="518"/>
      <c r="I250" s="471"/>
      <c r="J250" s="499"/>
      <c r="K250" s="471"/>
      <c r="L250" s="204"/>
    </row>
    <row r="251" spans="1:12" ht="15.75" x14ac:dyDescent="0.25">
      <c r="A251" s="464" t="s">
        <v>258</v>
      </c>
      <c r="B251" s="461">
        <v>902</v>
      </c>
      <c r="C251" s="465" t="s">
        <v>244</v>
      </c>
      <c r="D251" s="465" t="s">
        <v>120</v>
      </c>
      <c r="E251" s="465"/>
      <c r="F251" s="465"/>
      <c r="G251" s="463">
        <f>G252</f>
        <v>3619.2000000000007</v>
      </c>
      <c r="H251" s="518"/>
      <c r="I251" s="471"/>
      <c r="J251" s="499"/>
      <c r="K251" s="471"/>
      <c r="L251" s="204"/>
    </row>
    <row r="252" spans="1:12" ht="31.5" x14ac:dyDescent="0.25">
      <c r="A252" s="464" t="s">
        <v>917</v>
      </c>
      <c r="B252" s="461">
        <v>902</v>
      </c>
      <c r="C252" s="465" t="s">
        <v>244</v>
      </c>
      <c r="D252" s="465" t="s">
        <v>120</v>
      </c>
      <c r="E252" s="465" t="s">
        <v>858</v>
      </c>
      <c r="F252" s="465"/>
      <c r="G252" s="463">
        <f>G253</f>
        <v>3619.2000000000007</v>
      </c>
      <c r="H252" s="518"/>
      <c r="I252" s="471"/>
      <c r="J252" s="499"/>
      <c r="K252" s="471"/>
      <c r="L252" s="204"/>
    </row>
    <row r="253" spans="1:12" ht="31.5" x14ac:dyDescent="0.25">
      <c r="A253" s="464" t="s">
        <v>885</v>
      </c>
      <c r="B253" s="461">
        <v>902</v>
      </c>
      <c r="C253" s="465" t="s">
        <v>244</v>
      </c>
      <c r="D253" s="465" t="s">
        <v>120</v>
      </c>
      <c r="E253" s="465" t="s">
        <v>863</v>
      </c>
      <c r="F253" s="465"/>
      <c r="G253" s="463">
        <f>G254</f>
        <v>3619.2000000000007</v>
      </c>
      <c r="H253" s="518"/>
      <c r="I253" s="471"/>
      <c r="J253" s="499"/>
      <c r="K253" s="471"/>
      <c r="L253" s="204"/>
    </row>
    <row r="254" spans="1:12" ht="47.25" customHeight="1" x14ac:dyDescent="0.25">
      <c r="A254" s="31" t="s">
        <v>259</v>
      </c>
      <c r="B254" s="460">
        <v>902</v>
      </c>
      <c r="C254" s="462" t="s">
        <v>244</v>
      </c>
      <c r="D254" s="462" t="s">
        <v>120</v>
      </c>
      <c r="E254" s="462" t="s">
        <v>925</v>
      </c>
      <c r="F254" s="462"/>
      <c r="G254" s="467">
        <f>G255+G257</f>
        <v>3619.2000000000007</v>
      </c>
      <c r="H254" s="518"/>
      <c r="I254" s="471"/>
      <c r="J254" s="499"/>
      <c r="K254" s="471"/>
      <c r="L254" s="204"/>
    </row>
    <row r="255" spans="1:12" ht="63" x14ac:dyDescent="0.25">
      <c r="A255" s="466" t="s">
        <v>127</v>
      </c>
      <c r="B255" s="460">
        <v>902</v>
      </c>
      <c r="C255" s="462" t="s">
        <v>244</v>
      </c>
      <c r="D255" s="462" t="s">
        <v>120</v>
      </c>
      <c r="E255" s="462" t="s">
        <v>925</v>
      </c>
      <c r="F255" s="462" t="s">
        <v>128</v>
      </c>
      <c r="G255" s="467">
        <f>G256</f>
        <v>3313.0000000000005</v>
      </c>
      <c r="H255" s="518"/>
      <c r="I255" s="471"/>
      <c r="J255" s="499"/>
      <c r="K255" s="471"/>
      <c r="L255" s="204"/>
    </row>
    <row r="256" spans="1:12" ht="31.5" x14ac:dyDescent="0.25">
      <c r="A256" s="466" t="s">
        <v>129</v>
      </c>
      <c r="B256" s="460">
        <v>902</v>
      </c>
      <c r="C256" s="462" t="s">
        <v>244</v>
      </c>
      <c r="D256" s="462" t="s">
        <v>120</v>
      </c>
      <c r="E256" s="462" t="s">
        <v>925</v>
      </c>
      <c r="F256" s="462" t="s">
        <v>130</v>
      </c>
      <c r="G256" s="27">
        <f>3353.3-132.5-2.2+94.4</f>
        <v>3313.0000000000005</v>
      </c>
      <c r="H256" s="518"/>
      <c r="I256" s="471"/>
      <c r="J256" s="499"/>
      <c r="K256" s="471"/>
      <c r="L256" s="204"/>
    </row>
    <row r="257" spans="1:12" ht="31.5" x14ac:dyDescent="0.25">
      <c r="A257" s="466" t="s">
        <v>131</v>
      </c>
      <c r="B257" s="460">
        <v>902</v>
      </c>
      <c r="C257" s="462" t="s">
        <v>244</v>
      </c>
      <c r="D257" s="462" t="s">
        <v>120</v>
      </c>
      <c r="E257" s="462" t="s">
        <v>925</v>
      </c>
      <c r="F257" s="462" t="s">
        <v>132</v>
      </c>
      <c r="G257" s="467">
        <f>G258</f>
        <v>306.20000000000005</v>
      </c>
      <c r="H257" s="518"/>
      <c r="I257" s="471"/>
      <c r="J257" s="499"/>
      <c r="K257" s="471"/>
      <c r="L257" s="204"/>
    </row>
    <row r="258" spans="1:12" ht="31.5" x14ac:dyDescent="0.25">
      <c r="A258" s="466" t="s">
        <v>133</v>
      </c>
      <c r="B258" s="460">
        <v>902</v>
      </c>
      <c r="C258" s="462" t="s">
        <v>244</v>
      </c>
      <c r="D258" s="462" t="s">
        <v>120</v>
      </c>
      <c r="E258" s="462" t="s">
        <v>925</v>
      </c>
      <c r="F258" s="462" t="s">
        <v>134</v>
      </c>
      <c r="G258" s="27">
        <f>268.1+132.5-94.4</f>
        <v>306.20000000000005</v>
      </c>
      <c r="H258" s="518"/>
      <c r="I258" s="471"/>
      <c r="J258" s="499"/>
      <c r="K258" s="471"/>
      <c r="L258" s="204"/>
    </row>
    <row r="259" spans="1:12" ht="48.75" customHeight="1" x14ac:dyDescent="0.25">
      <c r="A259" s="461" t="s">
        <v>261</v>
      </c>
      <c r="B259" s="461">
        <v>903</v>
      </c>
      <c r="C259" s="462"/>
      <c r="D259" s="462"/>
      <c r="E259" s="462"/>
      <c r="F259" s="462"/>
      <c r="G259" s="463">
        <f>G318+G396+G503+G260+G298+G528</f>
        <v>112981.58409999999</v>
      </c>
      <c r="H259" s="518"/>
      <c r="I259" s="113"/>
      <c r="J259" s="499"/>
      <c r="K259" s="471"/>
      <c r="L259" s="204"/>
    </row>
    <row r="260" spans="1:12" ht="15.75" x14ac:dyDescent="0.25">
      <c r="A260" s="464" t="s">
        <v>117</v>
      </c>
      <c r="B260" s="461">
        <v>903</v>
      </c>
      <c r="C260" s="465" t="s">
        <v>118</v>
      </c>
      <c r="D260" s="462"/>
      <c r="E260" s="462"/>
      <c r="F260" s="462"/>
      <c r="G260" s="463">
        <f>G261</f>
        <v>697.80000000000007</v>
      </c>
      <c r="H260" s="518"/>
      <c r="I260" s="471"/>
      <c r="J260" s="499"/>
      <c r="K260" s="471"/>
      <c r="L260" s="204"/>
    </row>
    <row r="261" spans="1:12" ht="15.75" x14ac:dyDescent="0.25">
      <c r="A261" s="464" t="s">
        <v>139</v>
      </c>
      <c r="B261" s="461">
        <v>903</v>
      </c>
      <c r="C261" s="465" t="s">
        <v>118</v>
      </c>
      <c r="D261" s="465" t="s">
        <v>140</v>
      </c>
      <c r="E261" s="462"/>
      <c r="F261" s="462"/>
      <c r="G261" s="463">
        <f>G262+G271+G288+G293</f>
        <v>697.80000000000007</v>
      </c>
      <c r="H261" s="518"/>
      <c r="I261" s="471"/>
      <c r="J261" s="499"/>
      <c r="K261" s="471"/>
      <c r="L261" s="204"/>
    </row>
    <row r="262" spans="1:12" ht="47.25" x14ac:dyDescent="0.25">
      <c r="A262" s="464" t="s">
        <v>1358</v>
      </c>
      <c r="B262" s="461">
        <v>903</v>
      </c>
      <c r="C262" s="8" t="s">
        <v>118</v>
      </c>
      <c r="D262" s="8" t="s">
        <v>140</v>
      </c>
      <c r="E262" s="194" t="s">
        <v>344</v>
      </c>
      <c r="F262" s="8"/>
      <c r="G262" s="463">
        <f>G263</f>
        <v>641.6</v>
      </c>
      <c r="H262" s="518"/>
      <c r="I262" s="471"/>
      <c r="J262" s="499"/>
      <c r="K262" s="471"/>
      <c r="L262" s="204"/>
    </row>
    <row r="263" spans="1:12" ht="73.5" customHeight="1" x14ac:dyDescent="0.25">
      <c r="A263" s="470" t="s">
        <v>1359</v>
      </c>
      <c r="B263" s="461">
        <v>903</v>
      </c>
      <c r="C263" s="7" t="s">
        <v>118</v>
      </c>
      <c r="D263" s="7" t="s">
        <v>140</v>
      </c>
      <c r="E263" s="7" t="s">
        <v>359</v>
      </c>
      <c r="F263" s="7"/>
      <c r="G263" s="463">
        <f>G264</f>
        <v>641.6</v>
      </c>
      <c r="H263" s="518"/>
      <c r="I263" s="471"/>
      <c r="J263" s="499"/>
      <c r="K263" s="471"/>
      <c r="L263" s="204"/>
    </row>
    <row r="264" spans="1:12" s="204" customFormat="1" ht="47.25" x14ac:dyDescent="0.25">
      <c r="A264" s="247" t="s">
        <v>1047</v>
      </c>
      <c r="B264" s="461">
        <v>903</v>
      </c>
      <c r="C264" s="7" t="s">
        <v>118</v>
      </c>
      <c r="D264" s="7" t="s">
        <v>140</v>
      </c>
      <c r="E264" s="7" t="s">
        <v>909</v>
      </c>
      <c r="F264" s="7"/>
      <c r="G264" s="463">
        <f>G265+G268</f>
        <v>641.6</v>
      </c>
      <c r="H264" s="518"/>
      <c r="I264" s="471"/>
      <c r="J264" s="499"/>
      <c r="K264" s="471"/>
    </row>
    <row r="265" spans="1:12" ht="31.5" x14ac:dyDescent="0.25">
      <c r="A265" s="98" t="s">
        <v>1099</v>
      </c>
      <c r="B265" s="460">
        <v>903</v>
      </c>
      <c r="C265" s="469" t="s">
        <v>118</v>
      </c>
      <c r="D265" s="469" t="s">
        <v>140</v>
      </c>
      <c r="E265" s="469" t="s">
        <v>1203</v>
      </c>
      <c r="F265" s="469"/>
      <c r="G265" s="467">
        <f>G266</f>
        <v>451</v>
      </c>
      <c r="H265" s="518"/>
      <c r="I265" s="471"/>
      <c r="J265" s="499"/>
      <c r="K265" s="471"/>
      <c r="L265" s="204"/>
    </row>
    <row r="266" spans="1:12" ht="31.5" x14ac:dyDescent="0.25">
      <c r="A266" s="29" t="s">
        <v>131</v>
      </c>
      <c r="B266" s="460">
        <v>903</v>
      </c>
      <c r="C266" s="469" t="s">
        <v>118</v>
      </c>
      <c r="D266" s="469" t="s">
        <v>140</v>
      </c>
      <c r="E266" s="469" t="s">
        <v>1203</v>
      </c>
      <c r="F266" s="469" t="s">
        <v>132</v>
      </c>
      <c r="G266" s="467">
        <f>G267</f>
        <v>451</v>
      </c>
      <c r="H266" s="518"/>
      <c r="I266" s="471"/>
      <c r="J266" s="499"/>
      <c r="K266" s="471"/>
      <c r="L266" s="204"/>
    </row>
    <row r="267" spans="1:12" ht="31.5" x14ac:dyDescent="0.25">
      <c r="A267" s="29" t="s">
        <v>133</v>
      </c>
      <c r="B267" s="460">
        <v>903</v>
      </c>
      <c r="C267" s="469" t="s">
        <v>118</v>
      </c>
      <c r="D267" s="469" t="s">
        <v>140</v>
      </c>
      <c r="E267" s="469" t="s">
        <v>1203</v>
      </c>
      <c r="F267" s="469" t="s">
        <v>134</v>
      </c>
      <c r="G267" s="467">
        <f>200+238.4+8.9-0.9+4.6</f>
        <v>451</v>
      </c>
      <c r="H267" s="451"/>
      <c r="I267" s="471"/>
      <c r="J267" s="499"/>
      <c r="K267" s="471"/>
      <c r="L267" s="204"/>
    </row>
    <row r="268" spans="1:12" s="204" customFormat="1" ht="31.5" x14ac:dyDescent="0.25">
      <c r="A268" s="45" t="s">
        <v>1638</v>
      </c>
      <c r="B268" s="460">
        <v>903</v>
      </c>
      <c r="C268" s="469" t="s">
        <v>118</v>
      </c>
      <c r="D268" s="469" t="s">
        <v>140</v>
      </c>
      <c r="E268" s="469" t="s">
        <v>1678</v>
      </c>
      <c r="F268" s="469"/>
      <c r="G268" s="467">
        <f>G269</f>
        <v>190.6</v>
      </c>
      <c r="H268" s="518"/>
      <c r="I268" s="471"/>
      <c r="J268" s="499"/>
      <c r="K268" s="471"/>
    </row>
    <row r="269" spans="1:12" s="204" customFormat="1" ht="31.5" x14ac:dyDescent="0.25">
      <c r="A269" s="29" t="s">
        <v>131</v>
      </c>
      <c r="B269" s="460">
        <v>903</v>
      </c>
      <c r="C269" s="469" t="s">
        <v>118</v>
      </c>
      <c r="D269" s="469" t="s">
        <v>140</v>
      </c>
      <c r="E269" s="469" t="s">
        <v>1678</v>
      </c>
      <c r="F269" s="469" t="s">
        <v>132</v>
      </c>
      <c r="G269" s="467">
        <f>G270</f>
        <v>190.6</v>
      </c>
      <c r="H269" s="518"/>
      <c r="I269" s="471"/>
      <c r="J269" s="499"/>
      <c r="K269" s="471"/>
    </row>
    <row r="270" spans="1:12" s="204" customFormat="1" ht="31.5" x14ac:dyDescent="0.25">
      <c r="A270" s="29" t="s">
        <v>133</v>
      </c>
      <c r="B270" s="460">
        <v>903</v>
      </c>
      <c r="C270" s="469" t="s">
        <v>118</v>
      </c>
      <c r="D270" s="469" t="s">
        <v>140</v>
      </c>
      <c r="E270" s="469" t="s">
        <v>1678</v>
      </c>
      <c r="F270" s="469" t="s">
        <v>134</v>
      </c>
      <c r="G270" s="467">
        <f>190.6</f>
        <v>190.6</v>
      </c>
      <c r="H270" s="451"/>
      <c r="I270" s="451"/>
      <c r="J270" s="499"/>
      <c r="K270" s="471"/>
    </row>
    <row r="271" spans="1:12" ht="31.5" x14ac:dyDescent="0.25">
      <c r="A271" s="464" t="s">
        <v>1360</v>
      </c>
      <c r="B271" s="461">
        <v>903</v>
      </c>
      <c r="C271" s="465" t="s">
        <v>118</v>
      </c>
      <c r="D271" s="465" t="s">
        <v>140</v>
      </c>
      <c r="E271" s="465" t="s">
        <v>335</v>
      </c>
      <c r="F271" s="465"/>
      <c r="G271" s="463">
        <f>G272</f>
        <v>20</v>
      </c>
      <c r="H271" s="518"/>
      <c r="I271" s="451"/>
      <c r="J271" s="499"/>
      <c r="K271" s="471"/>
      <c r="L271" s="204"/>
    </row>
    <row r="272" spans="1:12" s="204" customFormat="1" ht="31.5" x14ac:dyDescent="0.25">
      <c r="A272" s="464" t="s">
        <v>1052</v>
      </c>
      <c r="B272" s="461">
        <v>903</v>
      </c>
      <c r="C272" s="465" t="s">
        <v>118</v>
      </c>
      <c r="D272" s="465" t="s">
        <v>140</v>
      </c>
      <c r="E272" s="465" t="s">
        <v>1053</v>
      </c>
      <c r="F272" s="465"/>
      <c r="G272" s="463">
        <f>G273+G276+G279+G282+G285</f>
        <v>20</v>
      </c>
      <c r="H272" s="518"/>
      <c r="I272" s="471"/>
      <c r="J272" s="499"/>
      <c r="K272" s="471"/>
    </row>
    <row r="273" spans="1:12" ht="31.5" hidden="1" x14ac:dyDescent="0.25">
      <c r="A273" s="97" t="s">
        <v>336</v>
      </c>
      <c r="B273" s="460">
        <v>903</v>
      </c>
      <c r="C273" s="462" t="s">
        <v>118</v>
      </c>
      <c r="D273" s="462" t="s">
        <v>140</v>
      </c>
      <c r="E273" s="462" t="s">
        <v>1054</v>
      </c>
      <c r="F273" s="462"/>
      <c r="G273" s="467">
        <f>G274</f>
        <v>0</v>
      </c>
      <c r="H273" s="518"/>
      <c r="I273" s="471"/>
      <c r="J273" s="499"/>
      <c r="K273" s="471"/>
      <c r="L273" s="204"/>
    </row>
    <row r="274" spans="1:12" ht="31.5" hidden="1" x14ac:dyDescent="0.25">
      <c r="A274" s="466" t="s">
        <v>131</v>
      </c>
      <c r="B274" s="460">
        <v>903</v>
      </c>
      <c r="C274" s="462" t="s">
        <v>118</v>
      </c>
      <c r="D274" s="462" t="s">
        <v>140</v>
      </c>
      <c r="E274" s="462" t="s">
        <v>1054</v>
      </c>
      <c r="F274" s="462" t="s">
        <v>132</v>
      </c>
      <c r="G274" s="467">
        <f>G275</f>
        <v>0</v>
      </c>
      <c r="H274" s="518"/>
      <c r="I274" s="471"/>
      <c r="J274" s="499"/>
      <c r="K274" s="471"/>
      <c r="L274" s="204"/>
    </row>
    <row r="275" spans="1:12" ht="31.5" hidden="1" x14ac:dyDescent="0.25">
      <c r="A275" s="466" t="s">
        <v>133</v>
      </c>
      <c r="B275" s="460">
        <v>903</v>
      </c>
      <c r="C275" s="462" t="s">
        <v>118</v>
      </c>
      <c r="D275" s="462" t="s">
        <v>140</v>
      </c>
      <c r="E275" s="462" t="s">
        <v>1054</v>
      </c>
      <c r="F275" s="462" t="s">
        <v>134</v>
      </c>
      <c r="G275" s="467">
        <v>0</v>
      </c>
      <c r="H275" s="518"/>
      <c r="I275" s="471"/>
      <c r="J275" s="499"/>
      <c r="K275" s="471"/>
      <c r="L275" s="204"/>
    </row>
    <row r="276" spans="1:12" ht="15.75" x14ac:dyDescent="0.25">
      <c r="A276" s="466" t="s">
        <v>338</v>
      </c>
      <c r="B276" s="460">
        <v>903</v>
      </c>
      <c r="C276" s="462" t="s">
        <v>118</v>
      </c>
      <c r="D276" s="462" t="s">
        <v>140</v>
      </c>
      <c r="E276" s="462" t="s">
        <v>1055</v>
      </c>
      <c r="F276" s="462"/>
      <c r="G276" s="467">
        <f>G277</f>
        <v>20</v>
      </c>
      <c r="H276" s="518"/>
      <c r="I276" s="471"/>
      <c r="J276" s="499"/>
      <c r="K276" s="471"/>
      <c r="L276" s="204"/>
    </row>
    <row r="277" spans="1:12" ht="31.5" x14ac:dyDescent="0.25">
      <c r="A277" s="466" t="s">
        <v>131</v>
      </c>
      <c r="B277" s="460">
        <v>903</v>
      </c>
      <c r="C277" s="462" t="s">
        <v>118</v>
      </c>
      <c r="D277" s="462" t="s">
        <v>140</v>
      </c>
      <c r="E277" s="462" t="s">
        <v>1055</v>
      </c>
      <c r="F277" s="462" t="s">
        <v>132</v>
      </c>
      <c r="G277" s="467">
        <f>G278</f>
        <v>20</v>
      </c>
      <c r="H277" s="518"/>
      <c r="I277" s="471"/>
      <c r="J277" s="499"/>
      <c r="K277" s="471"/>
      <c r="L277" s="204"/>
    </row>
    <row r="278" spans="1:12" ht="31.5" x14ac:dyDescent="0.25">
      <c r="A278" s="466" t="s">
        <v>133</v>
      </c>
      <c r="B278" s="460">
        <v>903</v>
      </c>
      <c r="C278" s="462" t="s">
        <v>118</v>
      </c>
      <c r="D278" s="462" t="s">
        <v>140</v>
      </c>
      <c r="E278" s="462" t="s">
        <v>1055</v>
      </c>
      <c r="F278" s="462" t="s">
        <v>134</v>
      </c>
      <c r="G278" s="467">
        <v>20</v>
      </c>
      <c r="H278" s="518"/>
      <c r="I278" s="471"/>
      <c r="J278" s="499"/>
      <c r="K278" s="471"/>
      <c r="L278" s="204"/>
    </row>
    <row r="279" spans="1:12" ht="36.75" hidden="1" customHeight="1" x14ac:dyDescent="0.25">
      <c r="A279" s="31" t="s">
        <v>771</v>
      </c>
      <c r="B279" s="460">
        <v>903</v>
      </c>
      <c r="C279" s="462" t="s">
        <v>118</v>
      </c>
      <c r="D279" s="462" t="s">
        <v>140</v>
      </c>
      <c r="E279" s="462" t="s">
        <v>1056</v>
      </c>
      <c r="F279" s="462"/>
      <c r="G279" s="467">
        <f>G280</f>
        <v>0</v>
      </c>
      <c r="H279" s="518"/>
      <c r="I279" s="471"/>
      <c r="J279" s="499"/>
      <c r="K279" s="471"/>
      <c r="L279" s="204"/>
    </row>
    <row r="280" spans="1:12" ht="31.5" hidden="1" x14ac:dyDescent="0.25">
      <c r="A280" s="466" t="s">
        <v>131</v>
      </c>
      <c r="B280" s="460">
        <v>903</v>
      </c>
      <c r="C280" s="462" t="s">
        <v>118</v>
      </c>
      <c r="D280" s="462" t="s">
        <v>140</v>
      </c>
      <c r="E280" s="462" t="s">
        <v>1056</v>
      </c>
      <c r="F280" s="462" t="s">
        <v>132</v>
      </c>
      <c r="G280" s="467">
        <f>G281</f>
        <v>0</v>
      </c>
      <c r="H280" s="518"/>
      <c r="I280" s="471"/>
      <c r="J280" s="499"/>
      <c r="K280" s="471"/>
      <c r="L280" s="204"/>
    </row>
    <row r="281" spans="1:12" ht="31.5" hidden="1" x14ac:dyDescent="0.25">
      <c r="A281" s="466" t="s">
        <v>133</v>
      </c>
      <c r="B281" s="460">
        <v>903</v>
      </c>
      <c r="C281" s="462" t="s">
        <v>118</v>
      </c>
      <c r="D281" s="462" t="s">
        <v>140</v>
      </c>
      <c r="E281" s="462" t="s">
        <v>1056</v>
      </c>
      <c r="F281" s="462" t="s">
        <v>134</v>
      </c>
      <c r="G281" s="467">
        <v>0</v>
      </c>
      <c r="H281" s="518"/>
      <c r="I281" s="471"/>
      <c r="J281" s="499"/>
      <c r="K281" s="471"/>
      <c r="L281" s="204"/>
    </row>
    <row r="282" spans="1:12" ht="15.75" hidden="1" x14ac:dyDescent="0.25">
      <c r="A282" s="466" t="s">
        <v>994</v>
      </c>
      <c r="B282" s="460">
        <v>903</v>
      </c>
      <c r="C282" s="462" t="s">
        <v>118</v>
      </c>
      <c r="D282" s="462" t="s">
        <v>140</v>
      </c>
      <c r="E282" s="462" t="s">
        <v>1057</v>
      </c>
      <c r="F282" s="462"/>
      <c r="G282" s="467">
        <f>G283</f>
        <v>0</v>
      </c>
      <c r="H282" s="518"/>
      <c r="I282" s="471"/>
      <c r="J282" s="499"/>
      <c r="K282" s="471"/>
      <c r="L282" s="204"/>
    </row>
    <row r="283" spans="1:12" ht="31.5" hidden="1" x14ac:dyDescent="0.25">
      <c r="A283" s="466" t="s">
        <v>131</v>
      </c>
      <c r="B283" s="460">
        <v>903</v>
      </c>
      <c r="C283" s="462" t="s">
        <v>118</v>
      </c>
      <c r="D283" s="462" t="s">
        <v>140</v>
      </c>
      <c r="E283" s="462" t="s">
        <v>1057</v>
      </c>
      <c r="F283" s="462" t="s">
        <v>132</v>
      </c>
      <c r="G283" s="467">
        <f>G284</f>
        <v>0</v>
      </c>
      <c r="H283" s="518"/>
      <c r="I283" s="471"/>
      <c r="J283" s="499"/>
      <c r="K283" s="471"/>
      <c r="L283" s="204"/>
    </row>
    <row r="284" spans="1:12" ht="31.5" hidden="1" x14ac:dyDescent="0.25">
      <c r="A284" s="466" t="s">
        <v>133</v>
      </c>
      <c r="B284" s="460">
        <v>903</v>
      </c>
      <c r="C284" s="462" t="s">
        <v>118</v>
      </c>
      <c r="D284" s="462" t="s">
        <v>140</v>
      </c>
      <c r="E284" s="462" t="s">
        <v>1057</v>
      </c>
      <c r="F284" s="462" t="s">
        <v>134</v>
      </c>
      <c r="G284" s="467">
        <v>0</v>
      </c>
      <c r="H284" s="518"/>
      <c r="I284" s="471"/>
      <c r="J284" s="499"/>
      <c r="K284" s="471"/>
      <c r="L284" s="204"/>
    </row>
    <row r="285" spans="1:12" ht="40.700000000000003" hidden="1" customHeight="1" x14ac:dyDescent="0.25">
      <c r="A285" s="31" t="s">
        <v>772</v>
      </c>
      <c r="B285" s="460">
        <v>903</v>
      </c>
      <c r="C285" s="462" t="s">
        <v>118</v>
      </c>
      <c r="D285" s="462" t="s">
        <v>140</v>
      </c>
      <c r="E285" s="462" t="s">
        <v>1058</v>
      </c>
      <c r="F285" s="462"/>
      <c r="G285" s="467">
        <f>G286</f>
        <v>0</v>
      </c>
      <c r="H285" s="518"/>
      <c r="I285" s="471"/>
      <c r="J285" s="499"/>
      <c r="K285" s="471"/>
      <c r="L285" s="204"/>
    </row>
    <row r="286" spans="1:12" ht="31.5" hidden="1" x14ac:dyDescent="0.25">
      <c r="A286" s="466" t="s">
        <v>131</v>
      </c>
      <c r="B286" s="460">
        <v>903</v>
      </c>
      <c r="C286" s="462" t="s">
        <v>118</v>
      </c>
      <c r="D286" s="462" t="s">
        <v>140</v>
      </c>
      <c r="E286" s="462" t="s">
        <v>1058</v>
      </c>
      <c r="F286" s="462" t="s">
        <v>132</v>
      </c>
      <c r="G286" s="467">
        <f>G287</f>
        <v>0</v>
      </c>
      <c r="H286" s="518"/>
      <c r="I286" s="471"/>
      <c r="J286" s="499"/>
      <c r="K286" s="471"/>
      <c r="L286" s="204"/>
    </row>
    <row r="287" spans="1:12" ht="31.5" hidden="1" x14ac:dyDescent="0.25">
      <c r="A287" s="466" t="s">
        <v>133</v>
      </c>
      <c r="B287" s="460">
        <v>903</v>
      </c>
      <c r="C287" s="462" t="s">
        <v>118</v>
      </c>
      <c r="D287" s="462" t="s">
        <v>140</v>
      </c>
      <c r="E287" s="462" t="s">
        <v>1058</v>
      </c>
      <c r="F287" s="462" t="s">
        <v>134</v>
      </c>
      <c r="G287" s="467">
        <v>0</v>
      </c>
      <c r="H287" s="518"/>
      <c r="I287" s="471"/>
      <c r="J287" s="499"/>
      <c r="K287" s="471"/>
      <c r="L287" s="204"/>
    </row>
    <row r="288" spans="1:12" ht="47.25" x14ac:dyDescent="0.25">
      <c r="A288" s="470" t="s">
        <v>1361</v>
      </c>
      <c r="B288" s="461">
        <v>903</v>
      </c>
      <c r="C288" s="465" t="s">
        <v>118</v>
      </c>
      <c r="D288" s="465" t="s">
        <v>140</v>
      </c>
      <c r="E288" s="465" t="s">
        <v>705</v>
      </c>
      <c r="F288" s="465"/>
      <c r="G288" s="463">
        <f>G290</f>
        <v>5.2</v>
      </c>
      <c r="H288" s="518"/>
      <c r="I288" s="471"/>
      <c r="J288" s="499"/>
      <c r="K288" s="471"/>
      <c r="L288" s="204"/>
    </row>
    <row r="289" spans="1:12" s="204" customFormat="1" ht="44.45" customHeight="1" x14ac:dyDescent="0.25">
      <c r="A289" s="210" t="s">
        <v>846</v>
      </c>
      <c r="B289" s="461">
        <v>903</v>
      </c>
      <c r="C289" s="465" t="s">
        <v>118</v>
      </c>
      <c r="D289" s="465" t="s">
        <v>140</v>
      </c>
      <c r="E289" s="465" t="s">
        <v>852</v>
      </c>
      <c r="F289" s="465"/>
      <c r="G289" s="463">
        <f>G290</f>
        <v>5.2</v>
      </c>
      <c r="H289" s="518"/>
      <c r="I289" s="471"/>
      <c r="J289" s="499"/>
      <c r="K289" s="471"/>
    </row>
    <row r="290" spans="1:12" ht="31.5" x14ac:dyDescent="0.25">
      <c r="A290" s="98" t="s">
        <v>776</v>
      </c>
      <c r="B290" s="460">
        <v>903</v>
      </c>
      <c r="C290" s="462" t="s">
        <v>118</v>
      </c>
      <c r="D290" s="462" t="s">
        <v>140</v>
      </c>
      <c r="E290" s="462" t="s">
        <v>847</v>
      </c>
      <c r="F290" s="462"/>
      <c r="G290" s="467">
        <f>G291</f>
        <v>5.2</v>
      </c>
      <c r="H290" s="518"/>
      <c r="I290" s="471"/>
      <c r="J290" s="499"/>
      <c r="K290" s="471"/>
      <c r="L290" s="204"/>
    </row>
    <row r="291" spans="1:12" ht="31.5" x14ac:dyDescent="0.25">
      <c r="A291" s="466" t="s">
        <v>131</v>
      </c>
      <c r="B291" s="460">
        <v>903</v>
      </c>
      <c r="C291" s="462" t="s">
        <v>118</v>
      </c>
      <c r="D291" s="462" t="s">
        <v>140</v>
      </c>
      <c r="E291" s="462" t="s">
        <v>847</v>
      </c>
      <c r="F291" s="462" t="s">
        <v>132</v>
      </c>
      <c r="G291" s="467">
        <f>G292</f>
        <v>5.2</v>
      </c>
      <c r="H291" s="518"/>
      <c r="I291" s="471"/>
      <c r="J291" s="499"/>
      <c r="K291" s="471"/>
      <c r="L291" s="204"/>
    </row>
    <row r="292" spans="1:12" ht="31.5" x14ac:dyDescent="0.25">
      <c r="A292" s="466" t="s">
        <v>133</v>
      </c>
      <c r="B292" s="460">
        <v>903</v>
      </c>
      <c r="C292" s="462" t="s">
        <v>118</v>
      </c>
      <c r="D292" s="462" t="s">
        <v>140</v>
      </c>
      <c r="E292" s="462" t="s">
        <v>847</v>
      </c>
      <c r="F292" s="462" t="s">
        <v>134</v>
      </c>
      <c r="G292" s="467">
        <f>5-5+5.2</f>
        <v>5.2</v>
      </c>
      <c r="H292" s="519"/>
      <c r="I292" s="471"/>
      <c r="J292" s="499"/>
      <c r="K292" s="471"/>
      <c r="L292" s="204"/>
    </row>
    <row r="293" spans="1:12" s="204" customFormat="1" ht="63" x14ac:dyDescent="0.25">
      <c r="A293" s="470" t="s">
        <v>1663</v>
      </c>
      <c r="B293" s="461">
        <v>903</v>
      </c>
      <c r="C293" s="8" t="s">
        <v>118</v>
      </c>
      <c r="D293" s="8" t="s">
        <v>140</v>
      </c>
      <c r="E293" s="194" t="s">
        <v>818</v>
      </c>
      <c r="F293" s="8"/>
      <c r="G293" s="463">
        <f>G295</f>
        <v>31</v>
      </c>
      <c r="H293" s="521"/>
      <c r="I293" s="471"/>
      <c r="J293" s="499"/>
      <c r="K293" s="471"/>
    </row>
    <row r="294" spans="1:12" s="204" customFormat="1" ht="31.5" x14ac:dyDescent="0.25">
      <c r="A294" s="58" t="s">
        <v>856</v>
      </c>
      <c r="B294" s="461">
        <v>903</v>
      </c>
      <c r="C294" s="8" t="s">
        <v>118</v>
      </c>
      <c r="D294" s="8" t="s">
        <v>140</v>
      </c>
      <c r="E294" s="194" t="s">
        <v>864</v>
      </c>
      <c r="F294" s="8"/>
      <c r="G294" s="463">
        <f>G295</f>
        <v>31</v>
      </c>
      <c r="H294" s="521"/>
      <c r="I294" s="471"/>
      <c r="J294" s="499"/>
      <c r="K294" s="471"/>
    </row>
    <row r="295" spans="1:12" s="204" customFormat="1" ht="15.75" x14ac:dyDescent="0.25">
      <c r="A295" s="45" t="s">
        <v>822</v>
      </c>
      <c r="B295" s="460">
        <v>903</v>
      </c>
      <c r="C295" s="9" t="s">
        <v>118</v>
      </c>
      <c r="D295" s="9" t="s">
        <v>140</v>
      </c>
      <c r="E295" s="5" t="s">
        <v>857</v>
      </c>
      <c r="F295" s="9"/>
      <c r="G295" s="467">
        <f>G296</f>
        <v>31</v>
      </c>
      <c r="H295" s="521"/>
      <c r="I295" s="471"/>
      <c r="J295" s="499"/>
      <c r="K295" s="471"/>
    </row>
    <row r="296" spans="1:12" s="204" customFormat="1" ht="31.5" x14ac:dyDescent="0.25">
      <c r="A296" s="466" t="s">
        <v>131</v>
      </c>
      <c r="B296" s="460">
        <v>903</v>
      </c>
      <c r="C296" s="9" t="s">
        <v>118</v>
      </c>
      <c r="D296" s="9" t="s">
        <v>140</v>
      </c>
      <c r="E296" s="5" t="s">
        <v>857</v>
      </c>
      <c r="F296" s="9" t="s">
        <v>132</v>
      </c>
      <c r="G296" s="467">
        <f>G297</f>
        <v>31</v>
      </c>
      <c r="H296" s="521"/>
      <c r="I296" s="471"/>
      <c r="J296" s="499"/>
      <c r="K296" s="471"/>
    </row>
    <row r="297" spans="1:12" s="204" customFormat="1" ht="31.5" x14ac:dyDescent="0.25">
      <c r="A297" s="466" t="s">
        <v>133</v>
      </c>
      <c r="B297" s="460">
        <v>903</v>
      </c>
      <c r="C297" s="9" t="s">
        <v>118</v>
      </c>
      <c r="D297" s="9" t="s">
        <v>140</v>
      </c>
      <c r="E297" s="5" t="s">
        <v>857</v>
      </c>
      <c r="F297" s="9" t="s">
        <v>134</v>
      </c>
      <c r="G297" s="467">
        <v>31</v>
      </c>
      <c r="H297" s="521"/>
      <c r="I297" s="471"/>
      <c r="J297" s="499"/>
      <c r="K297" s="471"/>
    </row>
    <row r="298" spans="1:12" ht="21.2" hidden="1" customHeight="1" x14ac:dyDescent="0.25">
      <c r="A298" s="216" t="s">
        <v>232</v>
      </c>
      <c r="B298" s="461">
        <v>903</v>
      </c>
      <c r="C298" s="465" t="s">
        <v>150</v>
      </c>
      <c r="D298" s="462"/>
      <c r="E298" s="462"/>
      <c r="F298" s="468"/>
      <c r="G298" s="463">
        <f>G299</f>
        <v>0</v>
      </c>
      <c r="H298" s="518"/>
      <c r="I298" s="471"/>
      <c r="J298" s="499"/>
      <c r="K298" s="471"/>
      <c r="L298" s="204"/>
    </row>
    <row r="299" spans="1:12" ht="21.2" hidden="1" customHeight="1" x14ac:dyDescent="0.25">
      <c r="A299" s="464" t="s">
        <v>237</v>
      </c>
      <c r="B299" s="461">
        <v>903</v>
      </c>
      <c r="C299" s="465" t="s">
        <v>150</v>
      </c>
      <c r="D299" s="465" t="s">
        <v>238</v>
      </c>
      <c r="E299" s="462"/>
      <c r="F299" s="468"/>
      <c r="G299" s="463">
        <f>G300</f>
        <v>0</v>
      </c>
      <c r="H299" s="518"/>
      <c r="I299" s="471"/>
      <c r="J299" s="499"/>
      <c r="K299" s="471"/>
      <c r="L299" s="204"/>
    </row>
    <row r="300" spans="1:12" ht="54" hidden="1" customHeight="1" x14ac:dyDescent="0.25">
      <c r="A300" s="464" t="s">
        <v>1358</v>
      </c>
      <c r="B300" s="461">
        <v>903</v>
      </c>
      <c r="C300" s="465" t="s">
        <v>150</v>
      </c>
      <c r="D300" s="465" t="s">
        <v>238</v>
      </c>
      <c r="E300" s="465" t="s">
        <v>344</v>
      </c>
      <c r="F300" s="474"/>
      <c r="G300" s="463">
        <f>G301</f>
        <v>0</v>
      </c>
      <c r="H300" s="518"/>
      <c r="I300" s="471"/>
      <c r="J300" s="499"/>
      <c r="K300" s="471"/>
      <c r="L300" s="204"/>
    </row>
    <row r="301" spans="1:12" ht="53.45" hidden="1" customHeight="1" x14ac:dyDescent="0.25">
      <c r="A301" s="464" t="s">
        <v>367</v>
      </c>
      <c r="B301" s="461">
        <v>903</v>
      </c>
      <c r="C301" s="465" t="s">
        <v>150</v>
      </c>
      <c r="D301" s="465" t="s">
        <v>238</v>
      </c>
      <c r="E301" s="465" t="s">
        <v>356</v>
      </c>
      <c r="F301" s="465"/>
      <c r="G301" s="463">
        <f>G302+G306+G310+G314</f>
        <v>0</v>
      </c>
      <c r="H301" s="518"/>
      <c r="I301" s="471"/>
      <c r="J301" s="499"/>
      <c r="K301" s="471"/>
      <c r="L301" s="204"/>
    </row>
    <row r="302" spans="1:12" s="204" customFormat="1" ht="33" hidden="1" customHeight="1" x14ac:dyDescent="0.25">
      <c r="A302" s="214" t="s">
        <v>1045</v>
      </c>
      <c r="B302" s="461">
        <v>903</v>
      </c>
      <c r="C302" s="465" t="s">
        <v>150</v>
      </c>
      <c r="D302" s="465" t="s">
        <v>238</v>
      </c>
      <c r="E302" s="465" t="s">
        <v>907</v>
      </c>
      <c r="F302" s="465"/>
      <c r="G302" s="463">
        <f>G303</f>
        <v>0</v>
      </c>
      <c r="H302" s="518"/>
      <c r="I302" s="471"/>
      <c r="J302" s="499"/>
      <c r="K302" s="471"/>
    </row>
    <row r="303" spans="1:12" ht="47.25" hidden="1" customHeight="1" x14ac:dyDescent="0.25">
      <c r="A303" s="466" t="s">
        <v>1097</v>
      </c>
      <c r="B303" s="460">
        <v>903</v>
      </c>
      <c r="C303" s="462" t="s">
        <v>150</v>
      </c>
      <c r="D303" s="462" t="s">
        <v>238</v>
      </c>
      <c r="E303" s="462" t="s">
        <v>1323</v>
      </c>
      <c r="F303" s="462"/>
      <c r="G303" s="467">
        <f>G304</f>
        <v>0</v>
      </c>
      <c r="H303" s="518"/>
      <c r="I303" s="471"/>
      <c r="J303" s="499"/>
      <c r="K303" s="471"/>
      <c r="L303" s="204"/>
    </row>
    <row r="304" spans="1:12" ht="21.2" hidden="1" customHeight="1" x14ac:dyDescent="0.25">
      <c r="A304" s="466" t="s">
        <v>248</v>
      </c>
      <c r="B304" s="460">
        <v>903</v>
      </c>
      <c r="C304" s="462" t="s">
        <v>150</v>
      </c>
      <c r="D304" s="462" t="s">
        <v>238</v>
      </c>
      <c r="E304" s="462" t="s">
        <v>1323</v>
      </c>
      <c r="F304" s="462" t="s">
        <v>249</v>
      </c>
      <c r="G304" s="467">
        <f>G305</f>
        <v>0</v>
      </c>
      <c r="H304" s="518"/>
      <c r="I304" s="471"/>
      <c r="J304" s="499"/>
      <c r="K304" s="471"/>
      <c r="L304" s="204"/>
    </row>
    <row r="305" spans="1:12" ht="29.25" hidden="1" customHeight="1" x14ac:dyDescent="0.25">
      <c r="A305" s="466" t="s">
        <v>250</v>
      </c>
      <c r="B305" s="460">
        <v>903</v>
      </c>
      <c r="C305" s="462" t="s">
        <v>150</v>
      </c>
      <c r="D305" s="462" t="s">
        <v>238</v>
      </c>
      <c r="E305" s="462" t="s">
        <v>1323</v>
      </c>
      <c r="F305" s="462" t="s">
        <v>251</v>
      </c>
      <c r="G305" s="467">
        <v>0</v>
      </c>
      <c r="H305" s="518"/>
      <c r="I305" s="471"/>
      <c r="J305" s="499"/>
      <c r="K305" s="471"/>
      <c r="L305" s="204"/>
    </row>
    <row r="306" spans="1:12" s="204" customFormat="1" ht="33" hidden="1" customHeight="1" x14ac:dyDescent="0.25">
      <c r="A306" s="464" t="s">
        <v>1043</v>
      </c>
      <c r="B306" s="461">
        <v>903</v>
      </c>
      <c r="C306" s="465" t="s">
        <v>150</v>
      </c>
      <c r="D306" s="465" t="s">
        <v>238</v>
      </c>
      <c r="E306" s="465" t="s">
        <v>1204</v>
      </c>
      <c r="F306" s="465"/>
      <c r="G306" s="463">
        <f>G307</f>
        <v>0</v>
      </c>
      <c r="H306" s="518"/>
      <c r="I306" s="471"/>
      <c r="J306" s="499"/>
      <c r="K306" s="471"/>
    </row>
    <row r="307" spans="1:12" s="204" customFormat="1" ht="94.5" hidden="1" x14ac:dyDescent="0.25">
      <c r="A307" s="466" t="s">
        <v>373</v>
      </c>
      <c r="B307" s="460">
        <v>903</v>
      </c>
      <c r="C307" s="462" t="s">
        <v>150</v>
      </c>
      <c r="D307" s="462" t="s">
        <v>238</v>
      </c>
      <c r="E307" s="462" t="s">
        <v>1205</v>
      </c>
      <c r="F307" s="462"/>
      <c r="G307" s="467">
        <f>G308</f>
        <v>0</v>
      </c>
      <c r="H307" s="518"/>
      <c r="I307" s="471"/>
      <c r="J307" s="499"/>
      <c r="K307" s="471"/>
    </row>
    <row r="308" spans="1:12" s="204" customFormat="1" ht="39.200000000000003" hidden="1" customHeight="1" x14ac:dyDescent="0.25">
      <c r="A308" s="466" t="s">
        <v>272</v>
      </c>
      <c r="B308" s="460">
        <v>903</v>
      </c>
      <c r="C308" s="462" t="s">
        <v>150</v>
      </c>
      <c r="D308" s="462" t="s">
        <v>238</v>
      </c>
      <c r="E308" s="462" t="s">
        <v>1205</v>
      </c>
      <c r="F308" s="462" t="s">
        <v>273</v>
      </c>
      <c r="G308" s="467">
        <f>G309</f>
        <v>0</v>
      </c>
      <c r="H308" s="518"/>
      <c r="I308" s="471"/>
      <c r="J308" s="499"/>
      <c r="K308" s="471"/>
    </row>
    <row r="309" spans="1:12" s="204" customFormat="1" ht="73.5" hidden="1" customHeight="1" x14ac:dyDescent="0.25">
      <c r="A309" s="466" t="s">
        <v>1093</v>
      </c>
      <c r="B309" s="460">
        <v>903</v>
      </c>
      <c r="C309" s="462" t="s">
        <v>150</v>
      </c>
      <c r="D309" s="462" t="s">
        <v>238</v>
      </c>
      <c r="E309" s="462" t="s">
        <v>1205</v>
      </c>
      <c r="F309" s="462" t="s">
        <v>372</v>
      </c>
      <c r="G309" s="384">
        <f>8.6+200-200-8.6</f>
        <v>0</v>
      </c>
      <c r="H309" s="527"/>
      <c r="I309" s="471"/>
      <c r="J309" s="499"/>
      <c r="K309" s="471"/>
    </row>
    <row r="310" spans="1:12" s="204" customFormat="1" ht="21.2" hidden="1" customHeight="1" x14ac:dyDescent="0.25">
      <c r="A310" s="464" t="s">
        <v>995</v>
      </c>
      <c r="B310" s="461">
        <v>903</v>
      </c>
      <c r="C310" s="465" t="s">
        <v>150</v>
      </c>
      <c r="D310" s="465" t="s">
        <v>238</v>
      </c>
      <c r="E310" s="465" t="s">
        <v>1315</v>
      </c>
      <c r="F310" s="465"/>
      <c r="G310" s="463">
        <f>G311</f>
        <v>0</v>
      </c>
      <c r="H310" s="518"/>
      <c r="I310" s="471"/>
      <c r="J310" s="499"/>
      <c r="K310" s="471"/>
    </row>
    <row r="311" spans="1:12" s="204" customFormat="1" ht="41.25" hidden="1" customHeight="1" x14ac:dyDescent="0.25">
      <c r="A311" s="466" t="s">
        <v>377</v>
      </c>
      <c r="B311" s="460">
        <v>903</v>
      </c>
      <c r="C311" s="462" t="s">
        <v>150</v>
      </c>
      <c r="D311" s="462" t="s">
        <v>238</v>
      </c>
      <c r="E311" s="462" t="s">
        <v>1316</v>
      </c>
      <c r="F311" s="462"/>
      <c r="G311" s="467">
        <f>G312</f>
        <v>0</v>
      </c>
      <c r="H311" s="518"/>
      <c r="I311" s="471"/>
      <c r="J311" s="499"/>
      <c r="K311" s="471"/>
    </row>
    <row r="312" spans="1:12" s="204" customFormat="1" ht="29.25" hidden="1" customHeight="1" x14ac:dyDescent="0.25">
      <c r="A312" s="466" t="s">
        <v>131</v>
      </c>
      <c r="B312" s="460">
        <v>903</v>
      </c>
      <c r="C312" s="462" t="s">
        <v>150</v>
      </c>
      <c r="D312" s="462" t="s">
        <v>238</v>
      </c>
      <c r="E312" s="462" t="s">
        <v>1316</v>
      </c>
      <c r="F312" s="462" t="s">
        <v>132</v>
      </c>
      <c r="G312" s="467">
        <f>G313</f>
        <v>0</v>
      </c>
      <c r="H312" s="518"/>
      <c r="I312" s="471"/>
      <c r="J312" s="499"/>
      <c r="K312" s="471"/>
    </row>
    <row r="313" spans="1:12" s="204" customFormat="1" ht="29.25" hidden="1" customHeight="1" x14ac:dyDescent="0.25">
      <c r="A313" s="466" t="s">
        <v>133</v>
      </c>
      <c r="B313" s="460">
        <v>903</v>
      </c>
      <c r="C313" s="462" t="s">
        <v>150</v>
      </c>
      <c r="D313" s="462" t="s">
        <v>238</v>
      </c>
      <c r="E313" s="462" t="s">
        <v>1316</v>
      </c>
      <c r="F313" s="462" t="s">
        <v>134</v>
      </c>
      <c r="G313" s="467">
        <v>0</v>
      </c>
      <c r="H313" s="518"/>
      <c r="I313" s="471"/>
      <c r="J313" s="499"/>
      <c r="K313" s="471"/>
    </row>
    <row r="314" spans="1:12" s="204" customFormat="1" ht="33.75" hidden="1" customHeight="1" x14ac:dyDescent="0.25">
      <c r="A314" s="473" t="s">
        <v>1106</v>
      </c>
      <c r="B314" s="461">
        <v>903</v>
      </c>
      <c r="C314" s="465" t="s">
        <v>150</v>
      </c>
      <c r="D314" s="465" t="s">
        <v>238</v>
      </c>
      <c r="E314" s="465" t="s">
        <v>1206</v>
      </c>
      <c r="F314" s="465"/>
      <c r="G314" s="463">
        <f>G315</f>
        <v>0</v>
      </c>
      <c r="H314" s="518"/>
      <c r="I314" s="471"/>
      <c r="J314" s="499"/>
      <c r="K314" s="471"/>
    </row>
    <row r="315" spans="1:12" s="204" customFormat="1" ht="29.25" hidden="1" customHeight="1" x14ac:dyDescent="0.25">
      <c r="A315" s="230" t="s">
        <v>1153</v>
      </c>
      <c r="B315" s="460">
        <v>903</v>
      </c>
      <c r="C315" s="462" t="s">
        <v>150</v>
      </c>
      <c r="D315" s="462" t="s">
        <v>238</v>
      </c>
      <c r="E315" s="462" t="s">
        <v>1207</v>
      </c>
      <c r="F315" s="462"/>
      <c r="G315" s="467">
        <f>G316</f>
        <v>0</v>
      </c>
      <c r="H315" s="518"/>
      <c r="I315" s="471"/>
      <c r="J315" s="499"/>
      <c r="K315" s="471"/>
    </row>
    <row r="316" spans="1:12" s="204" customFormat="1" ht="29.25" hidden="1" customHeight="1" x14ac:dyDescent="0.25">
      <c r="A316" s="466" t="s">
        <v>131</v>
      </c>
      <c r="B316" s="460">
        <v>903</v>
      </c>
      <c r="C316" s="462" t="s">
        <v>150</v>
      </c>
      <c r="D316" s="462" t="s">
        <v>238</v>
      </c>
      <c r="E316" s="462" t="s">
        <v>1207</v>
      </c>
      <c r="F316" s="462" t="s">
        <v>132</v>
      </c>
      <c r="G316" s="467">
        <f>G317</f>
        <v>0</v>
      </c>
      <c r="H316" s="518"/>
      <c r="I316" s="471"/>
      <c r="J316" s="499"/>
      <c r="K316" s="471"/>
    </row>
    <row r="317" spans="1:12" s="204" customFormat="1" ht="29.25" hidden="1" customHeight="1" x14ac:dyDescent="0.25">
      <c r="A317" s="466" t="s">
        <v>133</v>
      </c>
      <c r="B317" s="460">
        <v>903</v>
      </c>
      <c r="C317" s="462" t="s">
        <v>150</v>
      </c>
      <c r="D317" s="462" t="s">
        <v>238</v>
      </c>
      <c r="E317" s="462" t="s">
        <v>1207</v>
      </c>
      <c r="F317" s="462" t="s">
        <v>134</v>
      </c>
      <c r="G317" s="467">
        <v>0</v>
      </c>
      <c r="H317" s="518"/>
      <c r="I317" s="471"/>
      <c r="J317" s="499"/>
      <c r="K317" s="471"/>
    </row>
    <row r="318" spans="1:12" ht="15.75" x14ac:dyDescent="0.25">
      <c r="A318" s="464" t="s">
        <v>263</v>
      </c>
      <c r="B318" s="461">
        <v>903</v>
      </c>
      <c r="C318" s="465" t="s">
        <v>264</v>
      </c>
      <c r="D318" s="462"/>
      <c r="E318" s="462"/>
      <c r="F318" s="462"/>
      <c r="G318" s="463">
        <f>G319+G368+G391</f>
        <v>19961.070000000003</v>
      </c>
      <c r="H318" s="518"/>
      <c r="I318" s="471"/>
      <c r="J318" s="499"/>
      <c r="K318" s="471"/>
      <c r="L318" s="204"/>
    </row>
    <row r="319" spans="1:12" ht="15.75" x14ac:dyDescent="0.25">
      <c r="A319" s="464" t="s">
        <v>265</v>
      </c>
      <c r="B319" s="461">
        <v>903</v>
      </c>
      <c r="C319" s="465" t="s">
        <v>264</v>
      </c>
      <c r="D319" s="465" t="s">
        <v>215</v>
      </c>
      <c r="E319" s="465"/>
      <c r="F319" s="465"/>
      <c r="G319" s="463">
        <f>G320+G363+G358</f>
        <v>18593.520000000004</v>
      </c>
      <c r="H319" s="518"/>
      <c r="I319" s="471"/>
      <c r="J319" s="499"/>
      <c r="K319" s="471"/>
      <c r="L319" s="204"/>
    </row>
    <row r="320" spans="1:12" ht="31.5" x14ac:dyDescent="0.25">
      <c r="A320" s="464" t="s">
        <v>1362</v>
      </c>
      <c r="B320" s="461">
        <v>903</v>
      </c>
      <c r="C320" s="465" t="s">
        <v>264</v>
      </c>
      <c r="D320" s="465" t="s">
        <v>215</v>
      </c>
      <c r="E320" s="465" t="s">
        <v>267</v>
      </c>
      <c r="F320" s="465"/>
      <c r="G320" s="463">
        <f>G321+G335+G344+G348</f>
        <v>18089.620000000003</v>
      </c>
      <c r="H320" s="518"/>
      <c r="I320" s="471"/>
      <c r="J320" s="499"/>
      <c r="K320" s="471"/>
      <c r="L320" s="204"/>
    </row>
    <row r="321" spans="1:12" s="204" customFormat="1" ht="31.5" x14ac:dyDescent="0.25">
      <c r="A321" s="464" t="s">
        <v>1304</v>
      </c>
      <c r="B321" s="461">
        <v>903</v>
      </c>
      <c r="C321" s="465" t="s">
        <v>264</v>
      </c>
      <c r="D321" s="465" t="s">
        <v>215</v>
      </c>
      <c r="E321" s="465" t="s">
        <v>1208</v>
      </c>
      <c r="F321" s="465"/>
      <c r="G321" s="44">
        <f>G322+G332+G329</f>
        <v>16445.52</v>
      </c>
      <c r="H321" s="518"/>
      <c r="I321" s="471"/>
      <c r="J321" s="499"/>
      <c r="K321" s="471"/>
    </row>
    <row r="322" spans="1:12" s="204" customFormat="1" ht="15.75" x14ac:dyDescent="0.25">
      <c r="A322" s="466" t="s">
        <v>800</v>
      </c>
      <c r="B322" s="460">
        <v>903</v>
      </c>
      <c r="C322" s="462" t="s">
        <v>264</v>
      </c>
      <c r="D322" s="462" t="s">
        <v>215</v>
      </c>
      <c r="E322" s="462" t="s">
        <v>1209</v>
      </c>
      <c r="F322" s="462"/>
      <c r="G322" s="27">
        <f>G323+G325+G327</f>
        <v>8029.82</v>
      </c>
      <c r="H322" s="518"/>
      <c r="I322" s="471"/>
      <c r="J322" s="499"/>
      <c r="K322" s="471"/>
    </row>
    <row r="323" spans="1:12" s="204" customFormat="1" ht="63" x14ac:dyDescent="0.25">
      <c r="A323" s="466" t="s">
        <v>127</v>
      </c>
      <c r="B323" s="460">
        <v>903</v>
      </c>
      <c r="C323" s="462" t="s">
        <v>264</v>
      </c>
      <c r="D323" s="462" t="s">
        <v>215</v>
      </c>
      <c r="E323" s="462" t="s">
        <v>1209</v>
      </c>
      <c r="F323" s="462" t="s">
        <v>128</v>
      </c>
      <c r="G323" s="27">
        <f>G324</f>
        <v>6013.12</v>
      </c>
      <c r="H323" s="518"/>
      <c r="I323" s="471"/>
      <c r="J323" s="499"/>
      <c r="K323" s="471"/>
    </row>
    <row r="324" spans="1:12" s="204" customFormat="1" ht="15.75" x14ac:dyDescent="0.25">
      <c r="A324" s="46" t="s">
        <v>342</v>
      </c>
      <c r="B324" s="460">
        <v>903</v>
      </c>
      <c r="C324" s="462" t="s">
        <v>264</v>
      </c>
      <c r="D324" s="462" t="s">
        <v>215</v>
      </c>
      <c r="E324" s="462" t="s">
        <v>1209</v>
      </c>
      <c r="F324" s="462" t="s">
        <v>209</v>
      </c>
      <c r="G324" s="27">
        <f>7440.82-126+5.9-120.3+5.4+11.1-300-500-100+2.4+21.3-625.2-62.4-62.9+423</f>
        <v>6013.12</v>
      </c>
      <c r="H324" s="519"/>
      <c r="I324" s="471"/>
      <c r="J324" s="499"/>
      <c r="K324" s="471"/>
    </row>
    <row r="325" spans="1:12" s="204" customFormat="1" ht="31.5" x14ac:dyDescent="0.25">
      <c r="A325" s="466" t="s">
        <v>131</v>
      </c>
      <c r="B325" s="460">
        <v>903</v>
      </c>
      <c r="C325" s="462" t="s">
        <v>264</v>
      </c>
      <c r="D325" s="462" t="s">
        <v>215</v>
      </c>
      <c r="E325" s="462" t="s">
        <v>1209</v>
      </c>
      <c r="F325" s="462" t="s">
        <v>132</v>
      </c>
      <c r="G325" s="27">
        <f>G326</f>
        <v>1962.3</v>
      </c>
      <c r="H325" s="518"/>
      <c r="I325" s="471"/>
      <c r="J325" s="499"/>
      <c r="K325" s="471"/>
    </row>
    <row r="326" spans="1:12" s="204" customFormat="1" ht="31.5" x14ac:dyDescent="0.25">
      <c r="A326" s="466" t="s">
        <v>133</v>
      </c>
      <c r="B326" s="460">
        <v>903</v>
      </c>
      <c r="C326" s="462" t="s">
        <v>264</v>
      </c>
      <c r="D326" s="462" t="s">
        <v>215</v>
      </c>
      <c r="E326" s="462" t="s">
        <v>1209</v>
      </c>
      <c r="F326" s="462" t="s">
        <v>134</v>
      </c>
      <c r="G326" s="27">
        <f>1906.9-303.2-30-60-17-15+60+10+189.5+68+40-38+38+6.1+46.6-11.1-15+35.5+28.6+3.6+89.5-100-3+4.9+10.4+40.2+22.6-69.1+15.3+8</f>
        <v>1962.3</v>
      </c>
      <c r="H326" s="519"/>
      <c r="I326" s="162"/>
      <c r="J326" s="499"/>
      <c r="K326" s="471"/>
    </row>
    <row r="327" spans="1:12" s="204" customFormat="1" ht="15.75" x14ac:dyDescent="0.25">
      <c r="A327" s="466" t="s">
        <v>135</v>
      </c>
      <c r="B327" s="460">
        <v>903</v>
      </c>
      <c r="C327" s="462" t="s">
        <v>264</v>
      </c>
      <c r="D327" s="462" t="s">
        <v>215</v>
      </c>
      <c r="E327" s="462" t="s">
        <v>1209</v>
      </c>
      <c r="F327" s="462" t="s">
        <v>145</v>
      </c>
      <c r="G327" s="27">
        <f>G328</f>
        <v>54.400000000000006</v>
      </c>
      <c r="H327" s="518"/>
      <c r="I327" s="119"/>
      <c r="J327" s="499"/>
      <c r="K327" s="471"/>
    </row>
    <row r="328" spans="1:12" s="204" customFormat="1" ht="15.75" x14ac:dyDescent="0.25">
      <c r="A328" s="466" t="s">
        <v>704</v>
      </c>
      <c r="B328" s="460">
        <v>903</v>
      </c>
      <c r="C328" s="462" t="s">
        <v>264</v>
      </c>
      <c r="D328" s="462" t="s">
        <v>215</v>
      </c>
      <c r="E328" s="462" t="s">
        <v>1209</v>
      </c>
      <c r="F328" s="462" t="s">
        <v>138</v>
      </c>
      <c r="G328" s="27">
        <f>78-11.2+8.2-6.8-13.8</f>
        <v>54.400000000000006</v>
      </c>
      <c r="H328" s="519"/>
      <c r="I328" s="471"/>
      <c r="J328" s="499"/>
      <c r="K328" s="471"/>
    </row>
    <row r="329" spans="1:12" s="204" customFormat="1" ht="47.25" x14ac:dyDescent="0.25">
      <c r="A329" s="466" t="s">
        <v>1776</v>
      </c>
      <c r="B329" s="460">
        <v>903</v>
      </c>
      <c r="C329" s="462" t="s">
        <v>264</v>
      </c>
      <c r="D329" s="462" t="s">
        <v>215</v>
      </c>
      <c r="E329" s="462" t="s">
        <v>1777</v>
      </c>
      <c r="F329" s="462"/>
      <c r="G329" s="27">
        <f>G330</f>
        <v>182.9</v>
      </c>
      <c r="H329" s="521"/>
      <c r="I329" s="471"/>
      <c r="J329" s="499"/>
      <c r="K329" s="471"/>
    </row>
    <row r="330" spans="1:12" s="204" customFormat="1" ht="63" x14ac:dyDescent="0.25">
      <c r="A330" s="466" t="s">
        <v>127</v>
      </c>
      <c r="B330" s="460">
        <v>903</v>
      </c>
      <c r="C330" s="462" t="s">
        <v>264</v>
      </c>
      <c r="D330" s="462" t="s">
        <v>215</v>
      </c>
      <c r="E330" s="462" t="s">
        <v>1777</v>
      </c>
      <c r="F330" s="462" t="s">
        <v>128</v>
      </c>
      <c r="G330" s="27">
        <f>G331</f>
        <v>182.9</v>
      </c>
      <c r="H330" s="521"/>
      <c r="I330" s="471"/>
      <c r="J330" s="499"/>
      <c r="K330" s="471"/>
    </row>
    <row r="331" spans="1:12" s="204" customFormat="1" ht="15.75" x14ac:dyDescent="0.25">
      <c r="A331" s="46" t="s">
        <v>342</v>
      </c>
      <c r="B331" s="460">
        <v>903</v>
      </c>
      <c r="C331" s="462" t="s">
        <v>264</v>
      </c>
      <c r="D331" s="462" t="s">
        <v>215</v>
      </c>
      <c r="E331" s="462" t="s">
        <v>1777</v>
      </c>
      <c r="F331" s="462" t="s">
        <v>209</v>
      </c>
      <c r="G331" s="27">
        <v>182.9</v>
      </c>
      <c r="H331" s="521"/>
      <c r="I331" s="471"/>
      <c r="J331" s="499"/>
      <c r="K331" s="471"/>
    </row>
    <row r="332" spans="1:12" s="204" customFormat="1" ht="22.7" customHeight="1" x14ac:dyDescent="0.25">
      <c r="A332" s="31" t="s">
        <v>1522</v>
      </c>
      <c r="B332" s="460">
        <v>903</v>
      </c>
      <c r="C332" s="462" t="s">
        <v>264</v>
      </c>
      <c r="D332" s="462" t="s">
        <v>215</v>
      </c>
      <c r="E332" s="462" t="s">
        <v>1494</v>
      </c>
      <c r="F332" s="462"/>
      <c r="G332" s="467">
        <f>G333</f>
        <v>8232.8000000000011</v>
      </c>
      <c r="H332" s="518"/>
      <c r="I332" s="471"/>
      <c r="J332" s="499"/>
      <c r="K332" s="471"/>
    </row>
    <row r="333" spans="1:12" s="204" customFormat="1" ht="63" x14ac:dyDescent="0.25">
      <c r="A333" s="466" t="s">
        <v>127</v>
      </c>
      <c r="B333" s="460">
        <v>903</v>
      </c>
      <c r="C333" s="462" t="s">
        <v>264</v>
      </c>
      <c r="D333" s="462" t="s">
        <v>215</v>
      </c>
      <c r="E333" s="462" t="s">
        <v>1494</v>
      </c>
      <c r="F333" s="462" t="s">
        <v>128</v>
      </c>
      <c r="G333" s="467">
        <f>G334</f>
        <v>8232.8000000000011</v>
      </c>
      <c r="H333" s="518"/>
      <c r="I333" s="471"/>
      <c r="J333" s="499"/>
      <c r="K333" s="471"/>
    </row>
    <row r="334" spans="1:12" s="204" customFormat="1" ht="15.75" x14ac:dyDescent="0.25">
      <c r="A334" s="466" t="s">
        <v>208</v>
      </c>
      <c r="B334" s="460">
        <v>903</v>
      </c>
      <c r="C334" s="462" t="s">
        <v>264</v>
      </c>
      <c r="D334" s="462" t="s">
        <v>215</v>
      </c>
      <c r="E334" s="462" t="s">
        <v>1494</v>
      </c>
      <c r="F334" s="462" t="s">
        <v>209</v>
      </c>
      <c r="G334" s="467">
        <f>6346.52+1155.4-582.82-146.9+77.6+137.6+85+579.1+600-143+124.3</f>
        <v>8232.8000000000011</v>
      </c>
      <c r="H334" s="519"/>
      <c r="I334" s="471"/>
      <c r="J334" s="499"/>
      <c r="K334" s="471"/>
    </row>
    <row r="335" spans="1:12" s="204" customFormat="1" ht="29.25" customHeight="1" x14ac:dyDescent="0.25">
      <c r="A335" s="215" t="s">
        <v>1307</v>
      </c>
      <c r="B335" s="461">
        <v>903</v>
      </c>
      <c r="C335" s="465" t="s">
        <v>264</v>
      </c>
      <c r="D335" s="465" t="s">
        <v>215</v>
      </c>
      <c r="E335" s="465" t="s">
        <v>1210</v>
      </c>
      <c r="F335" s="465"/>
      <c r="G335" s="44">
        <f>G336+G339</f>
        <v>335.5</v>
      </c>
      <c r="H335" s="518"/>
      <c r="I335" s="471"/>
      <c r="J335" s="499"/>
      <c r="K335" s="471"/>
    </row>
    <row r="336" spans="1:12" ht="15.75" x14ac:dyDescent="0.25">
      <c r="A336" s="195" t="s">
        <v>799</v>
      </c>
      <c r="B336" s="460">
        <v>903</v>
      </c>
      <c r="C336" s="462" t="s">
        <v>264</v>
      </c>
      <c r="D336" s="462" t="s">
        <v>215</v>
      </c>
      <c r="E336" s="462" t="s">
        <v>1211</v>
      </c>
      <c r="F336" s="462"/>
      <c r="G336" s="27">
        <f>G337</f>
        <v>45</v>
      </c>
      <c r="H336" s="518"/>
      <c r="I336" s="471"/>
      <c r="J336" s="499"/>
      <c r="K336" s="471"/>
      <c r="L336" s="204"/>
    </row>
    <row r="337" spans="1:12" ht="15.75" x14ac:dyDescent="0.25">
      <c r="A337" s="466" t="s">
        <v>248</v>
      </c>
      <c r="B337" s="460">
        <v>903</v>
      </c>
      <c r="C337" s="462" t="s">
        <v>264</v>
      </c>
      <c r="D337" s="462" t="s">
        <v>215</v>
      </c>
      <c r="E337" s="462" t="s">
        <v>1211</v>
      </c>
      <c r="F337" s="462" t="s">
        <v>249</v>
      </c>
      <c r="G337" s="27">
        <f>G338</f>
        <v>45</v>
      </c>
      <c r="H337" s="518"/>
      <c r="I337" s="471"/>
      <c r="J337" s="499"/>
      <c r="K337" s="471"/>
      <c r="L337" s="204"/>
    </row>
    <row r="338" spans="1:12" ht="15.75" x14ac:dyDescent="0.25">
      <c r="A338" s="466" t="s">
        <v>820</v>
      </c>
      <c r="B338" s="460">
        <v>903</v>
      </c>
      <c r="C338" s="462" t="s">
        <v>264</v>
      </c>
      <c r="D338" s="462" t="s">
        <v>215</v>
      </c>
      <c r="E338" s="462" t="s">
        <v>1211</v>
      </c>
      <c r="F338" s="462" t="s">
        <v>819</v>
      </c>
      <c r="G338" s="27">
        <v>45</v>
      </c>
      <c r="H338" s="518"/>
      <c r="I338" s="471"/>
      <c r="J338" s="499"/>
      <c r="K338" s="471"/>
      <c r="L338" s="204"/>
    </row>
    <row r="339" spans="1:12" ht="36" customHeight="1" x14ac:dyDescent="0.25">
      <c r="A339" s="31" t="s">
        <v>816</v>
      </c>
      <c r="B339" s="460">
        <v>903</v>
      </c>
      <c r="C339" s="462" t="s">
        <v>264</v>
      </c>
      <c r="D339" s="462" t="s">
        <v>215</v>
      </c>
      <c r="E339" s="462" t="s">
        <v>1212</v>
      </c>
      <c r="F339" s="462"/>
      <c r="G339" s="27">
        <f>G342+G340</f>
        <v>290.5</v>
      </c>
      <c r="H339" s="518"/>
      <c r="I339" s="471"/>
      <c r="J339" s="499"/>
      <c r="K339" s="471"/>
      <c r="L339" s="204"/>
    </row>
    <row r="340" spans="1:12" ht="63" x14ac:dyDescent="0.25">
      <c r="A340" s="466" t="s">
        <v>127</v>
      </c>
      <c r="B340" s="460">
        <v>903</v>
      </c>
      <c r="C340" s="462" t="s">
        <v>264</v>
      </c>
      <c r="D340" s="462" t="s">
        <v>215</v>
      </c>
      <c r="E340" s="462" t="s">
        <v>1212</v>
      </c>
      <c r="F340" s="462" t="s">
        <v>128</v>
      </c>
      <c r="G340" s="27">
        <f>G341</f>
        <v>290.5</v>
      </c>
      <c r="H340" s="518"/>
      <c r="I340" s="471"/>
      <c r="J340" s="499"/>
      <c r="K340" s="471"/>
      <c r="L340" s="204"/>
    </row>
    <row r="341" spans="1:12" ht="24.75" customHeight="1" x14ac:dyDescent="0.25">
      <c r="A341" s="46" t="s">
        <v>342</v>
      </c>
      <c r="B341" s="460">
        <v>903</v>
      </c>
      <c r="C341" s="462" t="s">
        <v>264</v>
      </c>
      <c r="D341" s="462" t="s">
        <v>215</v>
      </c>
      <c r="E341" s="462" t="s">
        <v>1212</v>
      </c>
      <c r="F341" s="462" t="s">
        <v>209</v>
      </c>
      <c r="G341" s="27">
        <f>264.6-14.6+57.5-4.7-12.3</f>
        <v>290.5</v>
      </c>
      <c r="H341" s="519"/>
      <c r="I341" s="471"/>
      <c r="J341" s="499"/>
      <c r="K341" s="471"/>
      <c r="L341" s="204"/>
    </row>
    <row r="342" spans="1:12" ht="30.75" hidden="1" customHeight="1" x14ac:dyDescent="0.25">
      <c r="A342" s="466" t="s">
        <v>131</v>
      </c>
      <c r="B342" s="460">
        <v>903</v>
      </c>
      <c r="C342" s="462" t="s">
        <v>264</v>
      </c>
      <c r="D342" s="462" t="s">
        <v>215</v>
      </c>
      <c r="E342" s="462" t="s">
        <v>1212</v>
      </c>
      <c r="F342" s="462" t="s">
        <v>132</v>
      </c>
      <c r="G342" s="27">
        <f>G343</f>
        <v>0</v>
      </c>
      <c r="H342" s="518"/>
      <c r="I342" s="471"/>
      <c r="J342" s="499"/>
      <c r="K342" s="471"/>
      <c r="L342" s="204"/>
    </row>
    <row r="343" spans="1:12" ht="39.200000000000003" hidden="1" customHeight="1" x14ac:dyDescent="0.25">
      <c r="A343" s="466" t="s">
        <v>133</v>
      </c>
      <c r="B343" s="460">
        <v>903</v>
      </c>
      <c r="C343" s="462" t="s">
        <v>264</v>
      </c>
      <c r="D343" s="462" t="s">
        <v>215</v>
      </c>
      <c r="E343" s="462" t="s">
        <v>1212</v>
      </c>
      <c r="F343" s="462" t="s">
        <v>134</v>
      </c>
      <c r="G343" s="27">
        <f>300-300</f>
        <v>0</v>
      </c>
      <c r="H343" s="518"/>
      <c r="I343" s="471"/>
      <c r="J343" s="499"/>
      <c r="K343" s="471"/>
      <c r="L343" s="204"/>
    </row>
    <row r="344" spans="1:12" s="204" customFormat="1" ht="39.200000000000003" customHeight="1" x14ac:dyDescent="0.25">
      <c r="A344" s="464" t="s">
        <v>947</v>
      </c>
      <c r="B344" s="461">
        <v>903</v>
      </c>
      <c r="C344" s="465" t="s">
        <v>264</v>
      </c>
      <c r="D344" s="465" t="s">
        <v>215</v>
      </c>
      <c r="E344" s="465" t="s">
        <v>1213</v>
      </c>
      <c r="F344" s="465"/>
      <c r="G344" s="44">
        <f>G345</f>
        <v>233.20000000000002</v>
      </c>
      <c r="H344" s="518"/>
      <c r="I344" s="471"/>
      <c r="J344" s="499"/>
      <c r="K344" s="471"/>
    </row>
    <row r="345" spans="1:12" s="204" customFormat="1" ht="39.200000000000003" customHeight="1" x14ac:dyDescent="0.25">
      <c r="A345" s="466" t="s">
        <v>839</v>
      </c>
      <c r="B345" s="460">
        <v>903</v>
      </c>
      <c r="C345" s="462" t="s">
        <v>264</v>
      </c>
      <c r="D345" s="462" t="s">
        <v>215</v>
      </c>
      <c r="E345" s="462" t="s">
        <v>1214</v>
      </c>
      <c r="F345" s="462"/>
      <c r="G345" s="467">
        <f>G346</f>
        <v>233.20000000000002</v>
      </c>
      <c r="H345" s="518"/>
      <c r="I345" s="471"/>
      <c r="J345" s="499"/>
      <c r="K345" s="471"/>
    </row>
    <row r="346" spans="1:12" s="204" customFormat="1" ht="70.5" customHeight="1" x14ac:dyDescent="0.25">
      <c r="A346" s="466" t="s">
        <v>127</v>
      </c>
      <c r="B346" s="460">
        <v>903</v>
      </c>
      <c r="C346" s="462" t="s">
        <v>264</v>
      </c>
      <c r="D346" s="462" t="s">
        <v>215</v>
      </c>
      <c r="E346" s="462" t="s">
        <v>1214</v>
      </c>
      <c r="F346" s="462" t="s">
        <v>128</v>
      </c>
      <c r="G346" s="467">
        <f>G347</f>
        <v>233.20000000000002</v>
      </c>
      <c r="H346" s="518"/>
      <c r="I346" s="471"/>
      <c r="J346" s="499"/>
      <c r="K346" s="471"/>
    </row>
    <row r="347" spans="1:12" s="204" customFormat="1" ht="19.7" customHeight="1" x14ac:dyDescent="0.25">
      <c r="A347" s="466" t="s">
        <v>342</v>
      </c>
      <c r="B347" s="460">
        <v>903</v>
      </c>
      <c r="C347" s="462" t="s">
        <v>264</v>
      </c>
      <c r="D347" s="462" t="s">
        <v>215</v>
      </c>
      <c r="E347" s="462" t="s">
        <v>1214</v>
      </c>
      <c r="F347" s="462" t="s">
        <v>209</v>
      </c>
      <c r="G347" s="467">
        <f>506-95.8-95.2-91+15.3-6.1</f>
        <v>233.20000000000002</v>
      </c>
      <c r="H347" s="519"/>
      <c r="I347" s="471"/>
      <c r="J347" s="499"/>
      <c r="K347" s="471"/>
    </row>
    <row r="348" spans="1:12" s="204" customFormat="1" ht="39.200000000000003" customHeight="1" x14ac:dyDescent="0.25">
      <c r="A348" s="464" t="s">
        <v>900</v>
      </c>
      <c r="B348" s="461">
        <v>903</v>
      </c>
      <c r="C348" s="465" t="s">
        <v>264</v>
      </c>
      <c r="D348" s="465" t="s">
        <v>215</v>
      </c>
      <c r="E348" s="465" t="s">
        <v>1215</v>
      </c>
      <c r="F348" s="465"/>
      <c r="G348" s="44">
        <f>G352+G355+G349</f>
        <v>1075.4000000000001</v>
      </c>
      <c r="H348" s="518"/>
      <c r="I348" s="471"/>
      <c r="J348" s="499"/>
      <c r="K348" s="471"/>
    </row>
    <row r="349" spans="1:12" s="204" customFormat="1" ht="85.7" customHeight="1" x14ac:dyDescent="0.25">
      <c r="A349" s="31" t="s">
        <v>293</v>
      </c>
      <c r="B349" s="460">
        <v>903</v>
      </c>
      <c r="C349" s="462" t="s">
        <v>264</v>
      </c>
      <c r="D349" s="462" t="s">
        <v>215</v>
      </c>
      <c r="E349" s="462" t="s">
        <v>1414</v>
      </c>
      <c r="F349" s="462"/>
      <c r="G349" s="467">
        <f>G350</f>
        <v>671</v>
      </c>
      <c r="H349" s="518"/>
      <c r="I349" s="471"/>
      <c r="J349" s="499"/>
      <c r="K349" s="471"/>
    </row>
    <row r="350" spans="1:12" s="204" customFormat="1" ht="61.15" customHeight="1" x14ac:dyDescent="0.25">
      <c r="A350" s="466" t="s">
        <v>127</v>
      </c>
      <c r="B350" s="460">
        <v>903</v>
      </c>
      <c r="C350" s="462" t="s">
        <v>264</v>
      </c>
      <c r="D350" s="462" t="s">
        <v>215</v>
      </c>
      <c r="E350" s="462" t="s">
        <v>1414</v>
      </c>
      <c r="F350" s="462" t="s">
        <v>128</v>
      </c>
      <c r="G350" s="467">
        <f>G351</f>
        <v>671</v>
      </c>
      <c r="H350" s="518"/>
      <c r="I350" s="471"/>
      <c r="J350" s="499"/>
      <c r="K350" s="471"/>
    </row>
    <row r="351" spans="1:12" s="204" customFormat="1" ht="19.149999999999999" customHeight="1" x14ac:dyDescent="0.25">
      <c r="A351" s="46" t="s">
        <v>342</v>
      </c>
      <c r="B351" s="460">
        <v>903</v>
      </c>
      <c r="C351" s="462" t="s">
        <v>264</v>
      </c>
      <c r="D351" s="462" t="s">
        <v>215</v>
      </c>
      <c r="E351" s="462" t="s">
        <v>1414</v>
      </c>
      <c r="F351" s="462" t="s">
        <v>209</v>
      </c>
      <c r="G351" s="467">
        <v>671</v>
      </c>
      <c r="H351" s="518"/>
      <c r="I351" s="471"/>
      <c r="J351" s="499"/>
      <c r="K351" s="471"/>
    </row>
    <row r="352" spans="1:12" s="204" customFormat="1" ht="51.75" customHeight="1" x14ac:dyDescent="0.25">
      <c r="A352" s="31" t="s">
        <v>289</v>
      </c>
      <c r="B352" s="460">
        <v>903</v>
      </c>
      <c r="C352" s="462" t="s">
        <v>264</v>
      </c>
      <c r="D352" s="462" t="s">
        <v>215</v>
      </c>
      <c r="E352" s="462" t="s">
        <v>1216</v>
      </c>
      <c r="F352" s="462"/>
      <c r="G352" s="467">
        <f>G353</f>
        <v>106</v>
      </c>
      <c r="H352" s="518"/>
      <c r="I352" s="471"/>
      <c r="J352" s="499"/>
      <c r="K352" s="471"/>
    </row>
    <row r="353" spans="1:12" s="204" customFormat="1" ht="70.5" customHeight="1" x14ac:dyDescent="0.25">
      <c r="A353" s="466" t="s">
        <v>127</v>
      </c>
      <c r="B353" s="460">
        <v>903</v>
      </c>
      <c r="C353" s="462" t="s">
        <v>264</v>
      </c>
      <c r="D353" s="462" t="s">
        <v>215</v>
      </c>
      <c r="E353" s="462" t="s">
        <v>1216</v>
      </c>
      <c r="F353" s="462" t="s">
        <v>128</v>
      </c>
      <c r="G353" s="467">
        <f>G354</f>
        <v>106</v>
      </c>
      <c r="H353" s="518"/>
      <c r="I353" s="471"/>
      <c r="J353" s="499"/>
      <c r="K353" s="471"/>
    </row>
    <row r="354" spans="1:12" s="204" customFormat="1" ht="21.75" customHeight="1" x14ac:dyDescent="0.25">
      <c r="A354" s="46" t="s">
        <v>342</v>
      </c>
      <c r="B354" s="460">
        <v>903</v>
      </c>
      <c r="C354" s="462" t="s">
        <v>264</v>
      </c>
      <c r="D354" s="462" t="s">
        <v>215</v>
      </c>
      <c r="E354" s="462" t="s">
        <v>1216</v>
      </c>
      <c r="F354" s="462" t="s">
        <v>209</v>
      </c>
      <c r="G354" s="467">
        <v>106</v>
      </c>
      <c r="H354" s="518"/>
      <c r="I354" s="471"/>
      <c r="J354" s="499"/>
      <c r="K354" s="471"/>
    </row>
    <row r="355" spans="1:12" s="204" customFormat="1" ht="55.7" customHeight="1" x14ac:dyDescent="0.25">
      <c r="A355" s="31" t="s">
        <v>291</v>
      </c>
      <c r="B355" s="460">
        <v>903</v>
      </c>
      <c r="C355" s="462" t="s">
        <v>264</v>
      </c>
      <c r="D355" s="462" t="s">
        <v>215</v>
      </c>
      <c r="E355" s="462" t="s">
        <v>1217</v>
      </c>
      <c r="F355" s="462"/>
      <c r="G355" s="467">
        <f>G356</f>
        <v>298.40000000000003</v>
      </c>
      <c r="H355" s="518"/>
      <c r="I355" s="471"/>
      <c r="J355" s="499"/>
      <c r="K355" s="471"/>
    </row>
    <row r="356" spans="1:12" s="204" customFormat="1" ht="69.75" customHeight="1" x14ac:dyDescent="0.25">
      <c r="A356" s="466" t="s">
        <v>127</v>
      </c>
      <c r="B356" s="460">
        <v>903</v>
      </c>
      <c r="C356" s="462" t="s">
        <v>264</v>
      </c>
      <c r="D356" s="462" t="s">
        <v>215</v>
      </c>
      <c r="E356" s="462" t="s">
        <v>1217</v>
      </c>
      <c r="F356" s="462" t="s">
        <v>128</v>
      </c>
      <c r="G356" s="467">
        <f>G357</f>
        <v>298.40000000000003</v>
      </c>
      <c r="H356" s="518"/>
      <c r="I356" s="471"/>
      <c r="J356" s="499"/>
      <c r="K356" s="471"/>
    </row>
    <row r="357" spans="1:12" s="204" customFormat="1" ht="21.2" customHeight="1" x14ac:dyDescent="0.25">
      <c r="A357" s="46" t="s">
        <v>342</v>
      </c>
      <c r="B357" s="460">
        <v>903</v>
      </c>
      <c r="C357" s="462" t="s">
        <v>264</v>
      </c>
      <c r="D357" s="462" t="s">
        <v>215</v>
      </c>
      <c r="E357" s="462" t="s">
        <v>1217</v>
      </c>
      <c r="F357" s="462" t="s">
        <v>209</v>
      </c>
      <c r="G357" s="467">
        <f>298.35+0.05</f>
        <v>298.40000000000003</v>
      </c>
      <c r="H357" s="518"/>
      <c r="I357" s="471"/>
      <c r="J357" s="499"/>
      <c r="K357" s="471"/>
    </row>
    <row r="358" spans="1:12" s="204" customFormat="1" ht="50.25" customHeight="1" x14ac:dyDescent="0.25">
      <c r="A358" s="34" t="s">
        <v>1368</v>
      </c>
      <c r="B358" s="461">
        <v>903</v>
      </c>
      <c r="C358" s="465" t="s">
        <v>264</v>
      </c>
      <c r="D358" s="465" t="s">
        <v>215</v>
      </c>
      <c r="E358" s="465" t="s">
        <v>324</v>
      </c>
      <c r="F358" s="465"/>
      <c r="G358" s="463">
        <f>G360</f>
        <v>9.5</v>
      </c>
      <c r="H358" s="518"/>
      <c r="I358" s="471"/>
      <c r="J358" s="499"/>
      <c r="K358" s="471"/>
    </row>
    <row r="359" spans="1:12" s="204" customFormat="1" ht="49.7" customHeight="1" x14ac:dyDescent="0.25">
      <c r="A359" s="34" t="s">
        <v>1025</v>
      </c>
      <c r="B359" s="461">
        <v>903</v>
      </c>
      <c r="C359" s="465" t="s">
        <v>264</v>
      </c>
      <c r="D359" s="465" t="s">
        <v>215</v>
      </c>
      <c r="E359" s="465" t="s">
        <v>934</v>
      </c>
      <c r="F359" s="465"/>
      <c r="G359" s="463">
        <f>G362</f>
        <v>9.5</v>
      </c>
      <c r="H359" s="518"/>
      <c r="I359" s="471"/>
      <c r="J359" s="499"/>
      <c r="K359" s="471"/>
    </row>
    <row r="360" spans="1:12" s="204" customFormat="1" ht="48.2" customHeight="1" x14ac:dyDescent="0.25">
      <c r="A360" s="31" t="s">
        <v>1083</v>
      </c>
      <c r="B360" s="460">
        <v>903</v>
      </c>
      <c r="C360" s="462" t="s">
        <v>264</v>
      </c>
      <c r="D360" s="462" t="s">
        <v>215</v>
      </c>
      <c r="E360" s="462" t="s">
        <v>1026</v>
      </c>
      <c r="F360" s="462"/>
      <c r="G360" s="467">
        <f>G361</f>
        <v>9.5</v>
      </c>
      <c r="H360" s="518"/>
      <c r="I360" s="471"/>
      <c r="J360" s="499"/>
      <c r="K360" s="471"/>
    </row>
    <row r="361" spans="1:12" s="204" customFormat="1" ht="31.9" customHeight="1" x14ac:dyDescent="0.25">
      <c r="A361" s="466" t="s">
        <v>131</v>
      </c>
      <c r="B361" s="460">
        <v>903</v>
      </c>
      <c r="C361" s="462" t="s">
        <v>264</v>
      </c>
      <c r="D361" s="462" t="s">
        <v>215</v>
      </c>
      <c r="E361" s="462" t="s">
        <v>1026</v>
      </c>
      <c r="F361" s="462" t="s">
        <v>132</v>
      </c>
      <c r="G361" s="467">
        <f>G362</f>
        <v>9.5</v>
      </c>
      <c r="H361" s="518"/>
      <c r="I361" s="471"/>
      <c r="J361" s="499"/>
      <c r="K361" s="471"/>
    </row>
    <row r="362" spans="1:12" s="204" customFormat="1" ht="34.700000000000003" customHeight="1" x14ac:dyDescent="0.25">
      <c r="A362" s="466" t="s">
        <v>133</v>
      </c>
      <c r="B362" s="460">
        <v>903</v>
      </c>
      <c r="C362" s="462" t="s">
        <v>264</v>
      </c>
      <c r="D362" s="462" t="s">
        <v>215</v>
      </c>
      <c r="E362" s="462" t="s">
        <v>1026</v>
      </c>
      <c r="F362" s="462" t="s">
        <v>134</v>
      </c>
      <c r="G362" s="467">
        <f>8+1.5</f>
        <v>9.5</v>
      </c>
      <c r="H362" s="518"/>
      <c r="I362" s="471"/>
      <c r="J362" s="499"/>
      <c r="K362" s="471"/>
    </row>
    <row r="363" spans="1:12" ht="51" customHeight="1" x14ac:dyDescent="0.25">
      <c r="A363" s="470" t="s">
        <v>1363</v>
      </c>
      <c r="B363" s="461">
        <v>903</v>
      </c>
      <c r="C363" s="465" t="s">
        <v>264</v>
      </c>
      <c r="D363" s="465" t="s">
        <v>215</v>
      </c>
      <c r="E363" s="465" t="s">
        <v>705</v>
      </c>
      <c r="F363" s="465"/>
      <c r="G363" s="463">
        <f>G365</f>
        <v>494.4</v>
      </c>
      <c r="H363" s="518"/>
      <c r="I363" s="471"/>
      <c r="J363" s="499"/>
      <c r="K363" s="471"/>
      <c r="L363" s="204"/>
    </row>
    <row r="364" spans="1:12" s="204" customFormat="1" ht="48.75" customHeight="1" x14ac:dyDescent="0.25">
      <c r="A364" s="470" t="s">
        <v>890</v>
      </c>
      <c r="B364" s="461">
        <v>903</v>
      </c>
      <c r="C364" s="465" t="s">
        <v>264</v>
      </c>
      <c r="D364" s="465" t="s">
        <v>215</v>
      </c>
      <c r="E364" s="465" t="s">
        <v>888</v>
      </c>
      <c r="F364" s="465"/>
      <c r="G364" s="463">
        <f>G365</f>
        <v>494.4</v>
      </c>
      <c r="H364" s="518"/>
      <c r="I364" s="471"/>
      <c r="J364" s="499"/>
      <c r="K364" s="471"/>
    </row>
    <row r="365" spans="1:12" ht="32.25" customHeight="1" x14ac:dyDescent="0.25">
      <c r="A365" s="98" t="s">
        <v>1004</v>
      </c>
      <c r="B365" s="462" t="s">
        <v>627</v>
      </c>
      <c r="C365" s="462" t="s">
        <v>264</v>
      </c>
      <c r="D365" s="462" t="s">
        <v>215</v>
      </c>
      <c r="E365" s="462" t="s">
        <v>889</v>
      </c>
      <c r="F365" s="468"/>
      <c r="G365" s="467">
        <f>G366</f>
        <v>494.4</v>
      </c>
      <c r="H365" s="518"/>
      <c r="I365" s="471"/>
      <c r="J365" s="499"/>
      <c r="K365" s="471"/>
      <c r="L365" s="204"/>
    </row>
    <row r="366" spans="1:12" ht="33" customHeight="1" x14ac:dyDescent="0.25">
      <c r="A366" s="466" t="s">
        <v>131</v>
      </c>
      <c r="B366" s="460">
        <v>903</v>
      </c>
      <c r="C366" s="462" t="s">
        <v>264</v>
      </c>
      <c r="D366" s="462" t="s">
        <v>215</v>
      </c>
      <c r="E366" s="462" t="s">
        <v>889</v>
      </c>
      <c r="F366" s="468" t="s">
        <v>132</v>
      </c>
      <c r="G366" s="467">
        <f>G367</f>
        <v>494.4</v>
      </c>
      <c r="H366" s="518"/>
      <c r="I366" s="471"/>
      <c r="J366" s="499"/>
      <c r="K366" s="471"/>
      <c r="L366" s="204"/>
    </row>
    <row r="367" spans="1:12" ht="34.5" customHeight="1" x14ac:dyDescent="0.25">
      <c r="A367" s="466" t="s">
        <v>133</v>
      </c>
      <c r="B367" s="460">
        <v>903</v>
      </c>
      <c r="C367" s="462" t="s">
        <v>264</v>
      </c>
      <c r="D367" s="462" t="s">
        <v>215</v>
      </c>
      <c r="E367" s="462" t="s">
        <v>889</v>
      </c>
      <c r="F367" s="468" t="s">
        <v>134</v>
      </c>
      <c r="G367" s="467">
        <f>471.3-223.9+148.5-71.4+84+187-101.1</f>
        <v>494.4</v>
      </c>
      <c r="H367" s="519"/>
      <c r="I367" s="471"/>
      <c r="J367" s="499"/>
      <c r="K367" s="499"/>
      <c r="L367" s="204"/>
    </row>
    <row r="368" spans="1:12" ht="19.5" customHeight="1" x14ac:dyDescent="0.25">
      <c r="A368" s="464" t="s">
        <v>466</v>
      </c>
      <c r="B368" s="461">
        <v>903</v>
      </c>
      <c r="C368" s="465" t="s">
        <v>264</v>
      </c>
      <c r="D368" s="465" t="s">
        <v>264</v>
      </c>
      <c r="E368" s="462"/>
      <c r="F368" s="462"/>
      <c r="G368" s="463">
        <f>G369</f>
        <v>1052.55</v>
      </c>
      <c r="H368" s="518"/>
      <c r="I368" s="471"/>
      <c r="J368" s="499"/>
      <c r="K368" s="471"/>
      <c r="L368" s="204"/>
    </row>
    <row r="369" spans="1:12" ht="50.25" customHeight="1" x14ac:dyDescent="0.25">
      <c r="A369" s="464" t="s">
        <v>1358</v>
      </c>
      <c r="B369" s="461">
        <v>903</v>
      </c>
      <c r="C369" s="465" t="s">
        <v>264</v>
      </c>
      <c r="D369" s="465" t="s">
        <v>264</v>
      </c>
      <c r="E369" s="465" t="s">
        <v>344</v>
      </c>
      <c r="F369" s="465"/>
      <c r="G369" s="463">
        <f>G370</f>
        <v>1052.55</v>
      </c>
      <c r="H369" s="518"/>
      <c r="I369" s="471"/>
      <c r="J369" s="499"/>
      <c r="K369" s="471"/>
      <c r="L369" s="204"/>
    </row>
    <row r="370" spans="1:12" ht="32.25" customHeight="1" x14ac:dyDescent="0.25">
      <c r="A370" s="464" t="s">
        <v>345</v>
      </c>
      <c r="B370" s="461">
        <v>903</v>
      </c>
      <c r="C370" s="465" t="s">
        <v>264</v>
      </c>
      <c r="D370" s="465" t="s">
        <v>264</v>
      </c>
      <c r="E370" s="465" t="s">
        <v>346</v>
      </c>
      <c r="F370" s="465"/>
      <c r="G370" s="463">
        <f>G371+G378+G387</f>
        <v>1052.55</v>
      </c>
      <c r="H370" s="518"/>
      <c r="I370" s="471"/>
      <c r="J370" s="499"/>
      <c r="K370" s="471"/>
      <c r="L370" s="204"/>
    </row>
    <row r="371" spans="1:12" s="204" customFormat="1" ht="48.75" customHeight="1" x14ac:dyDescent="0.25">
      <c r="A371" s="210" t="s">
        <v>1031</v>
      </c>
      <c r="B371" s="461">
        <v>903</v>
      </c>
      <c r="C371" s="465" t="s">
        <v>264</v>
      </c>
      <c r="D371" s="465" t="s">
        <v>264</v>
      </c>
      <c r="E371" s="465" t="s">
        <v>892</v>
      </c>
      <c r="F371" s="465"/>
      <c r="G371" s="463">
        <f>G372+G375</f>
        <v>267.3</v>
      </c>
      <c r="H371" s="518"/>
      <c r="I371" s="471"/>
      <c r="J371" s="499"/>
      <c r="K371" s="471"/>
    </row>
    <row r="372" spans="1:12" s="204" customFormat="1" ht="23.25" customHeight="1" x14ac:dyDescent="0.25">
      <c r="A372" s="98" t="s">
        <v>1037</v>
      </c>
      <c r="B372" s="460">
        <v>903</v>
      </c>
      <c r="C372" s="462" t="s">
        <v>264</v>
      </c>
      <c r="D372" s="462" t="s">
        <v>264</v>
      </c>
      <c r="E372" s="462" t="s">
        <v>893</v>
      </c>
      <c r="F372" s="462"/>
      <c r="G372" s="467">
        <f>G373</f>
        <v>267.3</v>
      </c>
      <c r="H372" s="518"/>
      <c r="I372" s="471"/>
      <c r="J372" s="499"/>
      <c r="K372" s="471"/>
    </row>
    <row r="373" spans="1:12" s="204" customFormat="1" ht="66.599999999999994" customHeight="1" x14ac:dyDescent="0.25">
      <c r="A373" s="466" t="s">
        <v>127</v>
      </c>
      <c r="B373" s="460">
        <v>903</v>
      </c>
      <c r="C373" s="462" t="s">
        <v>264</v>
      </c>
      <c r="D373" s="462" t="s">
        <v>264</v>
      </c>
      <c r="E373" s="462" t="s">
        <v>893</v>
      </c>
      <c r="F373" s="462" t="s">
        <v>128</v>
      </c>
      <c r="G373" s="467">
        <f>G374</f>
        <v>267.3</v>
      </c>
      <c r="H373" s="518"/>
      <c r="I373" s="471"/>
      <c r="J373" s="499"/>
      <c r="K373" s="471"/>
    </row>
    <row r="374" spans="1:12" s="204" customFormat="1" ht="18" customHeight="1" x14ac:dyDescent="0.25">
      <c r="A374" s="466" t="s">
        <v>342</v>
      </c>
      <c r="B374" s="460">
        <v>903</v>
      </c>
      <c r="C374" s="462" t="s">
        <v>264</v>
      </c>
      <c r="D374" s="462" t="s">
        <v>264</v>
      </c>
      <c r="E374" s="462" t="s">
        <v>893</v>
      </c>
      <c r="F374" s="462" t="s">
        <v>209</v>
      </c>
      <c r="G374" s="467">
        <f>280-9.7-3</f>
        <v>267.3</v>
      </c>
      <c r="H374" s="518"/>
      <c r="I374" s="471"/>
      <c r="J374" s="499"/>
      <c r="K374" s="471"/>
    </row>
    <row r="375" spans="1:12" s="204" customFormat="1" ht="19.5" hidden="1" customHeight="1" x14ac:dyDescent="0.25">
      <c r="A375" s="466" t="s">
        <v>1032</v>
      </c>
      <c r="B375" s="460">
        <v>903</v>
      </c>
      <c r="C375" s="462" t="s">
        <v>264</v>
      </c>
      <c r="D375" s="462" t="s">
        <v>264</v>
      </c>
      <c r="E375" s="462" t="s">
        <v>1049</v>
      </c>
      <c r="F375" s="462"/>
      <c r="G375" s="467">
        <f>G376</f>
        <v>0</v>
      </c>
      <c r="H375" s="518"/>
      <c r="I375" s="471"/>
      <c r="J375" s="499"/>
      <c r="K375" s="471"/>
    </row>
    <row r="376" spans="1:12" s="204" customFormat="1" ht="32.25" hidden="1" customHeight="1" x14ac:dyDescent="0.25">
      <c r="A376" s="466" t="s">
        <v>131</v>
      </c>
      <c r="B376" s="460">
        <v>903</v>
      </c>
      <c r="C376" s="462" t="s">
        <v>264</v>
      </c>
      <c r="D376" s="462" t="s">
        <v>264</v>
      </c>
      <c r="E376" s="462" t="s">
        <v>1049</v>
      </c>
      <c r="F376" s="462" t="s">
        <v>132</v>
      </c>
      <c r="G376" s="467">
        <f>G377</f>
        <v>0</v>
      </c>
      <c r="H376" s="518"/>
      <c r="I376" s="471"/>
      <c r="J376" s="499"/>
      <c r="K376" s="471"/>
    </row>
    <row r="377" spans="1:12" s="204" customFormat="1" ht="37.5" hidden="1" customHeight="1" x14ac:dyDescent="0.25">
      <c r="A377" s="466" t="s">
        <v>133</v>
      </c>
      <c r="B377" s="460">
        <v>903</v>
      </c>
      <c r="C377" s="462" t="s">
        <v>264</v>
      </c>
      <c r="D377" s="462" t="s">
        <v>264</v>
      </c>
      <c r="E377" s="462" t="s">
        <v>1049</v>
      </c>
      <c r="F377" s="462" t="s">
        <v>134</v>
      </c>
      <c r="G377" s="467">
        <v>0</v>
      </c>
      <c r="H377" s="518"/>
      <c r="I377" s="471"/>
      <c r="J377" s="499"/>
      <c r="K377" s="471"/>
    </row>
    <row r="378" spans="1:12" s="204" customFormat="1" ht="64.5" customHeight="1" x14ac:dyDescent="0.25">
      <c r="A378" s="464" t="s">
        <v>1033</v>
      </c>
      <c r="B378" s="461">
        <v>903</v>
      </c>
      <c r="C378" s="465" t="s">
        <v>264</v>
      </c>
      <c r="D378" s="465" t="s">
        <v>264</v>
      </c>
      <c r="E378" s="465" t="s">
        <v>894</v>
      </c>
      <c r="F378" s="465"/>
      <c r="G378" s="463">
        <f>G379+G384</f>
        <v>760.25</v>
      </c>
      <c r="H378" s="518"/>
      <c r="I378" s="471"/>
      <c r="J378" s="499"/>
      <c r="K378" s="471"/>
    </row>
    <row r="379" spans="1:12" ht="15.75" customHeight="1" x14ac:dyDescent="0.25">
      <c r="A379" s="466" t="s">
        <v>1034</v>
      </c>
      <c r="B379" s="460">
        <v>903</v>
      </c>
      <c r="C379" s="462" t="s">
        <v>264</v>
      </c>
      <c r="D379" s="462" t="s">
        <v>264</v>
      </c>
      <c r="E379" s="462" t="s">
        <v>901</v>
      </c>
      <c r="F379" s="462"/>
      <c r="G379" s="467">
        <f>G382+G381</f>
        <v>462.02299999999997</v>
      </c>
      <c r="H379" s="518"/>
      <c r="I379" s="471"/>
      <c r="J379" s="499"/>
      <c r="K379" s="471"/>
      <c r="L379" s="204"/>
    </row>
    <row r="380" spans="1:12" ht="63" customHeight="1" x14ac:dyDescent="0.25">
      <c r="A380" s="466" t="s">
        <v>127</v>
      </c>
      <c r="B380" s="460">
        <v>903</v>
      </c>
      <c r="C380" s="462" t="s">
        <v>264</v>
      </c>
      <c r="D380" s="462" t="s">
        <v>264</v>
      </c>
      <c r="E380" s="462" t="s">
        <v>901</v>
      </c>
      <c r="F380" s="462" t="s">
        <v>128</v>
      </c>
      <c r="G380" s="467">
        <f>G381</f>
        <v>18.623000000000001</v>
      </c>
      <c r="H380" s="518"/>
      <c r="I380" s="471"/>
      <c r="J380" s="499"/>
      <c r="K380" s="471"/>
      <c r="L380" s="204"/>
    </row>
    <row r="381" spans="1:12" ht="20.25" customHeight="1" x14ac:dyDescent="0.25">
      <c r="A381" s="466" t="s">
        <v>342</v>
      </c>
      <c r="B381" s="460">
        <v>903</v>
      </c>
      <c r="C381" s="462" t="s">
        <v>264</v>
      </c>
      <c r="D381" s="462" t="s">
        <v>264</v>
      </c>
      <c r="E381" s="462" t="s">
        <v>901</v>
      </c>
      <c r="F381" s="462" t="s">
        <v>209</v>
      </c>
      <c r="G381" s="467">
        <f>40-31.4+10+0.023</f>
        <v>18.623000000000001</v>
      </c>
      <c r="H381" s="518"/>
      <c r="I381" s="471"/>
      <c r="J381" s="499"/>
      <c r="K381" s="471"/>
      <c r="L381" s="204"/>
    </row>
    <row r="382" spans="1:12" ht="36.75" customHeight="1" x14ac:dyDescent="0.25">
      <c r="A382" s="466" t="s">
        <v>131</v>
      </c>
      <c r="B382" s="460">
        <v>903</v>
      </c>
      <c r="C382" s="462" t="s">
        <v>264</v>
      </c>
      <c r="D382" s="462" t="s">
        <v>264</v>
      </c>
      <c r="E382" s="462" t="s">
        <v>901</v>
      </c>
      <c r="F382" s="462" t="s">
        <v>132</v>
      </c>
      <c r="G382" s="467">
        <f>G383</f>
        <v>443.4</v>
      </c>
      <c r="H382" s="518"/>
      <c r="I382" s="471"/>
      <c r="J382" s="499"/>
      <c r="K382" s="471"/>
      <c r="L382" s="204"/>
    </row>
    <row r="383" spans="1:12" ht="39.200000000000003" customHeight="1" x14ac:dyDescent="0.25">
      <c r="A383" s="466" t="s">
        <v>133</v>
      </c>
      <c r="B383" s="460">
        <v>903</v>
      </c>
      <c r="C383" s="462" t="s">
        <v>264</v>
      </c>
      <c r="D383" s="462" t="s">
        <v>264</v>
      </c>
      <c r="E383" s="462" t="s">
        <v>901</v>
      </c>
      <c r="F383" s="462" t="s">
        <v>134</v>
      </c>
      <c r="G383" s="467">
        <f>415-135.5+135.5-12.3+9.7+3+27.7+0.3</f>
        <v>443.4</v>
      </c>
      <c r="H383" s="519"/>
      <c r="I383" s="471"/>
      <c r="J383" s="499"/>
      <c r="K383" s="471"/>
      <c r="L383" s="204"/>
    </row>
    <row r="384" spans="1:12" s="204" customFormat="1" ht="15.75" x14ac:dyDescent="0.25">
      <c r="A384" s="466" t="s">
        <v>1767</v>
      </c>
      <c r="B384" s="460">
        <v>903</v>
      </c>
      <c r="C384" s="462" t="s">
        <v>264</v>
      </c>
      <c r="D384" s="462" t="s">
        <v>264</v>
      </c>
      <c r="E384" s="462" t="s">
        <v>1768</v>
      </c>
      <c r="F384" s="462"/>
      <c r="G384" s="467">
        <f>G385</f>
        <v>298.22699999999998</v>
      </c>
      <c r="H384" s="521"/>
      <c r="I384" s="471"/>
      <c r="J384" s="499"/>
      <c r="K384" s="471"/>
    </row>
    <row r="385" spans="1:12" s="204" customFormat="1" ht="31.5" x14ac:dyDescent="0.25">
      <c r="A385" s="466" t="s">
        <v>131</v>
      </c>
      <c r="B385" s="460">
        <v>903</v>
      </c>
      <c r="C385" s="462" t="s">
        <v>264</v>
      </c>
      <c r="D385" s="462" t="s">
        <v>264</v>
      </c>
      <c r="E385" s="462" t="s">
        <v>1768</v>
      </c>
      <c r="F385" s="462" t="s">
        <v>132</v>
      </c>
      <c r="G385" s="467">
        <f>G386</f>
        <v>298.22699999999998</v>
      </c>
      <c r="H385" s="521"/>
      <c r="I385" s="471"/>
      <c r="J385" s="499"/>
      <c r="K385" s="471"/>
    </row>
    <row r="386" spans="1:12" s="204" customFormat="1" ht="31.5" x14ac:dyDescent="0.25">
      <c r="A386" s="466" t="s">
        <v>133</v>
      </c>
      <c r="B386" s="460">
        <v>903</v>
      </c>
      <c r="C386" s="462" t="s">
        <v>264</v>
      </c>
      <c r="D386" s="462" t="s">
        <v>264</v>
      </c>
      <c r="E386" s="462" t="s">
        <v>1768</v>
      </c>
      <c r="F386" s="462" t="s">
        <v>134</v>
      </c>
      <c r="G386" s="467">
        <f>286+12.227</f>
        <v>298.22699999999998</v>
      </c>
      <c r="H386" s="521"/>
      <c r="I386" s="471"/>
      <c r="J386" s="499"/>
      <c r="K386" s="471"/>
    </row>
    <row r="387" spans="1:12" s="204" customFormat="1" ht="35.450000000000003" customHeight="1" x14ac:dyDescent="0.25">
      <c r="A387" s="464" t="s">
        <v>1039</v>
      </c>
      <c r="B387" s="461">
        <v>903</v>
      </c>
      <c r="C387" s="465" t="s">
        <v>264</v>
      </c>
      <c r="D387" s="465" t="s">
        <v>264</v>
      </c>
      <c r="E387" s="465" t="s">
        <v>1035</v>
      </c>
      <c r="F387" s="465"/>
      <c r="G387" s="463">
        <f>G388</f>
        <v>25</v>
      </c>
      <c r="H387" s="518"/>
      <c r="I387" s="471"/>
      <c r="J387" s="499"/>
      <c r="K387" s="471"/>
    </row>
    <row r="388" spans="1:12" s="204" customFormat="1" ht="39.75" customHeight="1" x14ac:dyDescent="0.25">
      <c r="A388" s="230" t="s">
        <v>1036</v>
      </c>
      <c r="B388" s="460">
        <v>903</v>
      </c>
      <c r="C388" s="462" t="s">
        <v>264</v>
      </c>
      <c r="D388" s="462" t="s">
        <v>264</v>
      </c>
      <c r="E388" s="462" t="s">
        <v>1050</v>
      </c>
      <c r="F388" s="462"/>
      <c r="G388" s="467">
        <f>G389</f>
        <v>25</v>
      </c>
      <c r="H388" s="518"/>
      <c r="I388" s="471"/>
      <c r="J388" s="499"/>
      <c r="K388" s="471"/>
    </row>
    <row r="389" spans="1:12" s="204" customFormat="1" ht="17.45" customHeight="1" x14ac:dyDescent="0.25">
      <c r="A389" s="466" t="s">
        <v>248</v>
      </c>
      <c r="B389" s="460">
        <v>903</v>
      </c>
      <c r="C389" s="462" t="s">
        <v>264</v>
      </c>
      <c r="D389" s="462" t="s">
        <v>264</v>
      </c>
      <c r="E389" s="462" t="s">
        <v>1050</v>
      </c>
      <c r="F389" s="462" t="s">
        <v>249</v>
      </c>
      <c r="G389" s="467">
        <f>G390</f>
        <v>25</v>
      </c>
      <c r="H389" s="518"/>
      <c r="I389" s="471"/>
      <c r="J389" s="499"/>
      <c r="K389" s="471"/>
    </row>
    <row r="390" spans="1:12" s="204" customFormat="1" ht="35.450000000000003" customHeight="1" x14ac:dyDescent="0.25">
      <c r="A390" s="466" t="s">
        <v>1201</v>
      </c>
      <c r="B390" s="460">
        <v>903</v>
      </c>
      <c r="C390" s="462" t="s">
        <v>264</v>
      </c>
      <c r="D390" s="462" t="s">
        <v>264</v>
      </c>
      <c r="E390" s="462" t="s">
        <v>1050</v>
      </c>
      <c r="F390" s="462" t="s">
        <v>1200</v>
      </c>
      <c r="G390" s="467">
        <v>25</v>
      </c>
      <c r="H390" s="518"/>
      <c r="I390" s="471"/>
      <c r="J390" s="499"/>
      <c r="K390" s="471"/>
    </row>
    <row r="391" spans="1:12" s="204" customFormat="1" ht="21.75" customHeight="1" x14ac:dyDescent="0.25">
      <c r="A391" s="464" t="s">
        <v>295</v>
      </c>
      <c r="B391" s="461">
        <v>903</v>
      </c>
      <c r="C391" s="465" t="s">
        <v>264</v>
      </c>
      <c r="D391" s="465" t="s">
        <v>219</v>
      </c>
      <c r="E391" s="465"/>
      <c r="F391" s="465"/>
      <c r="G391" s="463">
        <f>G392</f>
        <v>315</v>
      </c>
      <c r="H391" s="518"/>
      <c r="I391" s="471"/>
      <c r="J391" s="499"/>
      <c r="K391" s="471"/>
    </row>
    <row r="392" spans="1:12" s="204" customFormat="1" ht="35.450000000000003" customHeight="1" x14ac:dyDescent="0.25">
      <c r="A392" s="34" t="s">
        <v>870</v>
      </c>
      <c r="B392" s="461">
        <v>903</v>
      </c>
      <c r="C392" s="465" t="s">
        <v>264</v>
      </c>
      <c r="D392" s="465" t="s">
        <v>219</v>
      </c>
      <c r="E392" s="465" t="s">
        <v>865</v>
      </c>
      <c r="F392" s="465"/>
      <c r="G392" s="463">
        <f>G393</f>
        <v>315</v>
      </c>
      <c r="H392" s="518"/>
      <c r="I392" s="471"/>
      <c r="J392" s="499"/>
      <c r="K392" s="471"/>
    </row>
    <row r="393" spans="1:12" s="204" customFormat="1" ht="54.4" customHeight="1" x14ac:dyDescent="0.25">
      <c r="A393" s="31" t="s">
        <v>1687</v>
      </c>
      <c r="B393" s="460">
        <v>903</v>
      </c>
      <c r="C393" s="462" t="s">
        <v>264</v>
      </c>
      <c r="D393" s="462" t="s">
        <v>219</v>
      </c>
      <c r="E393" s="462" t="s">
        <v>1686</v>
      </c>
      <c r="F393" s="462"/>
      <c r="G393" s="467">
        <f>G394</f>
        <v>315</v>
      </c>
      <c r="H393" s="518"/>
      <c r="I393" s="471"/>
      <c r="J393" s="499"/>
      <c r="K393" s="471"/>
    </row>
    <row r="394" spans="1:12" s="204" customFormat="1" ht="35.450000000000003" customHeight="1" x14ac:dyDescent="0.25">
      <c r="A394" s="466" t="s">
        <v>131</v>
      </c>
      <c r="B394" s="460">
        <v>903</v>
      </c>
      <c r="C394" s="462" t="s">
        <v>264</v>
      </c>
      <c r="D394" s="462" t="s">
        <v>219</v>
      </c>
      <c r="E394" s="462" t="s">
        <v>1686</v>
      </c>
      <c r="F394" s="462" t="s">
        <v>132</v>
      </c>
      <c r="G394" s="467">
        <f>G395</f>
        <v>315</v>
      </c>
      <c r="H394" s="518"/>
      <c r="I394" s="471"/>
      <c r="J394" s="499"/>
      <c r="K394" s="471"/>
    </row>
    <row r="395" spans="1:12" s="204" customFormat="1" ht="35.450000000000003" customHeight="1" x14ac:dyDescent="0.25">
      <c r="A395" s="466" t="s">
        <v>133</v>
      </c>
      <c r="B395" s="460">
        <v>903</v>
      </c>
      <c r="C395" s="462" t="s">
        <v>264</v>
      </c>
      <c r="D395" s="462" t="s">
        <v>219</v>
      </c>
      <c r="E395" s="462" t="s">
        <v>1686</v>
      </c>
      <c r="F395" s="462" t="s">
        <v>134</v>
      </c>
      <c r="G395" s="467">
        <v>315</v>
      </c>
      <c r="H395" s="519"/>
      <c r="I395" s="471"/>
      <c r="J395" s="499"/>
      <c r="K395" s="471"/>
    </row>
    <row r="396" spans="1:12" ht="15.75" x14ac:dyDescent="0.25">
      <c r="A396" s="464" t="s">
        <v>298</v>
      </c>
      <c r="B396" s="461">
        <v>903</v>
      </c>
      <c r="C396" s="465" t="s">
        <v>299</v>
      </c>
      <c r="D396" s="465"/>
      <c r="E396" s="465"/>
      <c r="F396" s="465"/>
      <c r="G396" s="463">
        <f>G397+G457</f>
        <v>85236.564099999989</v>
      </c>
      <c r="H396" s="518"/>
      <c r="I396" s="471"/>
      <c r="J396" s="499"/>
      <c r="K396" s="471"/>
      <c r="L396" s="204"/>
    </row>
    <row r="397" spans="1:12" ht="15.75" x14ac:dyDescent="0.25">
      <c r="A397" s="464" t="s">
        <v>300</v>
      </c>
      <c r="B397" s="461">
        <v>903</v>
      </c>
      <c r="C397" s="465" t="s">
        <v>299</v>
      </c>
      <c r="D397" s="465" t="s">
        <v>118</v>
      </c>
      <c r="E397" s="465"/>
      <c r="F397" s="465"/>
      <c r="G397" s="463">
        <f>G398+G452+G447</f>
        <v>64414.369999999995</v>
      </c>
      <c r="H397" s="518"/>
      <c r="I397" s="117"/>
      <c r="J397" s="499"/>
      <c r="K397" s="471"/>
      <c r="L397" s="204"/>
    </row>
    <row r="398" spans="1:12" ht="35.450000000000003" customHeight="1" x14ac:dyDescent="0.25">
      <c r="A398" s="464" t="s">
        <v>1362</v>
      </c>
      <c r="B398" s="461">
        <v>903</v>
      </c>
      <c r="C398" s="465" t="s">
        <v>299</v>
      </c>
      <c r="D398" s="465" t="s">
        <v>118</v>
      </c>
      <c r="E398" s="465" t="s">
        <v>267</v>
      </c>
      <c r="F398" s="465"/>
      <c r="G398" s="463">
        <f>G399+G410+G416+G420+G427+G431+G439+G443</f>
        <v>63518.369999999995</v>
      </c>
      <c r="H398" s="518"/>
      <c r="I398" s="471"/>
      <c r="J398" s="499"/>
      <c r="K398" s="471"/>
      <c r="L398" s="204"/>
    </row>
    <row r="399" spans="1:12" s="204" customFormat="1" ht="30.2" customHeight="1" x14ac:dyDescent="0.25">
      <c r="A399" s="464" t="s">
        <v>1304</v>
      </c>
      <c r="B399" s="461">
        <v>903</v>
      </c>
      <c r="C399" s="465" t="s">
        <v>299</v>
      </c>
      <c r="D399" s="465" t="s">
        <v>118</v>
      </c>
      <c r="E399" s="465" t="s">
        <v>1208</v>
      </c>
      <c r="F399" s="465"/>
      <c r="G399" s="463">
        <f>G400+G407</f>
        <v>49138.27</v>
      </c>
      <c r="H399" s="518"/>
      <c r="I399" s="471"/>
      <c r="J399" s="499"/>
      <c r="K399" s="471"/>
    </row>
    <row r="400" spans="1:12" s="204" customFormat="1" ht="17.45" customHeight="1" x14ac:dyDescent="0.25">
      <c r="A400" s="466" t="s">
        <v>800</v>
      </c>
      <c r="B400" s="460">
        <v>903</v>
      </c>
      <c r="C400" s="462" t="s">
        <v>299</v>
      </c>
      <c r="D400" s="462" t="s">
        <v>118</v>
      </c>
      <c r="E400" s="462" t="s">
        <v>1209</v>
      </c>
      <c r="F400" s="462"/>
      <c r="G400" s="467">
        <f>G401+G403+G405</f>
        <v>13252.969999999996</v>
      </c>
      <c r="H400" s="518"/>
      <c r="I400" s="471"/>
      <c r="J400" s="499"/>
      <c r="K400" s="471"/>
    </row>
    <row r="401" spans="1:13" s="204" customFormat="1" ht="46.5" customHeight="1" x14ac:dyDescent="0.25">
      <c r="A401" s="466" t="s">
        <v>127</v>
      </c>
      <c r="B401" s="460">
        <v>903</v>
      </c>
      <c r="C401" s="462" t="s">
        <v>299</v>
      </c>
      <c r="D401" s="462" t="s">
        <v>118</v>
      </c>
      <c r="E401" s="462" t="s">
        <v>1209</v>
      </c>
      <c r="F401" s="462" t="s">
        <v>128</v>
      </c>
      <c r="G401" s="467">
        <f>G402</f>
        <v>2811.87</v>
      </c>
      <c r="H401" s="518"/>
      <c r="I401" s="471"/>
      <c r="J401" s="499"/>
      <c r="K401" s="471"/>
    </row>
    <row r="402" spans="1:13" s="204" customFormat="1" ht="21.75" customHeight="1" x14ac:dyDescent="0.25">
      <c r="A402" s="466" t="s">
        <v>208</v>
      </c>
      <c r="B402" s="460">
        <v>903</v>
      </c>
      <c r="C402" s="462" t="s">
        <v>299</v>
      </c>
      <c r="D402" s="462" t="s">
        <v>118</v>
      </c>
      <c r="E402" s="462" t="s">
        <v>1209</v>
      </c>
      <c r="F402" s="462" t="s">
        <v>209</v>
      </c>
      <c r="G402" s="27">
        <f>2223.47+26.3+6.4+1.7+8.1+14.2+6-5.1+200+7.2+86.4+25.6+40.9+33.5+100+42.1+0.1+8.3-4-10.1+5.9-30.1+15.4+19.4-9.8</f>
        <v>2811.87</v>
      </c>
      <c r="H402" s="519"/>
      <c r="I402" s="471"/>
      <c r="J402" s="499"/>
      <c r="K402" s="499"/>
    </row>
    <row r="403" spans="1:13" s="204" customFormat="1" ht="36.75" customHeight="1" x14ac:dyDescent="0.25">
      <c r="A403" s="466" t="s">
        <v>131</v>
      </c>
      <c r="B403" s="460">
        <v>903</v>
      </c>
      <c r="C403" s="462" t="s">
        <v>299</v>
      </c>
      <c r="D403" s="462" t="s">
        <v>118</v>
      </c>
      <c r="E403" s="462" t="s">
        <v>1209</v>
      </c>
      <c r="F403" s="462" t="s">
        <v>132</v>
      </c>
      <c r="G403" s="467">
        <f>G404</f>
        <v>10301.199999999997</v>
      </c>
      <c r="H403" s="518"/>
      <c r="I403" s="471"/>
      <c r="J403" s="499"/>
      <c r="K403" s="471"/>
    </row>
    <row r="404" spans="1:13" s="204" customFormat="1" ht="33" customHeight="1" x14ac:dyDescent="0.25">
      <c r="A404" s="466" t="s">
        <v>133</v>
      </c>
      <c r="B404" s="460">
        <v>903</v>
      </c>
      <c r="C404" s="462" t="s">
        <v>299</v>
      </c>
      <c r="D404" s="462" t="s">
        <v>118</v>
      </c>
      <c r="E404" s="462" t="s">
        <v>1209</v>
      </c>
      <c r="F404" s="462" t="s">
        <v>134</v>
      </c>
      <c r="G404" s="27">
        <f>8975.9-469.7+394.1-50+150-50-100+196.6-69.2-50+20+114+35.8+107.4-150.7+150+0.5-93+30+4+89+46.7+46.7-84.4+31.9+50.4-4.2-11.7+6.6+3639.43+20.1-4.7+11.1+162.2+90.1-3639.43+44.6+65.4+203.3-150-0.7-68.2+42.5+62.4+14.7+94.6+173.7+33.4-37.2+154.2+70.3+2.7</f>
        <v>10301.199999999997</v>
      </c>
      <c r="H404" s="519"/>
      <c r="I404" s="162"/>
      <c r="J404" s="499"/>
      <c r="K404" s="471"/>
      <c r="L404" s="424"/>
      <c r="M404" s="510"/>
    </row>
    <row r="405" spans="1:13" s="204" customFormat="1" ht="18" customHeight="1" x14ac:dyDescent="0.25">
      <c r="A405" s="466" t="s">
        <v>135</v>
      </c>
      <c r="B405" s="460">
        <v>903</v>
      </c>
      <c r="C405" s="462" t="s">
        <v>299</v>
      </c>
      <c r="D405" s="462" t="s">
        <v>118</v>
      </c>
      <c r="E405" s="462" t="s">
        <v>1209</v>
      </c>
      <c r="F405" s="462" t="s">
        <v>145</v>
      </c>
      <c r="G405" s="467">
        <f>G406</f>
        <v>139.9</v>
      </c>
      <c r="H405" s="518"/>
      <c r="I405" s="471"/>
      <c r="J405" s="499"/>
      <c r="K405" s="471"/>
    </row>
    <row r="406" spans="1:13" s="204" customFormat="1" ht="16.5" customHeight="1" x14ac:dyDescent="0.25">
      <c r="A406" s="466" t="s">
        <v>568</v>
      </c>
      <c r="B406" s="460">
        <v>903</v>
      </c>
      <c r="C406" s="462" t="s">
        <v>299</v>
      </c>
      <c r="D406" s="462" t="s">
        <v>118</v>
      </c>
      <c r="E406" s="462" t="s">
        <v>1209</v>
      </c>
      <c r="F406" s="462" t="s">
        <v>138</v>
      </c>
      <c r="G406" s="467">
        <f>37+26+11.2+43.7+13.4+4.2+15-24.7+6.2+2.3+5.6</f>
        <v>139.9</v>
      </c>
      <c r="H406" s="519"/>
      <c r="I406" s="471"/>
      <c r="J406" s="499"/>
      <c r="K406" s="499"/>
    </row>
    <row r="407" spans="1:13" s="204" customFormat="1" ht="21.75" customHeight="1" x14ac:dyDescent="0.25">
      <c r="A407" s="31" t="s">
        <v>1522</v>
      </c>
      <c r="B407" s="460">
        <v>903</v>
      </c>
      <c r="C407" s="462" t="s">
        <v>299</v>
      </c>
      <c r="D407" s="462" t="s">
        <v>118</v>
      </c>
      <c r="E407" s="462" t="s">
        <v>1494</v>
      </c>
      <c r="F407" s="462"/>
      <c r="G407" s="467">
        <f>G408</f>
        <v>35885.300000000003</v>
      </c>
      <c r="H407" s="518"/>
      <c r="I407" s="471"/>
      <c r="J407" s="499"/>
      <c r="K407" s="471"/>
    </row>
    <row r="408" spans="1:13" s="204" customFormat="1" ht="60.4" customHeight="1" x14ac:dyDescent="0.25">
      <c r="A408" s="466" t="s">
        <v>127</v>
      </c>
      <c r="B408" s="460">
        <v>903</v>
      </c>
      <c r="C408" s="462" t="s">
        <v>299</v>
      </c>
      <c r="D408" s="462" t="s">
        <v>118</v>
      </c>
      <c r="E408" s="462" t="s">
        <v>1494</v>
      </c>
      <c r="F408" s="462" t="s">
        <v>128</v>
      </c>
      <c r="G408" s="467">
        <f>G409</f>
        <v>35885.300000000003</v>
      </c>
      <c r="H408" s="518"/>
      <c r="I408" s="471"/>
      <c r="J408" s="499"/>
      <c r="K408" s="471"/>
    </row>
    <row r="409" spans="1:13" s="204" customFormat="1" ht="17.100000000000001" customHeight="1" x14ac:dyDescent="0.25">
      <c r="A409" s="466" t="s">
        <v>208</v>
      </c>
      <c r="B409" s="460">
        <v>903</v>
      </c>
      <c r="C409" s="462" t="s">
        <v>299</v>
      </c>
      <c r="D409" s="462" t="s">
        <v>118</v>
      </c>
      <c r="E409" s="462" t="s">
        <v>1494</v>
      </c>
      <c r="F409" s="462" t="s">
        <v>209</v>
      </c>
      <c r="G409" s="467">
        <f>37672.51+3375.3+960.09-96.6-100-40-600-352.2-2948.3-1120.6-864.9</f>
        <v>35885.300000000003</v>
      </c>
      <c r="H409" s="519"/>
      <c r="I409" s="471"/>
      <c r="J409" s="499"/>
      <c r="K409" s="471"/>
    </row>
    <row r="410" spans="1:13" s="204" customFormat="1" ht="35.450000000000003" customHeight="1" x14ac:dyDescent="0.25">
      <c r="A410" s="216" t="s">
        <v>1306</v>
      </c>
      <c r="B410" s="461">
        <v>903</v>
      </c>
      <c r="C410" s="465" t="s">
        <v>299</v>
      </c>
      <c r="D410" s="465" t="s">
        <v>118</v>
      </c>
      <c r="E410" s="465" t="s">
        <v>1210</v>
      </c>
      <c r="F410" s="465"/>
      <c r="G410" s="463">
        <f>G411</f>
        <v>864.40000000000009</v>
      </c>
      <c r="H410" s="518"/>
      <c r="I410" s="471"/>
      <c r="J410" s="499"/>
      <c r="K410" s="471"/>
    </row>
    <row r="411" spans="1:13" ht="35.450000000000003" customHeight="1" x14ac:dyDescent="0.25">
      <c r="A411" s="31" t="s">
        <v>816</v>
      </c>
      <c r="B411" s="460">
        <v>903</v>
      </c>
      <c r="C411" s="462" t="s">
        <v>299</v>
      </c>
      <c r="D411" s="462" t="s">
        <v>118</v>
      </c>
      <c r="E411" s="462" t="s">
        <v>1212</v>
      </c>
      <c r="F411" s="462"/>
      <c r="G411" s="27">
        <f>G414+G412</f>
        <v>864.40000000000009</v>
      </c>
      <c r="H411" s="518"/>
      <c r="I411" s="471"/>
      <c r="J411" s="499"/>
      <c r="K411" s="471"/>
      <c r="L411" s="204"/>
    </row>
    <row r="412" spans="1:13" ht="66.2" customHeight="1" x14ac:dyDescent="0.25">
      <c r="A412" s="466" t="s">
        <v>127</v>
      </c>
      <c r="B412" s="460">
        <v>903</v>
      </c>
      <c r="C412" s="462" t="s">
        <v>299</v>
      </c>
      <c r="D412" s="462" t="s">
        <v>118</v>
      </c>
      <c r="E412" s="462" t="s">
        <v>1212</v>
      </c>
      <c r="F412" s="462" t="s">
        <v>128</v>
      </c>
      <c r="G412" s="27">
        <f>G413</f>
        <v>487.40000000000009</v>
      </c>
      <c r="H412" s="518"/>
      <c r="I412" s="471"/>
      <c r="J412" s="499"/>
      <c r="K412" s="471"/>
      <c r="L412" s="204"/>
    </row>
    <row r="413" spans="1:13" ht="20.25" customHeight="1" x14ac:dyDescent="0.25">
      <c r="A413" s="466" t="s">
        <v>208</v>
      </c>
      <c r="B413" s="460">
        <v>903</v>
      </c>
      <c r="C413" s="462" t="s">
        <v>299</v>
      </c>
      <c r="D413" s="462" t="s">
        <v>118</v>
      </c>
      <c r="E413" s="462" t="s">
        <v>1212</v>
      </c>
      <c r="F413" s="462" t="s">
        <v>209</v>
      </c>
      <c r="G413" s="27">
        <f>603+380-293.4-57.5-88.8-55.9</f>
        <v>487.40000000000009</v>
      </c>
      <c r="H413" s="518"/>
      <c r="I413" s="471"/>
      <c r="J413" s="499"/>
      <c r="K413" s="471"/>
      <c r="L413" s="204"/>
    </row>
    <row r="414" spans="1:13" ht="33.75" customHeight="1" x14ac:dyDescent="0.25">
      <c r="A414" s="466" t="s">
        <v>131</v>
      </c>
      <c r="B414" s="460">
        <v>903</v>
      </c>
      <c r="C414" s="462" t="s">
        <v>299</v>
      </c>
      <c r="D414" s="462" t="s">
        <v>118</v>
      </c>
      <c r="E414" s="462" t="s">
        <v>1212</v>
      </c>
      <c r="F414" s="462" t="s">
        <v>132</v>
      </c>
      <c r="G414" s="27">
        <f>G415</f>
        <v>377</v>
      </c>
      <c r="H414" s="518"/>
      <c r="I414" s="471"/>
      <c r="J414" s="499"/>
      <c r="K414" s="471"/>
      <c r="L414" s="204"/>
    </row>
    <row r="415" spans="1:13" ht="36.75" customHeight="1" x14ac:dyDescent="0.25">
      <c r="A415" s="466" t="s">
        <v>133</v>
      </c>
      <c r="B415" s="460">
        <v>903</v>
      </c>
      <c r="C415" s="462" t="s">
        <v>299</v>
      </c>
      <c r="D415" s="462" t="s">
        <v>118</v>
      </c>
      <c r="E415" s="462" t="s">
        <v>1212</v>
      </c>
      <c r="F415" s="462" t="s">
        <v>134</v>
      </c>
      <c r="G415" s="27">
        <f>1180-800-380+88.8+288.2</f>
        <v>377</v>
      </c>
      <c r="H415" s="518"/>
      <c r="I415" s="471"/>
      <c r="J415" s="499"/>
      <c r="K415" s="471"/>
      <c r="L415" s="204"/>
    </row>
    <row r="416" spans="1:13" s="204" customFormat="1" ht="36.75" customHeight="1" x14ac:dyDescent="0.25">
      <c r="A416" s="464" t="s">
        <v>947</v>
      </c>
      <c r="B416" s="461">
        <v>903</v>
      </c>
      <c r="C416" s="465" t="s">
        <v>299</v>
      </c>
      <c r="D416" s="465" t="s">
        <v>118</v>
      </c>
      <c r="E416" s="465" t="s">
        <v>1213</v>
      </c>
      <c r="F416" s="465"/>
      <c r="G416" s="44">
        <f>G417</f>
        <v>955.00000000000011</v>
      </c>
      <c r="H416" s="518"/>
      <c r="I416" s="471"/>
      <c r="J416" s="499"/>
      <c r="K416" s="471"/>
    </row>
    <row r="417" spans="1:12" s="204" customFormat="1" ht="36.75" customHeight="1" x14ac:dyDescent="0.25">
      <c r="A417" s="466" t="s">
        <v>839</v>
      </c>
      <c r="B417" s="460">
        <v>903</v>
      </c>
      <c r="C417" s="462" t="s">
        <v>299</v>
      </c>
      <c r="D417" s="462" t="s">
        <v>118</v>
      </c>
      <c r="E417" s="462" t="s">
        <v>1214</v>
      </c>
      <c r="F417" s="462"/>
      <c r="G417" s="467">
        <f>G418</f>
        <v>955.00000000000011</v>
      </c>
      <c r="H417" s="518"/>
      <c r="I417" s="471"/>
      <c r="J417" s="499"/>
      <c r="K417" s="471"/>
    </row>
    <row r="418" spans="1:12" s="204" customFormat="1" ht="62.45" customHeight="1" x14ac:dyDescent="0.25">
      <c r="A418" s="466" t="s">
        <v>127</v>
      </c>
      <c r="B418" s="460">
        <v>903</v>
      </c>
      <c r="C418" s="462" t="s">
        <v>299</v>
      </c>
      <c r="D418" s="462" t="s">
        <v>118</v>
      </c>
      <c r="E418" s="462" t="s">
        <v>1214</v>
      </c>
      <c r="F418" s="462" t="s">
        <v>128</v>
      </c>
      <c r="G418" s="467">
        <f>G419</f>
        <v>955.00000000000011</v>
      </c>
      <c r="H418" s="518"/>
      <c r="I418" s="471"/>
      <c r="J418" s="499"/>
      <c r="K418" s="471"/>
    </row>
    <row r="419" spans="1:12" s="204" customFormat="1" ht="36.75" customHeight="1" x14ac:dyDescent="0.25">
      <c r="A419" s="466" t="s">
        <v>129</v>
      </c>
      <c r="B419" s="460">
        <v>903</v>
      </c>
      <c r="C419" s="462" t="s">
        <v>299</v>
      </c>
      <c r="D419" s="462" t="s">
        <v>118</v>
      </c>
      <c r="E419" s="462" t="s">
        <v>1214</v>
      </c>
      <c r="F419" s="462" t="s">
        <v>209</v>
      </c>
      <c r="G419" s="467">
        <f>875+75.2+95.2-6+4.7+7.7-40.9-51.2-4.5-0.2</f>
        <v>955.00000000000011</v>
      </c>
      <c r="H419" s="519"/>
      <c r="I419" s="471"/>
      <c r="J419" s="499"/>
      <c r="K419" s="499"/>
    </row>
    <row r="420" spans="1:12" s="204" customFormat="1" ht="36.75" customHeight="1" x14ac:dyDescent="0.25">
      <c r="A420" s="217" t="s">
        <v>900</v>
      </c>
      <c r="B420" s="461">
        <v>903</v>
      </c>
      <c r="C420" s="465" t="s">
        <v>299</v>
      </c>
      <c r="D420" s="465" t="s">
        <v>118</v>
      </c>
      <c r="E420" s="465" t="s">
        <v>1215</v>
      </c>
      <c r="F420" s="465"/>
      <c r="G420" s="463">
        <f>G421+G424</f>
        <v>2442</v>
      </c>
      <c r="H420" s="518"/>
      <c r="I420" s="471"/>
      <c r="J420" s="499"/>
      <c r="K420" s="471"/>
    </row>
    <row r="421" spans="1:12" s="204" customFormat="1" ht="87" customHeight="1" x14ac:dyDescent="0.25">
      <c r="A421" s="31" t="s">
        <v>293</v>
      </c>
      <c r="B421" s="460">
        <v>903</v>
      </c>
      <c r="C421" s="462" t="s">
        <v>299</v>
      </c>
      <c r="D421" s="462" t="s">
        <v>118</v>
      </c>
      <c r="E421" s="462" t="s">
        <v>1414</v>
      </c>
      <c r="F421" s="462"/>
      <c r="G421" s="467">
        <f>G422</f>
        <v>2100.6</v>
      </c>
      <c r="H421" s="518"/>
      <c r="I421" s="471"/>
      <c r="J421" s="499"/>
      <c r="K421" s="471"/>
    </row>
    <row r="422" spans="1:12" s="204" customFormat="1" ht="66.599999999999994" customHeight="1" x14ac:dyDescent="0.25">
      <c r="A422" s="466" t="s">
        <v>127</v>
      </c>
      <c r="B422" s="460">
        <v>903</v>
      </c>
      <c r="C422" s="462" t="s">
        <v>299</v>
      </c>
      <c r="D422" s="462" t="s">
        <v>118</v>
      </c>
      <c r="E422" s="462" t="s">
        <v>1414</v>
      </c>
      <c r="F422" s="462" t="s">
        <v>128</v>
      </c>
      <c r="G422" s="467">
        <f>G423</f>
        <v>2100.6</v>
      </c>
      <c r="H422" s="518"/>
      <c r="I422" s="471"/>
      <c r="J422" s="499"/>
      <c r="K422" s="471"/>
    </row>
    <row r="423" spans="1:12" s="204" customFormat="1" ht="21.75" customHeight="1" x14ac:dyDescent="0.25">
      <c r="A423" s="466" t="s">
        <v>208</v>
      </c>
      <c r="B423" s="460">
        <v>903</v>
      </c>
      <c r="C423" s="462" t="s">
        <v>299</v>
      </c>
      <c r="D423" s="462" t="s">
        <v>118</v>
      </c>
      <c r="E423" s="462" t="s">
        <v>1414</v>
      </c>
      <c r="F423" s="462" t="s">
        <v>209</v>
      </c>
      <c r="G423" s="467">
        <f>724.29+100+0.01+1276.3</f>
        <v>2100.6</v>
      </c>
      <c r="H423" s="518"/>
      <c r="I423" s="471"/>
      <c r="J423" s="499"/>
      <c r="K423" s="471"/>
    </row>
    <row r="424" spans="1:12" s="204" customFormat="1" ht="69" customHeight="1" x14ac:dyDescent="0.25">
      <c r="A424" s="466" t="s">
        <v>331</v>
      </c>
      <c r="B424" s="460">
        <v>903</v>
      </c>
      <c r="C424" s="462" t="s">
        <v>299</v>
      </c>
      <c r="D424" s="462" t="s">
        <v>118</v>
      </c>
      <c r="E424" s="462" t="s">
        <v>1296</v>
      </c>
      <c r="F424" s="462"/>
      <c r="G424" s="467">
        <f>G425</f>
        <v>341.4</v>
      </c>
      <c r="H424" s="518"/>
      <c r="I424" s="471"/>
      <c r="J424" s="499"/>
      <c r="K424" s="471"/>
    </row>
    <row r="425" spans="1:12" s="204" customFormat="1" ht="72" customHeight="1" x14ac:dyDescent="0.25">
      <c r="A425" s="466" t="s">
        <v>127</v>
      </c>
      <c r="B425" s="460">
        <v>903</v>
      </c>
      <c r="C425" s="462" t="s">
        <v>299</v>
      </c>
      <c r="D425" s="462" t="s">
        <v>118</v>
      </c>
      <c r="E425" s="462" t="s">
        <v>1296</v>
      </c>
      <c r="F425" s="462" t="s">
        <v>128</v>
      </c>
      <c r="G425" s="467">
        <f>G426</f>
        <v>341.4</v>
      </c>
      <c r="H425" s="518"/>
      <c r="I425" s="471"/>
      <c r="J425" s="499"/>
      <c r="K425" s="471"/>
    </row>
    <row r="426" spans="1:12" s="204" customFormat="1" ht="19.5" customHeight="1" x14ac:dyDescent="0.25">
      <c r="A426" s="466" t="s">
        <v>208</v>
      </c>
      <c r="B426" s="460">
        <v>903</v>
      </c>
      <c r="C426" s="462" t="s">
        <v>299</v>
      </c>
      <c r="D426" s="462" t="s">
        <v>118</v>
      </c>
      <c r="E426" s="462" t="s">
        <v>1296</v>
      </c>
      <c r="F426" s="462" t="s">
        <v>209</v>
      </c>
      <c r="G426" s="467">
        <v>341.4</v>
      </c>
      <c r="H426" s="518"/>
      <c r="I426" s="471"/>
      <c r="J426" s="499"/>
      <c r="K426" s="471"/>
    </row>
    <row r="427" spans="1:12" s="204" customFormat="1" ht="33" customHeight="1" x14ac:dyDescent="0.25">
      <c r="A427" s="464" t="s">
        <v>902</v>
      </c>
      <c r="B427" s="461">
        <v>903</v>
      </c>
      <c r="C427" s="465" t="s">
        <v>299</v>
      </c>
      <c r="D427" s="465" t="s">
        <v>118</v>
      </c>
      <c r="E427" s="465" t="s">
        <v>1220</v>
      </c>
      <c r="F427" s="465"/>
      <c r="G427" s="463">
        <f>G428</f>
        <v>50</v>
      </c>
      <c r="H427" s="518"/>
      <c r="I427" s="471"/>
      <c r="J427" s="499"/>
      <c r="K427" s="471"/>
    </row>
    <row r="428" spans="1:12" s="204" customFormat="1" ht="32.25" customHeight="1" x14ac:dyDescent="0.25">
      <c r="A428" s="466" t="s">
        <v>821</v>
      </c>
      <c r="B428" s="460">
        <v>903</v>
      </c>
      <c r="C428" s="462" t="s">
        <v>299</v>
      </c>
      <c r="D428" s="462" t="s">
        <v>118</v>
      </c>
      <c r="E428" s="462" t="s">
        <v>1221</v>
      </c>
      <c r="F428" s="462"/>
      <c r="G428" s="467">
        <f>G429</f>
        <v>50</v>
      </c>
      <c r="H428" s="518"/>
      <c r="I428" s="471"/>
      <c r="J428" s="499"/>
      <c r="K428" s="471"/>
    </row>
    <row r="429" spans="1:12" s="204" customFormat="1" ht="33.75" customHeight="1" x14ac:dyDescent="0.25">
      <c r="A429" s="466" t="s">
        <v>131</v>
      </c>
      <c r="B429" s="460">
        <v>903</v>
      </c>
      <c r="C429" s="462" t="s">
        <v>299</v>
      </c>
      <c r="D429" s="462" t="s">
        <v>118</v>
      </c>
      <c r="E429" s="462" t="s">
        <v>1221</v>
      </c>
      <c r="F429" s="462" t="s">
        <v>132</v>
      </c>
      <c r="G429" s="467">
        <f>G430</f>
        <v>50</v>
      </c>
      <c r="H429" s="518"/>
      <c r="I429" s="471"/>
      <c r="J429" s="499"/>
      <c r="K429" s="471"/>
    </row>
    <row r="430" spans="1:12" s="204" customFormat="1" ht="31.7" customHeight="1" x14ac:dyDescent="0.25">
      <c r="A430" s="466" t="s">
        <v>133</v>
      </c>
      <c r="B430" s="460">
        <v>903</v>
      </c>
      <c r="C430" s="462" t="s">
        <v>299</v>
      </c>
      <c r="D430" s="462" t="s">
        <v>118</v>
      </c>
      <c r="E430" s="462" t="s">
        <v>1221</v>
      </c>
      <c r="F430" s="462" t="s">
        <v>134</v>
      </c>
      <c r="G430" s="467">
        <v>50</v>
      </c>
      <c r="H430" s="518"/>
      <c r="I430" s="471"/>
      <c r="J430" s="499"/>
      <c r="K430" s="471"/>
    </row>
    <row r="431" spans="1:12" s="204" customFormat="1" ht="21.2" customHeight="1" x14ac:dyDescent="0.25">
      <c r="A431" s="464" t="s">
        <v>1010</v>
      </c>
      <c r="B431" s="461">
        <v>903</v>
      </c>
      <c r="C431" s="465" t="s">
        <v>299</v>
      </c>
      <c r="D431" s="465" t="s">
        <v>118</v>
      </c>
      <c r="E431" s="465" t="s">
        <v>1222</v>
      </c>
      <c r="F431" s="465"/>
      <c r="G431" s="463">
        <f>G432</f>
        <v>68.7</v>
      </c>
      <c r="H431" s="518"/>
      <c r="I431" s="471"/>
      <c r="J431" s="499"/>
      <c r="K431" s="471"/>
    </row>
    <row r="432" spans="1:12" ht="31.5" x14ac:dyDescent="0.25">
      <c r="A432" s="466" t="s">
        <v>1497</v>
      </c>
      <c r="B432" s="460">
        <v>903</v>
      </c>
      <c r="C432" s="462" t="s">
        <v>299</v>
      </c>
      <c r="D432" s="462" t="s">
        <v>118</v>
      </c>
      <c r="E432" s="462" t="s">
        <v>1223</v>
      </c>
      <c r="F432" s="462"/>
      <c r="G432" s="467">
        <f>G433</f>
        <v>68.7</v>
      </c>
      <c r="H432" s="518"/>
      <c r="I432" s="471"/>
      <c r="J432" s="499"/>
      <c r="K432" s="471"/>
      <c r="L432" s="204"/>
    </row>
    <row r="433" spans="1:12" ht="31.5" x14ac:dyDescent="0.25">
      <c r="A433" s="466" t="s">
        <v>131</v>
      </c>
      <c r="B433" s="460">
        <v>903</v>
      </c>
      <c r="C433" s="462" t="s">
        <v>299</v>
      </c>
      <c r="D433" s="462" t="s">
        <v>118</v>
      </c>
      <c r="E433" s="462" t="s">
        <v>1223</v>
      </c>
      <c r="F433" s="462" t="s">
        <v>132</v>
      </c>
      <c r="G433" s="467">
        <f>G434</f>
        <v>68.7</v>
      </c>
      <c r="H433" s="518"/>
      <c r="I433" s="471"/>
      <c r="J433" s="499"/>
      <c r="K433" s="471"/>
      <c r="L433" s="204"/>
    </row>
    <row r="434" spans="1:12" ht="31.5" x14ac:dyDescent="0.25">
      <c r="A434" s="466" t="s">
        <v>133</v>
      </c>
      <c r="B434" s="460">
        <v>903</v>
      </c>
      <c r="C434" s="462" t="s">
        <v>299</v>
      </c>
      <c r="D434" s="462" t="s">
        <v>118</v>
      </c>
      <c r="E434" s="462" t="s">
        <v>1223</v>
      </c>
      <c r="F434" s="462" t="s">
        <v>134</v>
      </c>
      <c r="G434" s="467">
        <f>3.5+65.2</f>
        <v>68.7</v>
      </c>
      <c r="H434" s="518"/>
      <c r="I434" s="471"/>
      <c r="J434" s="499"/>
      <c r="K434" s="471"/>
      <c r="L434" s="204"/>
    </row>
    <row r="435" spans="1:12" s="204" customFormat="1" ht="31.5" hidden="1" x14ac:dyDescent="0.25">
      <c r="A435" s="34" t="s">
        <v>1668</v>
      </c>
      <c r="B435" s="461">
        <v>903</v>
      </c>
      <c r="C435" s="465" t="s">
        <v>299</v>
      </c>
      <c r="D435" s="465" t="s">
        <v>118</v>
      </c>
      <c r="E435" s="465" t="s">
        <v>1670</v>
      </c>
      <c r="F435" s="465"/>
      <c r="G435" s="463">
        <f>G436</f>
        <v>0</v>
      </c>
      <c r="H435" s="518"/>
      <c r="I435" s="471"/>
      <c r="J435" s="499"/>
      <c r="K435" s="471"/>
    </row>
    <row r="436" spans="1:12" s="204" customFormat="1" ht="47.25" hidden="1" x14ac:dyDescent="0.25">
      <c r="A436" s="31" t="s">
        <v>1669</v>
      </c>
      <c r="B436" s="460">
        <v>903</v>
      </c>
      <c r="C436" s="462" t="s">
        <v>299</v>
      </c>
      <c r="D436" s="462" t="s">
        <v>118</v>
      </c>
      <c r="E436" s="462" t="s">
        <v>1671</v>
      </c>
      <c r="F436" s="462"/>
      <c r="G436" s="467">
        <f>G437</f>
        <v>0</v>
      </c>
      <c r="H436" s="518"/>
      <c r="I436" s="471"/>
      <c r="J436" s="499"/>
      <c r="K436" s="471"/>
    </row>
    <row r="437" spans="1:12" s="204" customFormat="1" ht="31.5" hidden="1" x14ac:dyDescent="0.25">
      <c r="A437" s="466" t="s">
        <v>131</v>
      </c>
      <c r="B437" s="460">
        <v>903</v>
      </c>
      <c r="C437" s="462" t="s">
        <v>299</v>
      </c>
      <c r="D437" s="462" t="s">
        <v>118</v>
      </c>
      <c r="E437" s="462" t="s">
        <v>1671</v>
      </c>
      <c r="F437" s="462" t="s">
        <v>132</v>
      </c>
      <c r="G437" s="467">
        <f>G438</f>
        <v>0</v>
      </c>
      <c r="H437" s="518"/>
      <c r="I437" s="471"/>
      <c r="J437" s="499"/>
      <c r="K437" s="471"/>
    </row>
    <row r="438" spans="1:12" s="204" customFormat="1" ht="31.5" hidden="1" x14ac:dyDescent="0.25">
      <c r="A438" s="466" t="s">
        <v>133</v>
      </c>
      <c r="B438" s="460">
        <v>903</v>
      </c>
      <c r="C438" s="462" t="s">
        <v>299</v>
      </c>
      <c r="D438" s="462" t="s">
        <v>118</v>
      </c>
      <c r="E438" s="462" t="s">
        <v>1671</v>
      </c>
      <c r="F438" s="462" t="s">
        <v>134</v>
      </c>
      <c r="G438" s="467">
        <f>1500-1500</f>
        <v>0</v>
      </c>
      <c r="H438" s="519"/>
      <c r="I438" s="471"/>
      <c r="J438" s="499"/>
      <c r="K438" s="471"/>
    </row>
    <row r="439" spans="1:12" s="204" customFormat="1" ht="31.5" hidden="1" x14ac:dyDescent="0.25">
      <c r="A439" s="210" t="s">
        <v>1184</v>
      </c>
      <c r="B439" s="461">
        <v>903</v>
      </c>
      <c r="C439" s="465" t="s">
        <v>299</v>
      </c>
      <c r="D439" s="465" t="s">
        <v>118</v>
      </c>
      <c r="E439" s="465" t="s">
        <v>1218</v>
      </c>
      <c r="F439" s="465"/>
      <c r="G439" s="463">
        <f>G440</f>
        <v>0</v>
      </c>
      <c r="H439" s="518"/>
      <c r="I439" s="471"/>
      <c r="J439" s="499"/>
      <c r="K439" s="471"/>
    </row>
    <row r="440" spans="1:12" s="204" customFormat="1" ht="15.75" hidden="1" x14ac:dyDescent="0.25">
      <c r="A440" s="98" t="s">
        <v>1191</v>
      </c>
      <c r="B440" s="460">
        <v>903</v>
      </c>
      <c r="C440" s="462" t="s">
        <v>299</v>
      </c>
      <c r="D440" s="462" t="s">
        <v>118</v>
      </c>
      <c r="E440" s="462" t="s">
        <v>1219</v>
      </c>
      <c r="F440" s="462"/>
      <c r="G440" s="467">
        <f>G441</f>
        <v>0</v>
      </c>
      <c r="H440" s="518"/>
      <c r="I440" s="471"/>
      <c r="J440" s="499"/>
      <c r="K440" s="471"/>
    </row>
    <row r="441" spans="1:12" s="204" customFormat="1" ht="31.5" hidden="1" x14ac:dyDescent="0.25">
      <c r="A441" s="466" t="s">
        <v>131</v>
      </c>
      <c r="B441" s="460">
        <v>903</v>
      </c>
      <c r="C441" s="462" t="s">
        <v>299</v>
      </c>
      <c r="D441" s="462" t="s">
        <v>118</v>
      </c>
      <c r="E441" s="462" t="s">
        <v>1219</v>
      </c>
      <c r="F441" s="462" t="s">
        <v>132</v>
      </c>
      <c r="G441" s="467">
        <f>G442</f>
        <v>0</v>
      </c>
      <c r="H441" s="518"/>
      <c r="I441" s="471"/>
      <c r="J441" s="499"/>
      <c r="K441" s="471"/>
    </row>
    <row r="442" spans="1:12" s="204" customFormat="1" ht="31.5" hidden="1" x14ac:dyDescent="0.25">
      <c r="A442" s="466" t="s">
        <v>133</v>
      </c>
      <c r="B442" s="460">
        <v>903</v>
      </c>
      <c r="C442" s="462" t="s">
        <v>299</v>
      </c>
      <c r="D442" s="462" t="s">
        <v>118</v>
      </c>
      <c r="E442" s="462" t="s">
        <v>1219</v>
      </c>
      <c r="F442" s="462" t="s">
        <v>134</v>
      </c>
      <c r="G442" s="467">
        <v>0</v>
      </c>
      <c r="H442" s="518"/>
      <c r="I442" s="471"/>
      <c r="J442" s="499"/>
      <c r="K442" s="471"/>
    </row>
    <row r="443" spans="1:12" s="204" customFormat="1" ht="33.75" customHeight="1" x14ac:dyDescent="0.25">
      <c r="A443" s="346" t="s">
        <v>1184</v>
      </c>
      <c r="B443" s="461">
        <v>903</v>
      </c>
      <c r="C443" s="465" t="s">
        <v>299</v>
      </c>
      <c r="D443" s="465" t="s">
        <v>118</v>
      </c>
      <c r="E443" s="465" t="s">
        <v>1218</v>
      </c>
      <c r="F443" s="465"/>
      <c r="G443" s="463">
        <f>G444</f>
        <v>10000</v>
      </c>
      <c r="H443" s="518"/>
      <c r="I443" s="471"/>
      <c r="J443" s="499"/>
      <c r="K443" s="471"/>
    </row>
    <row r="444" spans="1:12" s="206" customFormat="1" ht="31.5" x14ac:dyDescent="0.25">
      <c r="A444" s="584" t="s">
        <v>1761</v>
      </c>
      <c r="B444" s="460">
        <v>903</v>
      </c>
      <c r="C444" s="462" t="s">
        <v>299</v>
      </c>
      <c r="D444" s="462" t="s">
        <v>118</v>
      </c>
      <c r="E444" s="462" t="s">
        <v>1760</v>
      </c>
      <c r="F444" s="462"/>
      <c r="G444" s="467">
        <f>G445</f>
        <v>10000</v>
      </c>
      <c r="H444" s="518"/>
      <c r="I444" s="127"/>
      <c r="J444" s="502"/>
      <c r="K444" s="127"/>
    </row>
    <row r="445" spans="1:12" s="204" customFormat="1" ht="31.5" x14ac:dyDescent="0.25">
      <c r="A445" s="466" t="s">
        <v>131</v>
      </c>
      <c r="B445" s="460">
        <v>903</v>
      </c>
      <c r="C445" s="462" t="s">
        <v>299</v>
      </c>
      <c r="D445" s="462" t="s">
        <v>118</v>
      </c>
      <c r="E445" s="462" t="s">
        <v>1760</v>
      </c>
      <c r="F445" s="462" t="s">
        <v>132</v>
      </c>
      <c r="G445" s="467">
        <f>G446</f>
        <v>10000</v>
      </c>
      <c r="H445" s="518"/>
      <c r="I445" s="471"/>
      <c r="J445" s="499"/>
      <c r="K445" s="471"/>
    </row>
    <row r="446" spans="1:12" s="204" customFormat="1" ht="31.5" x14ac:dyDescent="0.25">
      <c r="A446" s="466" t="s">
        <v>133</v>
      </c>
      <c r="B446" s="460">
        <v>903</v>
      </c>
      <c r="C446" s="462" t="s">
        <v>299</v>
      </c>
      <c r="D446" s="462" t="s">
        <v>118</v>
      </c>
      <c r="E446" s="462" t="s">
        <v>1760</v>
      </c>
      <c r="F446" s="462" t="s">
        <v>134</v>
      </c>
      <c r="G446" s="467">
        <v>10000</v>
      </c>
      <c r="H446" s="518"/>
      <c r="I446" s="471"/>
      <c r="J446" s="499"/>
      <c r="K446" s="471"/>
    </row>
    <row r="447" spans="1:12" ht="47.25" hidden="1" x14ac:dyDescent="0.25">
      <c r="A447" s="34" t="s">
        <v>1447</v>
      </c>
      <c r="B447" s="461">
        <v>903</v>
      </c>
      <c r="C447" s="465" t="s">
        <v>299</v>
      </c>
      <c r="D447" s="465" t="s">
        <v>118</v>
      </c>
      <c r="E447" s="465" t="s">
        <v>324</v>
      </c>
      <c r="F447" s="465"/>
      <c r="G447" s="463">
        <f>G449</f>
        <v>0</v>
      </c>
      <c r="H447" s="518"/>
      <c r="I447" s="471"/>
      <c r="J447" s="499"/>
      <c r="K447" s="471"/>
      <c r="L447" s="204"/>
    </row>
    <row r="448" spans="1:12" s="204" customFormat="1" ht="47.25" hidden="1" x14ac:dyDescent="0.25">
      <c r="A448" s="34" t="s">
        <v>1025</v>
      </c>
      <c r="B448" s="461">
        <v>903</v>
      </c>
      <c r="C448" s="465" t="s">
        <v>299</v>
      </c>
      <c r="D448" s="465" t="s">
        <v>118</v>
      </c>
      <c r="E448" s="465" t="s">
        <v>934</v>
      </c>
      <c r="F448" s="465"/>
      <c r="G448" s="463">
        <f>G451</f>
        <v>0</v>
      </c>
      <c r="H448" s="518"/>
      <c r="I448" s="471"/>
      <c r="J448" s="499"/>
      <c r="K448" s="471"/>
    </row>
    <row r="449" spans="1:12" ht="47.25" hidden="1" x14ac:dyDescent="0.25">
      <c r="A449" s="31" t="s">
        <v>1083</v>
      </c>
      <c r="B449" s="460">
        <v>903</v>
      </c>
      <c r="C449" s="462" t="s">
        <v>299</v>
      </c>
      <c r="D449" s="462" t="s">
        <v>118</v>
      </c>
      <c r="E449" s="462" t="s">
        <v>1026</v>
      </c>
      <c r="F449" s="462"/>
      <c r="G449" s="467">
        <f>G450</f>
        <v>0</v>
      </c>
      <c r="H449" s="518"/>
      <c r="I449" s="471"/>
      <c r="J449" s="499"/>
      <c r="K449" s="471"/>
      <c r="L449" s="204"/>
    </row>
    <row r="450" spans="1:12" ht="31.5" hidden="1" x14ac:dyDescent="0.25">
      <c r="A450" s="466" t="s">
        <v>131</v>
      </c>
      <c r="B450" s="460">
        <v>903</v>
      </c>
      <c r="C450" s="462" t="s">
        <v>299</v>
      </c>
      <c r="D450" s="462" t="s">
        <v>118</v>
      </c>
      <c r="E450" s="462" t="s">
        <v>1026</v>
      </c>
      <c r="F450" s="462" t="s">
        <v>132</v>
      </c>
      <c r="G450" s="467">
        <f>G451</f>
        <v>0</v>
      </c>
      <c r="H450" s="518"/>
      <c r="I450" s="471"/>
      <c r="J450" s="499"/>
      <c r="K450" s="471"/>
      <c r="L450" s="204"/>
    </row>
    <row r="451" spans="1:12" ht="31.5" hidden="1" x14ac:dyDescent="0.25">
      <c r="A451" s="466" t="s">
        <v>133</v>
      </c>
      <c r="B451" s="460">
        <v>903</v>
      </c>
      <c r="C451" s="462" t="s">
        <v>299</v>
      </c>
      <c r="D451" s="462" t="s">
        <v>118</v>
      </c>
      <c r="E451" s="462" t="s">
        <v>1026</v>
      </c>
      <c r="F451" s="462" t="s">
        <v>134</v>
      </c>
      <c r="G451" s="467">
        <v>0</v>
      </c>
      <c r="H451" s="518"/>
      <c r="I451" s="471"/>
      <c r="J451" s="499"/>
      <c r="K451" s="471"/>
      <c r="L451" s="204"/>
    </row>
    <row r="452" spans="1:12" ht="47.25" x14ac:dyDescent="0.25">
      <c r="A452" s="470" t="s">
        <v>1352</v>
      </c>
      <c r="B452" s="461">
        <v>903</v>
      </c>
      <c r="C452" s="465" t="s">
        <v>299</v>
      </c>
      <c r="D452" s="465" t="s">
        <v>118</v>
      </c>
      <c r="E452" s="465" t="s">
        <v>705</v>
      </c>
      <c r="F452" s="474"/>
      <c r="G452" s="463">
        <f>G453</f>
        <v>896</v>
      </c>
      <c r="H452" s="518"/>
      <c r="I452" s="471"/>
      <c r="J452" s="499"/>
      <c r="K452" s="471"/>
      <c r="L452" s="204"/>
    </row>
    <row r="453" spans="1:12" s="204" customFormat="1" ht="47.25" x14ac:dyDescent="0.25">
      <c r="A453" s="470" t="s">
        <v>890</v>
      </c>
      <c r="B453" s="461">
        <v>903</v>
      </c>
      <c r="C453" s="465" t="s">
        <v>299</v>
      </c>
      <c r="D453" s="465" t="s">
        <v>118</v>
      </c>
      <c r="E453" s="465" t="s">
        <v>888</v>
      </c>
      <c r="F453" s="474"/>
      <c r="G453" s="463">
        <f>G454</f>
        <v>896</v>
      </c>
      <c r="H453" s="518"/>
      <c r="I453" s="471"/>
      <c r="J453" s="499"/>
      <c r="K453" s="471"/>
    </row>
    <row r="454" spans="1:12" ht="31.5" x14ac:dyDescent="0.25">
      <c r="A454" s="98" t="s">
        <v>1022</v>
      </c>
      <c r="B454" s="460">
        <v>903</v>
      </c>
      <c r="C454" s="462" t="s">
        <v>299</v>
      </c>
      <c r="D454" s="462" t="s">
        <v>118</v>
      </c>
      <c r="E454" s="462" t="s">
        <v>889</v>
      </c>
      <c r="F454" s="468"/>
      <c r="G454" s="467">
        <f>G455</f>
        <v>896</v>
      </c>
      <c r="H454" s="518"/>
      <c r="I454" s="471"/>
      <c r="J454" s="499"/>
      <c r="K454" s="471"/>
      <c r="L454" s="204"/>
    </row>
    <row r="455" spans="1:12" ht="31.5" x14ac:dyDescent="0.25">
      <c r="A455" s="466" t="s">
        <v>131</v>
      </c>
      <c r="B455" s="460">
        <v>903</v>
      </c>
      <c r="C455" s="462" t="s">
        <v>299</v>
      </c>
      <c r="D455" s="462" t="s">
        <v>118</v>
      </c>
      <c r="E455" s="462" t="s">
        <v>889</v>
      </c>
      <c r="F455" s="468" t="s">
        <v>132</v>
      </c>
      <c r="G455" s="467">
        <f>G456</f>
        <v>896</v>
      </c>
      <c r="H455" s="518"/>
      <c r="I455" s="471"/>
      <c r="J455" s="499"/>
      <c r="K455" s="471"/>
      <c r="L455" s="204"/>
    </row>
    <row r="456" spans="1:12" ht="31.5" x14ac:dyDescent="0.25">
      <c r="A456" s="466" t="s">
        <v>133</v>
      </c>
      <c r="B456" s="460">
        <v>903</v>
      </c>
      <c r="C456" s="462" t="s">
        <v>299</v>
      </c>
      <c r="D456" s="462" t="s">
        <v>118</v>
      </c>
      <c r="E456" s="462" t="s">
        <v>889</v>
      </c>
      <c r="F456" s="468" t="s">
        <v>134</v>
      </c>
      <c r="G456" s="467">
        <f>844.9-39.8-34.4+70.4+30.6+24.3</f>
        <v>896</v>
      </c>
      <c r="H456" s="518"/>
      <c r="I456" s="471"/>
      <c r="J456" s="499"/>
      <c r="K456" s="471"/>
      <c r="L456" s="204"/>
    </row>
    <row r="457" spans="1:12" ht="15.75" x14ac:dyDescent="0.25">
      <c r="A457" s="464" t="s">
        <v>333</v>
      </c>
      <c r="B457" s="461">
        <v>903</v>
      </c>
      <c r="C457" s="465" t="s">
        <v>299</v>
      </c>
      <c r="D457" s="465" t="s">
        <v>150</v>
      </c>
      <c r="E457" s="465"/>
      <c r="F457" s="465"/>
      <c r="G457" s="463">
        <f>G458+G471+G492+G498</f>
        <v>20822.194099999997</v>
      </c>
      <c r="H457" s="518"/>
      <c r="I457" s="471"/>
      <c r="J457" s="499"/>
      <c r="K457" s="471"/>
      <c r="L457" s="204"/>
    </row>
    <row r="458" spans="1:12" s="204" customFormat="1" ht="31.5" x14ac:dyDescent="0.25">
      <c r="A458" s="464" t="s">
        <v>917</v>
      </c>
      <c r="B458" s="461">
        <v>903</v>
      </c>
      <c r="C458" s="465" t="s">
        <v>299</v>
      </c>
      <c r="D458" s="465" t="s">
        <v>150</v>
      </c>
      <c r="E458" s="465" t="s">
        <v>858</v>
      </c>
      <c r="F458" s="465"/>
      <c r="G458" s="463">
        <f>G459</f>
        <v>7046.3579999999993</v>
      </c>
      <c r="H458" s="518"/>
      <c r="I458" s="471"/>
      <c r="J458" s="499"/>
      <c r="K458" s="471"/>
    </row>
    <row r="459" spans="1:12" s="204" customFormat="1" ht="15.75" x14ac:dyDescent="0.25">
      <c r="A459" s="464" t="s">
        <v>918</v>
      </c>
      <c r="B459" s="461">
        <v>903</v>
      </c>
      <c r="C459" s="465" t="s">
        <v>299</v>
      </c>
      <c r="D459" s="465" t="s">
        <v>150</v>
      </c>
      <c r="E459" s="465" t="s">
        <v>859</v>
      </c>
      <c r="F459" s="465"/>
      <c r="G459" s="463">
        <f>G460+G465+G468</f>
        <v>7046.3579999999993</v>
      </c>
      <c r="H459" s="518"/>
      <c r="I459" s="471"/>
      <c r="J459" s="499"/>
      <c r="K459" s="471"/>
    </row>
    <row r="460" spans="1:12" s="204" customFormat="1" ht="31.5" x14ac:dyDescent="0.25">
      <c r="A460" s="466" t="s">
        <v>897</v>
      </c>
      <c r="B460" s="460">
        <v>903</v>
      </c>
      <c r="C460" s="462" t="s">
        <v>299</v>
      </c>
      <c r="D460" s="462" t="s">
        <v>150</v>
      </c>
      <c r="E460" s="462" t="s">
        <v>860</v>
      </c>
      <c r="F460" s="462"/>
      <c r="G460" s="467">
        <f>G461+G463</f>
        <v>6703.5999999999995</v>
      </c>
      <c r="H460" s="518"/>
      <c r="I460" s="471"/>
      <c r="J460" s="499"/>
      <c r="K460" s="471"/>
    </row>
    <row r="461" spans="1:12" s="204" customFormat="1" ht="63" x14ac:dyDescent="0.25">
      <c r="A461" s="466" t="s">
        <v>127</v>
      </c>
      <c r="B461" s="460">
        <v>903</v>
      </c>
      <c r="C461" s="462" t="s">
        <v>299</v>
      </c>
      <c r="D461" s="462" t="s">
        <v>150</v>
      </c>
      <c r="E461" s="462" t="s">
        <v>860</v>
      </c>
      <c r="F461" s="462" t="s">
        <v>128</v>
      </c>
      <c r="G461" s="467">
        <f>G462</f>
        <v>6703.5999999999995</v>
      </c>
      <c r="H461" s="518"/>
      <c r="I461" s="471"/>
      <c r="J461" s="499"/>
      <c r="K461" s="471"/>
    </row>
    <row r="462" spans="1:12" s="204" customFormat="1" ht="31.5" x14ac:dyDescent="0.25">
      <c r="A462" s="466" t="s">
        <v>129</v>
      </c>
      <c r="B462" s="460">
        <v>903</v>
      </c>
      <c r="C462" s="462" t="s">
        <v>299</v>
      </c>
      <c r="D462" s="462" t="s">
        <v>150</v>
      </c>
      <c r="E462" s="462" t="s">
        <v>860</v>
      </c>
      <c r="F462" s="462" t="s">
        <v>130</v>
      </c>
      <c r="G462" s="27">
        <f>7015.6-18.8-285+187-33.5+96.7+17.7+2.9-240.6-23.4-15</f>
        <v>6703.5999999999995</v>
      </c>
      <c r="H462" s="519"/>
      <c r="I462" s="471"/>
      <c r="J462" s="499"/>
      <c r="K462" s="499"/>
    </row>
    <row r="463" spans="1:12" s="204" customFormat="1" ht="31.5" hidden="1" x14ac:dyDescent="0.25">
      <c r="A463" s="466" t="s">
        <v>131</v>
      </c>
      <c r="B463" s="460">
        <v>903</v>
      </c>
      <c r="C463" s="462" t="s">
        <v>299</v>
      </c>
      <c r="D463" s="462" t="s">
        <v>150</v>
      </c>
      <c r="E463" s="462" t="s">
        <v>860</v>
      </c>
      <c r="F463" s="462" t="s">
        <v>132</v>
      </c>
      <c r="G463" s="467">
        <f>G464</f>
        <v>0</v>
      </c>
      <c r="H463" s="518"/>
      <c r="I463" s="471"/>
      <c r="J463" s="499"/>
      <c r="K463" s="471"/>
    </row>
    <row r="464" spans="1:12" s="204" customFormat="1" ht="31.5" hidden="1" x14ac:dyDescent="0.25">
      <c r="A464" s="466" t="s">
        <v>133</v>
      </c>
      <c r="B464" s="460">
        <v>903</v>
      </c>
      <c r="C464" s="462" t="s">
        <v>299</v>
      </c>
      <c r="D464" s="462" t="s">
        <v>150</v>
      </c>
      <c r="E464" s="462" t="s">
        <v>860</v>
      </c>
      <c r="F464" s="462" t="s">
        <v>134</v>
      </c>
      <c r="G464" s="467">
        <v>0</v>
      </c>
      <c r="H464" s="518"/>
      <c r="I464" s="471"/>
      <c r="J464" s="499"/>
      <c r="K464" s="471"/>
    </row>
    <row r="465" spans="1:12" s="204" customFormat="1" ht="31.5" x14ac:dyDescent="0.25">
      <c r="A465" s="466" t="s">
        <v>839</v>
      </c>
      <c r="B465" s="460">
        <v>903</v>
      </c>
      <c r="C465" s="462" t="s">
        <v>299</v>
      </c>
      <c r="D465" s="462" t="s">
        <v>150</v>
      </c>
      <c r="E465" s="462" t="s">
        <v>862</v>
      </c>
      <c r="F465" s="462"/>
      <c r="G465" s="467">
        <f>G466</f>
        <v>215.20000000000002</v>
      </c>
      <c r="H465" s="518"/>
      <c r="I465" s="471"/>
      <c r="J465" s="499"/>
      <c r="K465" s="471"/>
    </row>
    <row r="466" spans="1:12" s="204" customFormat="1" ht="63" x14ac:dyDescent="0.25">
      <c r="A466" s="466" t="s">
        <v>127</v>
      </c>
      <c r="B466" s="460">
        <v>903</v>
      </c>
      <c r="C466" s="462" t="s">
        <v>299</v>
      </c>
      <c r="D466" s="462" t="s">
        <v>150</v>
      </c>
      <c r="E466" s="462" t="s">
        <v>862</v>
      </c>
      <c r="F466" s="462" t="s">
        <v>128</v>
      </c>
      <c r="G466" s="467">
        <f>G467</f>
        <v>215.20000000000002</v>
      </c>
      <c r="H466" s="518"/>
      <c r="I466" s="471"/>
      <c r="J466" s="499"/>
      <c r="K466" s="471"/>
    </row>
    <row r="467" spans="1:12" s="204" customFormat="1" ht="31.5" x14ac:dyDescent="0.25">
      <c r="A467" s="466" t="s">
        <v>129</v>
      </c>
      <c r="B467" s="460">
        <v>903</v>
      </c>
      <c r="C467" s="462" t="s">
        <v>299</v>
      </c>
      <c r="D467" s="462" t="s">
        <v>150</v>
      </c>
      <c r="E467" s="462" t="s">
        <v>862</v>
      </c>
      <c r="F467" s="462" t="s">
        <v>130</v>
      </c>
      <c r="G467" s="467">
        <f>276-33.2-27.6</f>
        <v>215.20000000000002</v>
      </c>
      <c r="H467" s="519"/>
      <c r="I467" s="471"/>
      <c r="J467" s="499"/>
      <c r="K467" s="471"/>
    </row>
    <row r="468" spans="1:12" s="204" customFormat="1" ht="31.5" x14ac:dyDescent="0.25">
      <c r="A468" s="466" t="s">
        <v>1793</v>
      </c>
      <c r="B468" s="460">
        <v>903</v>
      </c>
      <c r="C468" s="462" t="s">
        <v>299</v>
      </c>
      <c r="D468" s="462" t="s">
        <v>150</v>
      </c>
      <c r="E468" s="462" t="s">
        <v>1794</v>
      </c>
      <c r="F468" s="462"/>
      <c r="G468" s="467">
        <f>G469</f>
        <v>127.55800000000001</v>
      </c>
      <c r="H468" s="521"/>
      <c r="I468" s="471"/>
      <c r="J468" s="499"/>
      <c r="K468" s="471"/>
    </row>
    <row r="469" spans="1:12" s="204" customFormat="1" ht="63" x14ac:dyDescent="0.25">
      <c r="A469" s="466" t="s">
        <v>127</v>
      </c>
      <c r="B469" s="460">
        <v>903</v>
      </c>
      <c r="C469" s="462" t="s">
        <v>299</v>
      </c>
      <c r="D469" s="462" t="s">
        <v>150</v>
      </c>
      <c r="E469" s="462" t="s">
        <v>1794</v>
      </c>
      <c r="F469" s="462" t="s">
        <v>128</v>
      </c>
      <c r="G469" s="467">
        <f>G470</f>
        <v>127.55800000000001</v>
      </c>
      <c r="H469" s="521"/>
      <c r="I469" s="471"/>
      <c r="J469" s="499"/>
      <c r="K469" s="471"/>
    </row>
    <row r="470" spans="1:12" s="204" customFormat="1" ht="31.5" x14ac:dyDescent="0.25">
      <c r="A470" s="466" t="s">
        <v>129</v>
      </c>
      <c r="B470" s="460">
        <v>903</v>
      </c>
      <c r="C470" s="462" t="s">
        <v>299</v>
      </c>
      <c r="D470" s="462" t="s">
        <v>150</v>
      </c>
      <c r="E470" s="462" t="s">
        <v>1794</v>
      </c>
      <c r="F470" s="462" t="s">
        <v>130</v>
      </c>
      <c r="G470" s="467">
        <v>127.55800000000001</v>
      </c>
      <c r="H470" s="521"/>
      <c r="I470" s="471"/>
      <c r="J470" s="499"/>
      <c r="K470" s="471"/>
    </row>
    <row r="471" spans="1:12" s="204" customFormat="1" ht="15.75" x14ac:dyDescent="0.25">
      <c r="A471" s="464" t="s">
        <v>926</v>
      </c>
      <c r="B471" s="461">
        <v>903</v>
      </c>
      <c r="C471" s="465" t="s">
        <v>299</v>
      </c>
      <c r="D471" s="465" t="s">
        <v>150</v>
      </c>
      <c r="E471" s="465" t="s">
        <v>866</v>
      </c>
      <c r="F471" s="465"/>
      <c r="G471" s="463">
        <f>G476+G472</f>
        <v>13593.836099999999</v>
      </c>
      <c r="H471" s="518"/>
      <c r="I471" s="471"/>
      <c r="J471" s="499"/>
      <c r="K471" s="471"/>
    </row>
    <row r="472" spans="1:12" s="204" customFormat="1" ht="31.5" x14ac:dyDescent="0.25">
      <c r="A472" s="34" t="s">
        <v>870</v>
      </c>
      <c r="B472" s="461">
        <v>903</v>
      </c>
      <c r="C472" s="465" t="s">
        <v>299</v>
      </c>
      <c r="D472" s="465" t="s">
        <v>150</v>
      </c>
      <c r="E472" s="465" t="s">
        <v>865</v>
      </c>
      <c r="F472" s="465"/>
      <c r="G472" s="463">
        <f>G473</f>
        <v>1185</v>
      </c>
      <c r="H472" s="518"/>
      <c r="I472" s="471"/>
      <c r="J472" s="499"/>
      <c r="K472" s="471"/>
    </row>
    <row r="473" spans="1:12" s="204" customFormat="1" ht="50.25" customHeight="1" x14ac:dyDescent="0.25">
      <c r="A473" s="31" t="s">
        <v>1687</v>
      </c>
      <c r="B473" s="460">
        <v>903</v>
      </c>
      <c r="C473" s="462" t="s">
        <v>299</v>
      </c>
      <c r="D473" s="462" t="s">
        <v>150</v>
      </c>
      <c r="E473" s="462" t="s">
        <v>1686</v>
      </c>
      <c r="F473" s="462"/>
      <c r="G473" s="467">
        <f>G474</f>
        <v>1185</v>
      </c>
      <c r="H473" s="518"/>
      <c r="I473" s="471"/>
      <c r="J473" s="499"/>
      <c r="K473" s="471"/>
    </row>
    <row r="474" spans="1:12" s="204" customFormat="1" ht="31.5" x14ac:dyDescent="0.25">
      <c r="A474" s="466" t="s">
        <v>131</v>
      </c>
      <c r="B474" s="460">
        <v>903</v>
      </c>
      <c r="C474" s="462" t="s">
        <v>299</v>
      </c>
      <c r="D474" s="462" t="s">
        <v>150</v>
      </c>
      <c r="E474" s="462" t="s">
        <v>1686</v>
      </c>
      <c r="F474" s="462" t="s">
        <v>132</v>
      </c>
      <c r="G474" s="467">
        <f>G475</f>
        <v>1185</v>
      </c>
      <c r="H474" s="518"/>
      <c r="I474" s="471"/>
      <c r="J474" s="499"/>
      <c r="K474" s="471"/>
    </row>
    <row r="475" spans="1:12" s="204" customFormat="1" ht="31.5" x14ac:dyDescent="0.25">
      <c r="A475" s="466" t="s">
        <v>133</v>
      </c>
      <c r="B475" s="460">
        <v>903</v>
      </c>
      <c r="C475" s="462" t="s">
        <v>299</v>
      </c>
      <c r="D475" s="462" t="s">
        <v>150</v>
      </c>
      <c r="E475" s="462" t="s">
        <v>1686</v>
      </c>
      <c r="F475" s="462" t="s">
        <v>134</v>
      </c>
      <c r="G475" s="467">
        <v>1185</v>
      </c>
      <c r="H475" s="522"/>
      <c r="I475" s="495"/>
      <c r="J475" s="499"/>
      <c r="K475" s="471"/>
    </row>
    <row r="476" spans="1:12" s="204" customFormat="1" ht="31.7" customHeight="1" x14ac:dyDescent="0.25">
      <c r="A476" s="464" t="s">
        <v>929</v>
      </c>
      <c r="B476" s="461">
        <v>903</v>
      </c>
      <c r="C476" s="465" t="s">
        <v>299</v>
      </c>
      <c r="D476" s="465" t="s">
        <v>150</v>
      </c>
      <c r="E476" s="465" t="s">
        <v>914</v>
      </c>
      <c r="F476" s="465"/>
      <c r="G476" s="463">
        <f>G477+G486+G489</f>
        <v>12408.836099999999</v>
      </c>
      <c r="H476" s="518"/>
      <c r="I476" s="496"/>
      <c r="J476" s="499"/>
      <c r="K476" s="471"/>
    </row>
    <row r="477" spans="1:12" s="204" customFormat="1" ht="30.75" customHeight="1" x14ac:dyDescent="0.25">
      <c r="A477" s="466" t="s">
        <v>903</v>
      </c>
      <c r="B477" s="460">
        <v>903</v>
      </c>
      <c r="C477" s="462" t="s">
        <v>299</v>
      </c>
      <c r="D477" s="462" t="s">
        <v>150</v>
      </c>
      <c r="E477" s="462" t="s">
        <v>915</v>
      </c>
      <c r="F477" s="462"/>
      <c r="G477" s="467">
        <f>G478+G480+G484+G482</f>
        <v>11930.699999999999</v>
      </c>
      <c r="H477" s="518"/>
      <c r="I477" s="471"/>
      <c r="J477" s="499"/>
      <c r="K477" s="471"/>
    </row>
    <row r="478" spans="1:12" s="204" customFormat="1" ht="63" x14ac:dyDescent="0.25">
      <c r="A478" s="466" t="s">
        <v>127</v>
      </c>
      <c r="B478" s="460">
        <v>903</v>
      </c>
      <c r="C478" s="462" t="s">
        <v>299</v>
      </c>
      <c r="D478" s="462" t="s">
        <v>150</v>
      </c>
      <c r="E478" s="462" t="s">
        <v>915</v>
      </c>
      <c r="F478" s="462" t="s">
        <v>128</v>
      </c>
      <c r="G478" s="467">
        <f>G479</f>
        <v>9857.4</v>
      </c>
      <c r="H478" s="518"/>
      <c r="I478" s="471"/>
      <c r="J478" s="499"/>
      <c r="K478" s="471"/>
    </row>
    <row r="479" spans="1:12" s="204" customFormat="1" ht="21.2" customHeight="1" x14ac:dyDescent="0.25">
      <c r="A479" s="466" t="s">
        <v>342</v>
      </c>
      <c r="B479" s="460">
        <v>903</v>
      </c>
      <c r="C479" s="462" t="s">
        <v>299</v>
      </c>
      <c r="D479" s="462" t="s">
        <v>150</v>
      </c>
      <c r="E479" s="462" t="s">
        <v>915</v>
      </c>
      <c r="F479" s="462" t="s">
        <v>209</v>
      </c>
      <c r="G479" s="27">
        <f>8853.8+12.3+16.1+83+400+6.1+27.6+6.8+0.2+259.3+212.5-13.8-6.5</f>
        <v>9857.4</v>
      </c>
      <c r="H479" s="519"/>
      <c r="I479" s="471"/>
      <c r="J479" s="499"/>
      <c r="K479" s="499"/>
      <c r="L479" s="510"/>
    </row>
    <row r="480" spans="1:12" s="204" customFormat="1" ht="31.5" x14ac:dyDescent="0.25">
      <c r="A480" s="466" t="s">
        <v>131</v>
      </c>
      <c r="B480" s="460">
        <v>903</v>
      </c>
      <c r="C480" s="462" t="s">
        <v>299</v>
      </c>
      <c r="D480" s="462" t="s">
        <v>150</v>
      </c>
      <c r="E480" s="462" t="s">
        <v>915</v>
      </c>
      <c r="F480" s="462" t="s">
        <v>132</v>
      </c>
      <c r="G480" s="467">
        <f>G481</f>
        <v>1908.1999999999998</v>
      </c>
      <c r="H480" s="518"/>
      <c r="I480" s="471"/>
      <c r="J480" s="499"/>
      <c r="K480" s="471"/>
    </row>
    <row r="481" spans="1:12" s="204" customFormat="1" ht="31.5" x14ac:dyDescent="0.25">
      <c r="A481" s="466" t="s">
        <v>133</v>
      </c>
      <c r="B481" s="460">
        <v>903</v>
      </c>
      <c r="C481" s="462" t="s">
        <v>299</v>
      </c>
      <c r="D481" s="462" t="s">
        <v>150</v>
      </c>
      <c r="E481" s="462" t="s">
        <v>915</v>
      </c>
      <c r="F481" s="462" t="s">
        <v>134</v>
      </c>
      <c r="G481" s="27">
        <f>1936.4+0.6-140.4+40.4+100+2.7+0.8-10.9+8-0.2-29.2</f>
        <v>1908.1999999999998</v>
      </c>
      <c r="H481" s="519"/>
      <c r="I481" s="471"/>
      <c r="J481" s="499"/>
      <c r="K481" s="471"/>
      <c r="L481" s="510"/>
    </row>
    <row r="482" spans="1:12" s="204" customFormat="1" ht="15.75" x14ac:dyDescent="0.25">
      <c r="A482" s="466" t="s">
        <v>248</v>
      </c>
      <c r="B482" s="460">
        <v>903</v>
      </c>
      <c r="C482" s="462" t="s">
        <v>299</v>
      </c>
      <c r="D482" s="462" t="s">
        <v>150</v>
      </c>
      <c r="E482" s="462" t="s">
        <v>915</v>
      </c>
      <c r="F482" s="462" t="s">
        <v>249</v>
      </c>
      <c r="G482" s="27">
        <f>G483</f>
        <v>147</v>
      </c>
      <c r="H482" s="521"/>
      <c r="I482" s="471"/>
      <c r="J482" s="499"/>
      <c r="K482" s="471"/>
      <c r="L482" s="510"/>
    </row>
    <row r="483" spans="1:12" s="204" customFormat="1" ht="31.5" x14ac:dyDescent="0.25">
      <c r="A483" s="466" t="s">
        <v>250</v>
      </c>
      <c r="B483" s="460">
        <v>903</v>
      </c>
      <c r="C483" s="462" t="s">
        <v>299</v>
      </c>
      <c r="D483" s="462" t="s">
        <v>150</v>
      </c>
      <c r="E483" s="462" t="s">
        <v>915</v>
      </c>
      <c r="F483" s="462" t="s">
        <v>251</v>
      </c>
      <c r="G483" s="27">
        <f>120.2+26.8</f>
        <v>147</v>
      </c>
      <c r="H483" s="521"/>
      <c r="I483" s="471"/>
      <c r="J483" s="499"/>
      <c r="K483" s="471"/>
      <c r="L483" s="510"/>
    </row>
    <row r="484" spans="1:12" s="204" customFormat="1" ht="15.75" x14ac:dyDescent="0.25">
      <c r="A484" s="466" t="s">
        <v>135</v>
      </c>
      <c r="B484" s="460">
        <v>903</v>
      </c>
      <c r="C484" s="462" t="s">
        <v>299</v>
      </c>
      <c r="D484" s="462" t="s">
        <v>150</v>
      </c>
      <c r="E484" s="462" t="s">
        <v>915</v>
      </c>
      <c r="F484" s="462" t="s">
        <v>145</v>
      </c>
      <c r="G484" s="467">
        <f>G485</f>
        <v>18.100000000000001</v>
      </c>
      <c r="H484" s="518"/>
      <c r="I484" s="471"/>
      <c r="J484" s="499"/>
      <c r="K484" s="471"/>
    </row>
    <row r="485" spans="1:12" s="204" customFormat="1" ht="15.75" x14ac:dyDescent="0.25">
      <c r="A485" s="466" t="s">
        <v>568</v>
      </c>
      <c r="B485" s="460">
        <v>903</v>
      </c>
      <c r="C485" s="462" t="s">
        <v>299</v>
      </c>
      <c r="D485" s="462" t="s">
        <v>150</v>
      </c>
      <c r="E485" s="462" t="s">
        <v>915</v>
      </c>
      <c r="F485" s="462" t="s">
        <v>138</v>
      </c>
      <c r="G485" s="467">
        <f>14-1+5.1</f>
        <v>18.100000000000001</v>
      </c>
      <c r="H485" s="518"/>
      <c r="I485" s="471"/>
      <c r="J485" s="499"/>
      <c r="K485" s="471"/>
    </row>
    <row r="486" spans="1:12" s="204" customFormat="1" ht="31.5" x14ac:dyDescent="0.25">
      <c r="A486" s="466" t="s">
        <v>839</v>
      </c>
      <c r="B486" s="460">
        <v>903</v>
      </c>
      <c r="C486" s="462" t="s">
        <v>299</v>
      </c>
      <c r="D486" s="462" t="s">
        <v>150</v>
      </c>
      <c r="E486" s="462" t="s">
        <v>916</v>
      </c>
      <c r="F486" s="462"/>
      <c r="G486" s="467">
        <f>G487</f>
        <v>357.6</v>
      </c>
      <c r="H486" s="518"/>
      <c r="I486" s="471"/>
      <c r="J486" s="499"/>
      <c r="K486" s="471"/>
    </row>
    <row r="487" spans="1:12" s="204" customFormat="1" ht="63" x14ac:dyDescent="0.25">
      <c r="A487" s="466" t="s">
        <v>127</v>
      </c>
      <c r="B487" s="460">
        <v>903</v>
      </c>
      <c r="C487" s="462" t="s">
        <v>299</v>
      </c>
      <c r="D487" s="462" t="s">
        <v>150</v>
      </c>
      <c r="E487" s="462" t="s">
        <v>916</v>
      </c>
      <c r="F487" s="462" t="s">
        <v>128</v>
      </c>
      <c r="G487" s="467">
        <f>G488</f>
        <v>357.6</v>
      </c>
      <c r="H487" s="518"/>
      <c r="I487" s="471"/>
      <c r="J487" s="499"/>
      <c r="K487" s="471"/>
    </row>
    <row r="488" spans="1:12" s="204" customFormat="1" ht="15.75" x14ac:dyDescent="0.25">
      <c r="A488" s="466" t="s">
        <v>342</v>
      </c>
      <c r="B488" s="460">
        <v>903</v>
      </c>
      <c r="C488" s="462" t="s">
        <v>299</v>
      </c>
      <c r="D488" s="462" t="s">
        <v>150</v>
      </c>
      <c r="E488" s="462" t="s">
        <v>916</v>
      </c>
      <c r="F488" s="462" t="s">
        <v>209</v>
      </c>
      <c r="G488" s="467">
        <f>210+95.8+33.2+18.6</f>
        <v>357.6</v>
      </c>
      <c r="H488" s="519"/>
      <c r="I488" s="472"/>
      <c r="J488" s="499"/>
      <c r="K488" s="471"/>
    </row>
    <row r="489" spans="1:12" s="204" customFormat="1" ht="31.5" x14ac:dyDescent="0.25">
      <c r="A489" s="466" t="s">
        <v>1793</v>
      </c>
      <c r="B489" s="460">
        <v>903</v>
      </c>
      <c r="C489" s="462" t="s">
        <v>299</v>
      </c>
      <c r="D489" s="462" t="s">
        <v>150</v>
      </c>
      <c r="E489" s="462" t="s">
        <v>1797</v>
      </c>
      <c r="F489" s="462"/>
      <c r="G489" s="467">
        <f>G490</f>
        <v>120.5361</v>
      </c>
      <c r="H489" s="521"/>
      <c r="I489" s="107"/>
      <c r="J489" s="499"/>
      <c r="K489" s="471"/>
    </row>
    <row r="490" spans="1:12" s="204" customFormat="1" ht="63" x14ac:dyDescent="0.25">
      <c r="A490" s="466" t="s">
        <v>127</v>
      </c>
      <c r="B490" s="460">
        <v>903</v>
      </c>
      <c r="C490" s="462" t="s">
        <v>299</v>
      </c>
      <c r="D490" s="462" t="s">
        <v>150</v>
      </c>
      <c r="E490" s="462" t="s">
        <v>1797</v>
      </c>
      <c r="F490" s="462" t="s">
        <v>128</v>
      </c>
      <c r="G490" s="467">
        <f>G491</f>
        <v>120.5361</v>
      </c>
      <c r="H490" s="521"/>
      <c r="I490" s="107"/>
      <c r="J490" s="499"/>
      <c r="K490" s="471"/>
    </row>
    <row r="491" spans="1:12" s="204" customFormat="1" ht="15.75" x14ac:dyDescent="0.25">
      <c r="A491" s="466" t="s">
        <v>208</v>
      </c>
      <c r="B491" s="460">
        <v>903</v>
      </c>
      <c r="C491" s="462" t="s">
        <v>299</v>
      </c>
      <c r="D491" s="462" t="s">
        <v>150</v>
      </c>
      <c r="E491" s="462" t="s">
        <v>1797</v>
      </c>
      <c r="F491" s="462" t="s">
        <v>209</v>
      </c>
      <c r="G491" s="467">
        <v>120.5361</v>
      </c>
      <c r="H491" s="521"/>
      <c r="I491" s="107"/>
      <c r="J491" s="499"/>
      <c r="K491" s="471"/>
    </row>
    <row r="492" spans="1:12" ht="48.2" customHeight="1" x14ac:dyDescent="0.25">
      <c r="A492" s="464" t="s">
        <v>1358</v>
      </c>
      <c r="B492" s="461">
        <v>903</v>
      </c>
      <c r="C492" s="465" t="s">
        <v>299</v>
      </c>
      <c r="D492" s="465" t="s">
        <v>150</v>
      </c>
      <c r="E492" s="465" t="s">
        <v>344</v>
      </c>
      <c r="F492" s="465"/>
      <c r="G492" s="463">
        <f>G493</f>
        <v>178</v>
      </c>
      <c r="H492" s="518"/>
      <c r="I492" s="471"/>
      <c r="J492" s="499"/>
      <c r="K492" s="471"/>
      <c r="L492" s="204"/>
    </row>
    <row r="493" spans="1:12" ht="31.5" x14ac:dyDescent="0.25">
      <c r="A493" s="464" t="s">
        <v>1364</v>
      </c>
      <c r="B493" s="461">
        <v>903</v>
      </c>
      <c r="C493" s="465" t="s">
        <v>299</v>
      </c>
      <c r="D493" s="465" t="s">
        <v>150</v>
      </c>
      <c r="E493" s="465" t="s">
        <v>362</v>
      </c>
      <c r="F493" s="465"/>
      <c r="G493" s="463">
        <f>G494</f>
        <v>178</v>
      </c>
      <c r="H493" s="518"/>
      <c r="I493" s="471"/>
      <c r="J493" s="499"/>
      <c r="K493" s="471"/>
      <c r="L493" s="204"/>
    </row>
    <row r="494" spans="1:12" s="204" customFormat="1" ht="31.5" x14ac:dyDescent="0.25">
      <c r="A494" s="464" t="s">
        <v>997</v>
      </c>
      <c r="B494" s="461">
        <v>903</v>
      </c>
      <c r="C494" s="465" t="s">
        <v>299</v>
      </c>
      <c r="D494" s="465" t="s">
        <v>150</v>
      </c>
      <c r="E494" s="465" t="s">
        <v>1226</v>
      </c>
      <c r="F494" s="465"/>
      <c r="G494" s="463">
        <f>G495</f>
        <v>178</v>
      </c>
      <c r="H494" s="518"/>
      <c r="I494" s="471"/>
      <c r="J494" s="499"/>
      <c r="K494" s="471"/>
    </row>
    <row r="495" spans="1:12" ht="15.75" x14ac:dyDescent="0.25">
      <c r="A495" s="466" t="s">
        <v>996</v>
      </c>
      <c r="B495" s="460">
        <v>903</v>
      </c>
      <c r="C495" s="462" t="s">
        <v>299</v>
      </c>
      <c r="D495" s="462" t="s">
        <v>150</v>
      </c>
      <c r="E495" s="462" t="s">
        <v>1227</v>
      </c>
      <c r="F495" s="462"/>
      <c r="G495" s="467">
        <f>G496</f>
        <v>178</v>
      </c>
      <c r="H495" s="518"/>
      <c r="I495" s="471"/>
      <c r="J495" s="499"/>
      <c r="K495" s="471"/>
      <c r="L495" s="204"/>
    </row>
    <row r="496" spans="1:12" ht="31.5" x14ac:dyDescent="0.25">
      <c r="A496" s="466" t="s">
        <v>131</v>
      </c>
      <c r="B496" s="460">
        <v>903</v>
      </c>
      <c r="C496" s="462" t="s">
        <v>299</v>
      </c>
      <c r="D496" s="462" t="s">
        <v>150</v>
      </c>
      <c r="E496" s="462" t="s">
        <v>1227</v>
      </c>
      <c r="F496" s="462" t="s">
        <v>132</v>
      </c>
      <c r="G496" s="467">
        <f>G497</f>
        <v>178</v>
      </c>
      <c r="H496" s="518"/>
      <c r="I496" s="471"/>
      <c r="J496" s="499"/>
      <c r="K496" s="471"/>
      <c r="L496" s="204"/>
    </row>
    <row r="497" spans="1:12" ht="31.5" x14ac:dyDescent="0.25">
      <c r="A497" s="466" t="s">
        <v>133</v>
      </c>
      <c r="B497" s="460">
        <v>903</v>
      </c>
      <c r="C497" s="462" t="s">
        <v>299</v>
      </c>
      <c r="D497" s="462" t="s">
        <v>150</v>
      </c>
      <c r="E497" s="462" t="s">
        <v>1227</v>
      </c>
      <c r="F497" s="462" t="s">
        <v>134</v>
      </c>
      <c r="G497" s="467">
        <f>210+50-60+50-50-100+100-22</f>
        <v>178</v>
      </c>
      <c r="H497" s="519"/>
      <c r="I497" s="471"/>
      <c r="J497" s="499"/>
      <c r="K497" s="471"/>
      <c r="L497" s="204"/>
    </row>
    <row r="498" spans="1:12" s="204" customFormat="1" ht="47.25" x14ac:dyDescent="0.25">
      <c r="A498" s="34" t="s">
        <v>1368</v>
      </c>
      <c r="B498" s="461">
        <v>903</v>
      </c>
      <c r="C498" s="465" t="s">
        <v>299</v>
      </c>
      <c r="D498" s="465" t="s">
        <v>150</v>
      </c>
      <c r="E498" s="465" t="s">
        <v>324</v>
      </c>
      <c r="F498" s="465"/>
      <c r="G498" s="463">
        <f>G500</f>
        <v>4</v>
      </c>
      <c r="H498" s="518"/>
      <c r="I498" s="471"/>
      <c r="J498" s="499"/>
      <c r="K498" s="471"/>
    </row>
    <row r="499" spans="1:12" s="204" customFormat="1" ht="47.25" x14ac:dyDescent="0.25">
      <c r="A499" s="34" t="s">
        <v>1025</v>
      </c>
      <c r="B499" s="461">
        <v>903</v>
      </c>
      <c r="C499" s="465" t="s">
        <v>299</v>
      </c>
      <c r="D499" s="465" t="s">
        <v>150</v>
      </c>
      <c r="E499" s="465" t="s">
        <v>934</v>
      </c>
      <c r="F499" s="465"/>
      <c r="G499" s="463">
        <f>G502</f>
        <v>4</v>
      </c>
      <c r="H499" s="518"/>
      <c r="I499" s="471"/>
      <c r="J499" s="499"/>
      <c r="K499" s="471"/>
    </row>
    <row r="500" spans="1:12" s="204" customFormat="1" ht="47.25" x14ac:dyDescent="0.25">
      <c r="A500" s="31" t="s">
        <v>1083</v>
      </c>
      <c r="B500" s="460">
        <v>903</v>
      </c>
      <c r="C500" s="462" t="s">
        <v>299</v>
      </c>
      <c r="D500" s="462" t="s">
        <v>150</v>
      </c>
      <c r="E500" s="462" t="s">
        <v>1026</v>
      </c>
      <c r="F500" s="462"/>
      <c r="G500" s="467">
        <f>G501</f>
        <v>4</v>
      </c>
      <c r="H500" s="518"/>
      <c r="I500" s="471"/>
      <c r="J500" s="499"/>
      <c r="K500" s="471"/>
    </row>
    <row r="501" spans="1:12" s="204" customFormat="1" ht="31.5" x14ac:dyDescent="0.25">
      <c r="A501" s="466" t="s">
        <v>131</v>
      </c>
      <c r="B501" s="460">
        <v>903</v>
      </c>
      <c r="C501" s="462" t="s">
        <v>299</v>
      </c>
      <c r="D501" s="462" t="s">
        <v>150</v>
      </c>
      <c r="E501" s="462" t="s">
        <v>1026</v>
      </c>
      <c r="F501" s="462" t="s">
        <v>132</v>
      </c>
      <c r="G501" s="467">
        <f>G502</f>
        <v>4</v>
      </c>
      <c r="H501" s="518"/>
      <c r="I501" s="471"/>
      <c r="J501" s="499"/>
      <c r="K501" s="471"/>
    </row>
    <row r="502" spans="1:12" s="204" customFormat="1" ht="31.5" x14ac:dyDescent="0.25">
      <c r="A502" s="466" t="s">
        <v>133</v>
      </c>
      <c r="B502" s="460">
        <v>903</v>
      </c>
      <c r="C502" s="462" t="s">
        <v>299</v>
      </c>
      <c r="D502" s="462" t="s">
        <v>150</v>
      </c>
      <c r="E502" s="462" t="s">
        <v>1026</v>
      </c>
      <c r="F502" s="462" t="s">
        <v>134</v>
      </c>
      <c r="G502" s="467">
        <v>4</v>
      </c>
      <c r="H502" s="518"/>
      <c r="I502" s="471"/>
      <c r="J502" s="499"/>
      <c r="K502" s="471"/>
    </row>
    <row r="503" spans="1:12" ht="15.75" x14ac:dyDescent="0.25">
      <c r="A503" s="464" t="s">
        <v>243</v>
      </c>
      <c r="B503" s="461">
        <v>903</v>
      </c>
      <c r="C503" s="465" t="s">
        <v>244</v>
      </c>
      <c r="D503" s="465"/>
      <c r="E503" s="465"/>
      <c r="F503" s="465"/>
      <c r="G503" s="463">
        <f>G504</f>
        <v>1452.2</v>
      </c>
      <c r="H503" s="518"/>
      <c r="I503" s="471"/>
      <c r="J503" s="499"/>
      <c r="K503" s="471"/>
      <c r="L503" s="204"/>
    </row>
    <row r="504" spans="1:12" ht="15.75" x14ac:dyDescent="0.25">
      <c r="A504" s="464" t="s">
        <v>252</v>
      </c>
      <c r="B504" s="461">
        <v>903</v>
      </c>
      <c r="C504" s="465" t="s">
        <v>244</v>
      </c>
      <c r="D504" s="465" t="s">
        <v>215</v>
      </c>
      <c r="E504" s="465"/>
      <c r="F504" s="465"/>
      <c r="G504" s="463">
        <f>G505</f>
        <v>1452.2</v>
      </c>
      <c r="H504" s="518"/>
      <c r="I504" s="471"/>
      <c r="J504" s="499"/>
      <c r="K504" s="471"/>
      <c r="L504" s="204"/>
    </row>
    <row r="505" spans="1:12" ht="47.25" x14ac:dyDescent="0.25">
      <c r="A505" s="464" t="s">
        <v>1358</v>
      </c>
      <c r="B505" s="461">
        <v>903</v>
      </c>
      <c r="C505" s="465" t="s">
        <v>244</v>
      </c>
      <c r="D505" s="465" t="s">
        <v>215</v>
      </c>
      <c r="E505" s="465" t="s">
        <v>344</v>
      </c>
      <c r="F505" s="465"/>
      <c r="G505" s="463">
        <f>G506+G511</f>
        <v>1452.2</v>
      </c>
      <c r="H505" s="518"/>
      <c r="I505" s="471"/>
      <c r="J505" s="499"/>
      <c r="K505" s="471"/>
      <c r="L505" s="204"/>
    </row>
    <row r="506" spans="1:12" ht="15.75" hidden="1" x14ac:dyDescent="0.25">
      <c r="A506" s="464" t="s">
        <v>352</v>
      </c>
      <c r="B506" s="461">
        <v>903</v>
      </c>
      <c r="C506" s="465" t="s">
        <v>244</v>
      </c>
      <c r="D506" s="465" t="s">
        <v>215</v>
      </c>
      <c r="E506" s="465" t="s">
        <v>353</v>
      </c>
      <c r="F506" s="465"/>
      <c r="G506" s="463">
        <f>G507</f>
        <v>0</v>
      </c>
      <c r="H506" s="518"/>
      <c r="I506" s="471"/>
      <c r="J506" s="499"/>
      <c r="K506" s="471"/>
      <c r="L506" s="204"/>
    </row>
    <row r="507" spans="1:12" s="204" customFormat="1" ht="33.75" hidden="1" customHeight="1" x14ac:dyDescent="0.25">
      <c r="A507" s="464" t="s">
        <v>905</v>
      </c>
      <c r="B507" s="461">
        <v>903</v>
      </c>
      <c r="C507" s="465" t="s">
        <v>244</v>
      </c>
      <c r="D507" s="465" t="s">
        <v>215</v>
      </c>
      <c r="E507" s="465" t="s">
        <v>904</v>
      </c>
      <c r="F507" s="465"/>
      <c r="G507" s="463">
        <f>G508</f>
        <v>0</v>
      </c>
      <c r="H507" s="518"/>
      <c r="I507" s="471"/>
      <c r="J507" s="499"/>
      <c r="K507" s="471"/>
    </row>
    <row r="508" spans="1:12" ht="31.5" hidden="1" x14ac:dyDescent="0.25">
      <c r="A508" s="466" t="s">
        <v>824</v>
      </c>
      <c r="B508" s="460">
        <v>903</v>
      </c>
      <c r="C508" s="462" t="s">
        <v>244</v>
      </c>
      <c r="D508" s="462" t="s">
        <v>215</v>
      </c>
      <c r="E508" s="462" t="s">
        <v>906</v>
      </c>
      <c r="F508" s="462"/>
      <c r="G508" s="467">
        <f>G509</f>
        <v>0</v>
      </c>
      <c r="H508" s="518"/>
      <c r="I508" s="471"/>
      <c r="J508" s="499"/>
      <c r="K508" s="471"/>
      <c r="L508" s="204"/>
    </row>
    <row r="509" spans="1:12" ht="15.75" hidden="1" x14ac:dyDescent="0.25">
      <c r="A509" s="466" t="s">
        <v>248</v>
      </c>
      <c r="B509" s="460">
        <v>903</v>
      </c>
      <c r="C509" s="462" t="s">
        <v>244</v>
      </c>
      <c r="D509" s="462" t="s">
        <v>215</v>
      </c>
      <c r="E509" s="462" t="s">
        <v>906</v>
      </c>
      <c r="F509" s="462" t="s">
        <v>249</v>
      </c>
      <c r="G509" s="467">
        <f>G510</f>
        <v>0</v>
      </c>
      <c r="H509" s="518"/>
      <c r="I509" s="471"/>
      <c r="J509" s="499"/>
      <c r="K509" s="471"/>
      <c r="L509" s="204"/>
    </row>
    <row r="510" spans="1:12" ht="31.5" hidden="1" x14ac:dyDescent="0.25">
      <c r="A510" s="466" t="s">
        <v>250</v>
      </c>
      <c r="B510" s="460">
        <v>903</v>
      </c>
      <c r="C510" s="462" t="s">
        <v>244</v>
      </c>
      <c r="D510" s="462" t="s">
        <v>215</v>
      </c>
      <c r="E510" s="462" t="s">
        <v>906</v>
      </c>
      <c r="F510" s="462" t="s">
        <v>251</v>
      </c>
      <c r="G510" s="467"/>
      <c r="H510" s="518"/>
      <c r="I510" s="471"/>
      <c r="J510" s="499"/>
      <c r="K510" s="471"/>
      <c r="L510" s="204"/>
    </row>
    <row r="511" spans="1:12" ht="31.5" x14ac:dyDescent="0.25">
      <c r="A511" s="464" t="s">
        <v>1364</v>
      </c>
      <c r="B511" s="461">
        <v>903</v>
      </c>
      <c r="C511" s="461">
        <v>10</v>
      </c>
      <c r="D511" s="465" t="s">
        <v>215</v>
      </c>
      <c r="E511" s="465" t="s">
        <v>362</v>
      </c>
      <c r="F511" s="465"/>
      <c r="G511" s="463">
        <f>G512+G518+G524</f>
        <v>1452.2</v>
      </c>
      <c r="H511" s="518"/>
      <c r="I511" s="471"/>
      <c r="J511" s="499"/>
      <c r="K511" s="471"/>
      <c r="L511" s="204"/>
    </row>
    <row r="512" spans="1:12" s="204" customFormat="1" ht="31.5" x14ac:dyDescent="0.25">
      <c r="A512" s="464" t="s">
        <v>1040</v>
      </c>
      <c r="B512" s="461">
        <v>903</v>
      </c>
      <c r="C512" s="465" t="s">
        <v>244</v>
      </c>
      <c r="D512" s="465" t="s">
        <v>215</v>
      </c>
      <c r="E512" s="465" t="s">
        <v>913</v>
      </c>
      <c r="F512" s="465"/>
      <c r="G512" s="463">
        <f>G513</f>
        <v>1027.2</v>
      </c>
      <c r="H512" s="518"/>
      <c r="I512" s="471"/>
      <c r="J512" s="499"/>
      <c r="K512" s="471"/>
    </row>
    <row r="513" spans="1:12" s="204" customFormat="1" ht="39.75" customHeight="1" x14ac:dyDescent="0.25">
      <c r="A513" s="98" t="s">
        <v>1041</v>
      </c>
      <c r="B513" s="460">
        <v>903</v>
      </c>
      <c r="C513" s="462" t="s">
        <v>244</v>
      </c>
      <c r="D513" s="462" t="s">
        <v>215</v>
      </c>
      <c r="E513" s="462" t="s">
        <v>1229</v>
      </c>
      <c r="F513" s="462"/>
      <c r="G513" s="467">
        <f>G516+G515</f>
        <v>1027.2</v>
      </c>
      <c r="H513" s="518"/>
      <c r="I513" s="471"/>
      <c r="J513" s="499"/>
      <c r="K513" s="471"/>
    </row>
    <row r="514" spans="1:12" s="204" customFormat="1" ht="31.5" x14ac:dyDescent="0.25">
      <c r="A514" s="466" t="s">
        <v>131</v>
      </c>
      <c r="B514" s="460">
        <v>903</v>
      </c>
      <c r="C514" s="462" t="s">
        <v>244</v>
      </c>
      <c r="D514" s="462" t="s">
        <v>215</v>
      </c>
      <c r="E514" s="462" t="s">
        <v>1229</v>
      </c>
      <c r="F514" s="462" t="s">
        <v>132</v>
      </c>
      <c r="G514" s="467">
        <f>G515</f>
        <v>529.20000000000005</v>
      </c>
      <c r="H514" s="518"/>
      <c r="I514" s="471"/>
      <c r="J514" s="499"/>
      <c r="K514" s="471"/>
    </row>
    <row r="515" spans="1:12" s="204" customFormat="1" ht="31.5" x14ac:dyDescent="0.25">
      <c r="A515" s="466" t="s">
        <v>133</v>
      </c>
      <c r="B515" s="460">
        <v>903</v>
      </c>
      <c r="C515" s="462" t="s">
        <v>244</v>
      </c>
      <c r="D515" s="462" t="s">
        <v>215</v>
      </c>
      <c r="E515" s="462" t="s">
        <v>1229</v>
      </c>
      <c r="F515" s="462" t="s">
        <v>134</v>
      </c>
      <c r="G515" s="467">
        <f>400-100-80.9-104.3+50+235.2+12.3+3.6+45.8+0.1-0.1+67.5</f>
        <v>529.20000000000005</v>
      </c>
      <c r="H515" s="519"/>
      <c r="I515" s="471"/>
      <c r="J515" s="499"/>
      <c r="K515" s="471"/>
    </row>
    <row r="516" spans="1:12" s="204" customFormat="1" ht="15.75" x14ac:dyDescent="0.25">
      <c r="A516" s="466" t="s">
        <v>248</v>
      </c>
      <c r="B516" s="460">
        <v>903</v>
      </c>
      <c r="C516" s="462" t="s">
        <v>244</v>
      </c>
      <c r="D516" s="462" t="s">
        <v>215</v>
      </c>
      <c r="E516" s="462" t="s">
        <v>1229</v>
      </c>
      <c r="F516" s="462" t="s">
        <v>249</v>
      </c>
      <c r="G516" s="467">
        <f>G517</f>
        <v>497.99999999999994</v>
      </c>
      <c r="H516" s="518"/>
      <c r="I516" s="471"/>
      <c r="J516" s="499"/>
      <c r="K516" s="471"/>
    </row>
    <row r="517" spans="1:12" s="204" customFormat="1" ht="15.75" x14ac:dyDescent="0.25">
      <c r="A517" s="466" t="s">
        <v>348</v>
      </c>
      <c r="B517" s="460">
        <v>903</v>
      </c>
      <c r="C517" s="462" t="s">
        <v>244</v>
      </c>
      <c r="D517" s="462" t="s">
        <v>215</v>
      </c>
      <c r="E517" s="462" t="s">
        <v>1229</v>
      </c>
      <c r="F517" s="462" t="s">
        <v>349</v>
      </c>
      <c r="G517" s="467">
        <f>630-137.6+5.7-0.1</f>
        <v>497.99999999999994</v>
      </c>
      <c r="H517" s="518"/>
      <c r="I517" s="471"/>
      <c r="J517" s="499"/>
      <c r="K517" s="471"/>
    </row>
    <row r="518" spans="1:12" s="204" customFormat="1" ht="31.5" x14ac:dyDescent="0.25">
      <c r="A518" s="464" t="s">
        <v>1233</v>
      </c>
      <c r="B518" s="461">
        <v>903</v>
      </c>
      <c r="C518" s="461">
        <v>10</v>
      </c>
      <c r="D518" s="465" t="s">
        <v>215</v>
      </c>
      <c r="E518" s="465" t="s">
        <v>1231</v>
      </c>
      <c r="F518" s="465"/>
      <c r="G518" s="463">
        <f>G519</f>
        <v>205</v>
      </c>
      <c r="H518" s="518"/>
      <c r="I518" s="471"/>
      <c r="J518" s="499"/>
      <c r="K518" s="471"/>
    </row>
    <row r="519" spans="1:12" s="204" customFormat="1" ht="15.75" x14ac:dyDescent="0.25">
      <c r="A519" s="466" t="s">
        <v>1230</v>
      </c>
      <c r="B519" s="460">
        <v>903</v>
      </c>
      <c r="C519" s="462" t="s">
        <v>244</v>
      </c>
      <c r="D519" s="462" t="s">
        <v>215</v>
      </c>
      <c r="E519" s="462" t="s">
        <v>1232</v>
      </c>
      <c r="F519" s="462"/>
      <c r="G519" s="467">
        <f>G521+G523</f>
        <v>205</v>
      </c>
      <c r="H519" s="518"/>
      <c r="I519" s="471"/>
      <c r="J519" s="499"/>
      <c r="K519" s="471"/>
    </row>
    <row r="520" spans="1:12" s="204" customFormat="1" ht="31.5" hidden="1" x14ac:dyDescent="0.25">
      <c r="A520" s="466" t="s">
        <v>131</v>
      </c>
      <c r="B520" s="460">
        <v>903</v>
      </c>
      <c r="C520" s="462" t="s">
        <v>244</v>
      </c>
      <c r="D520" s="462" t="s">
        <v>215</v>
      </c>
      <c r="E520" s="462" t="s">
        <v>1232</v>
      </c>
      <c r="F520" s="462" t="s">
        <v>132</v>
      </c>
      <c r="G520" s="467">
        <f>G521</f>
        <v>0</v>
      </c>
      <c r="H520" s="518"/>
      <c r="I520" s="471"/>
      <c r="J520" s="499"/>
      <c r="K520" s="471"/>
    </row>
    <row r="521" spans="1:12" s="204" customFormat="1" ht="31.5" hidden="1" x14ac:dyDescent="0.25">
      <c r="A521" s="466" t="s">
        <v>133</v>
      </c>
      <c r="B521" s="460">
        <v>903</v>
      </c>
      <c r="C521" s="462" t="s">
        <v>244</v>
      </c>
      <c r="D521" s="462" t="s">
        <v>215</v>
      </c>
      <c r="E521" s="462" t="s">
        <v>1232</v>
      </c>
      <c r="F521" s="462" t="s">
        <v>134</v>
      </c>
      <c r="G521" s="467">
        <f>400-400</f>
        <v>0</v>
      </c>
      <c r="H521" s="518"/>
      <c r="I521" s="471"/>
      <c r="J521" s="499"/>
      <c r="K521" s="471"/>
    </row>
    <row r="522" spans="1:12" s="204" customFormat="1" ht="15.75" x14ac:dyDescent="0.25">
      <c r="A522" s="466" t="s">
        <v>248</v>
      </c>
      <c r="B522" s="460">
        <v>903</v>
      </c>
      <c r="C522" s="462" t="s">
        <v>244</v>
      </c>
      <c r="D522" s="462" t="s">
        <v>215</v>
      </c>
      <c r="E522" s="462" t="s">
        <v>1232</v>
      </c>
      <c r="F522" s="462" t="s">
        <v>249</v>
      </c>
      <c r="G522" s="467">
        <f>G523</f>
        <v>205</v>
      </c>
      <c r="H522" s="518"/>
      <c r="I522" s="471"/>
      <c r="J522" s="499"/>
      <c r="K522" s="471"/>
    </row>
    <row r="523" spans="1:12" s="204" customFormat="1" ht="15.75" x14ac:dyDescent="0.25">
      <c r="A523" s="466" t="s">
        <v>348</v>
      </c>
      <c r="B523" s="460">
        <v>903</v>
      </c>
      <c r="C523" s="462" t="s">
        <v>244</v>
      </c>
      <c r="D523" s="462" t="s">
        <v>215</v>
      </c>
      <c r="E523" s="462" t="s">
        <v>1232</v>
      </c>
      <c r="F523" s="462" t="s">
        <v>349</v>
      </c>
      <c r="G523" s="467">
        <f>257-22-30</f>
        <v>205</v>
      </c>
      <c r="H523" s="518"/>
      <c r="I523" s="471"/>
      <c r="J523" s="499"/>
      <c r="K523" s="471"/>
    </row>
    <row r="524" spans="1:12" s="204" customFormat="1" ht="31.5" x14ac:dyDescent="0.25">
      <c r="A524" s="464" t="s">
        <v>997</v>
      </c>
      <c r="B524" s="461">
        <v>903</v>
      </c>
      <c r="C524" s="461">
        <v>10</v>
      </c>
      <c r="D524" s="465" t="s">
        <v>215</v>
      </c>
      <c r="E524" s="465" t="s">
        <v>1226</v>
      </c>
      <c r="F524" s="465"/>
      <c r="G524" s="463">
        <f>G525</f>
        <v>220</v>
      </c>
      <c r="H524" s="518"/>
      <c r="I524" s="471"/>
      <c r="J524" s="499"/>
      <c r="K524" s="471"/>
    </row>
    <row r="525" spans="1:12" ht="15.75" x14ac:dyDescent="0.25">
      <c r="A525" s="466" t="s">
        <v>1038</v>
      </c>
      <c r="B525" s="460">
        <v>903</v>
      </c>
      <c r="C525" s="462" t="s">
        <v>244</v>
      </c>
      <c r="D525" s="462" t="s">
        <v>215</v>
      </c>
      <c r="E525" s="462" t="s">
        <v>1228</v>
      </c>
      <c r="F525" s="462"/>
      <c r="G525" s="467">
        <f>G526</f>
        <v>220</v>
      </c>
      <c r="H525" s="518"/>
      <c r="I525" s="471"/>
      <c r="J525" s="499"/>
      <c r="K525" s="471"/>
      <c r="L525" s="204"/>
    </row>
    <row r="526" spans="1:12" ht="15.75" x14ac:dyDescent="0.25">
      <c r="A526" s="466" t="s">
        <v>248</v>
      </c>
      <c r="B526" s="460">
        <v>903</v>
      </c>
      <c r="C526" s="462" t="s">
        <v>244</v>
      </c>
      <c r="D526" s="462" t="s">
        <v>215</v>
      </c>
      <c r="E526" s="462" t="s">
        <v>1228</v>
      </c>
      <c r="F526" s="462" t="s">
        <v>249</v>
      </c>
      <c r="G526" s="467">
        <f>G527</f>
        <v>220</v>
      </c>
      <c r="H526" s="518"/>
      <c r="I526" s="471"/>
      <c r="J526" s="499"/>
      <c r="K526" s="471"/>
      <c r="L526" s="204"/>
    </row>
    <row r="527" spans="1:12" ht="15.75" x14ac:dyDescent="0.25">
      <c r="A527" s="466" t="s">
        <v>348</v>
      </c>
      <c r="B527" s="460">
        <v>903</v>
      </c>
      <c r="C527" s="462" t="s">
        <v>244</v>
      </c>
      <c r="D527" s="462" t="s">
        <v>215</v>
      </c>
      <c r="E527" s="462" t="s">
        <v>1228</v>
      </c>
      <c r="F527" s="462" t="s">
        <v>349</v>
      </c>
      <c r="G527" s="467">
        <f>420-71.5-98.5-10-20</f>
        <v>220</v>
      </c>
      <c r="H527" s="518"/>
      <c r="I527" s="471"/>
      <c r="J527" s="499"/>
      <c r="K527" s="471"/>
      <c r="L527" s="204"/>
    </row>
    <row r="528" spans="1:12" s="204" customFormat="1" ht="15.75" x14ac:dyDescent="0.25">
      <c r="A528" s="464" t="s">
        <v>582</v>
      </c>
      <c r="B528" s="461">
        <v>903</v>
      </c>
      <c r="C528" s="465" t="s">
        <v>238</v>
      </c>
      <c r="D528" s="462"/>
      <c r="E528" s="462"/>
      <c r="F528" s="462"/>
      <c r="G528" s="463">
        <f>G529</f>
        <v>5633.9500000000007</v>
      </c>
      <c r="H528" s="518"/>
      <c r="I528" s="471"/>
      <c r="J528" s="499"/>
      <c r="K528" s="471"/>
    </row>
    <row r="529" spans="1:11" s="204" customFormat="1" ht="15.75" x14ac:dyDescent="0.25">
      <c r="A529" s="464" t="s">
        <v>583</v>
      </c>
      <c r="B529" s="461">
        <v>903</v>
      </c>
      <c r="C529" s="465" t="s">
        <v>238</v>
      </c>
      <c r="D529" s="465" t="s">
        <v>213</v>
      </c>
      <c r="E529" s="465"/>
      <c r="F529" s="465"/>
      <c r="G529" s="463">
        <f>G530+G546</f>
        <v>5633.9500000000007</v>
      </c>
      <c r="H529" s="518"/>
      <c r="I529" s="471"/>
      <c r="J529" s="499"/>
      <c r="K529" s="471"/>
    </row>
    <row r="530" spans="1:11" s="204" customFormat="1" ht="31.5" x14ac:dyDescent="0.25">
      <c r="A530" s="464" t="s">
        <v>1362</v>
      </c>
      <c r="B530" s="461">
        <v>903</v>
      </c>
      <c r="C530" s="465" t="s">
        <v>238</v>
      </c>
      <c r="D530" s="465" t="s">
        <v>213</v>
      </c>
      <c r="E530" s="465" t="s">
        <v>267</v>
      </c>
      <c r="F530" s="465"/>
      <c r="G530" s="463">
        <f>G531+G542</f>
        <v>5555.9500000000007</v>
      </c>
      <c r="H530" s="518"/>
      <c r="I530" s="471"/>
      <c r="J530" s="499"/>
      <c r="K530" s="471"/>
    </row>
    <row r="531" spans="1:11" s="204" customFormat="1" ht="31.5" x14ac:dyDescent="0.25">
      <c r="A531" s="464" t="s">
        <v>1305</v>
      </c>
      <c r="B531" s="461">
        <v>903</v>
      </c>
      <c r="C531" s="465" t="s">
        <v>238</v>
      </c>
      <c r="D531" s="465" t="s">
        <v>213</v>
      </c>
      <c r="E531" s="465" t="s">
        <v>1208</v>
      </c>
      <c r="F531" s="465"/>
      <c r="G531" s="463">
        <f>G532+G539</f>
        <v>5294.35</v>
      </c>
      <c r="H531" s="518"/>
      <c r="I531" s="471"/>
      <c r="J531" s="499"/>
      <c r="K531" s="471"/>
    </row>
    <row r="532" spans="1:11" s="204" customFormat="1" ht="15.75" x14ac:dyDescent="0.25">
      <c r="A532" s="466" t="s">
        <v>801</v>
      </c>
      <c r="B532" s="460">
        <v>903</v>
      </c>
      <c r="C532" s="462" t="s">
        <v>238</v>
      </c>
      <c r="D532" s="462" t="s">
        <v>213</v>
      </c>
      <c r="E532" s="462" t="s">
        <v>1209</v>
      </c>
      <c r="F532" s="462"/>
      <c r="G532" s="467">
        <f>G533+G535+G537</f>
        <v>5176.8</v>
      </c>
      <c r="H532" s="518"/>
      <c r="I532" s="471"/>
      <c r="J532" s="499"/>
      <c r="K532" s="471"/>
    </row>
    <row r="533" spans="1:11" s="204" customFormat="1" ht="63" x14ac:dyDescent="0.25">
      <c r="A533" s="466" t="s">
        <v>127</v>
      </c>
      <c r="B533" s="460">
        <v>903</v>
      </c>
      <c r="C533" s="462" t="s">
        <v>238</v>
      </c>
      <c r="D533" s="462" t="s">
        <v>213</v>
      </c>
      <c r="E533" s="462" t="s">
        <v>1209</v>
      </c>
      <c r="F533" s="462" t="s">
        <v>128</v>
      </c>
      <c r="G533" s="467">
        <f>G534</f>
        <v>4026.6</v>
      </c>
      <c r="H533" s="518"/>
      <c r="I533" s="471"/>
      <c r="J533" s="499"/>
      <c r="K533" s="471"/>
    </row>
    <row r="534" spans="1:11" s="204" customFormat="1" ht="15.75" x14ac:dyDescent="0.25">
      <c r="A534" s="466" t="s">
        <v>208</v>
      </c>
      <c r="B534" s="460">
        <v>903</v>
      </c>
      <c r="C534" s="462" t="s">
        <v>238</v>
      </c>
      <c r="D534" s="462" t="s">
        <v>213</v>
      </c>
      <c r="E534" s="462" t="s">
        <v>1209</v>
      </c>
      <c r="F534" s="462" t="s">
        <v>209</v>
      </c>
      <c r="G534" s="27">
        <f>4897.2-100+1.1-463.7-70.2-0.1-77.6+463.7-5+5-200-47.7-203.3-36.9-139.8+121.5-117.6</f>
        <v>4026.6</v>
      </c>
      <c r="H534" s="519"/>
      <c r="I534" s="471"/>
      <c r="J534" s="499"/>
      <c r="K534" s="499"/>
    </row>
    <row r="535" spans="1:11" s="204" customFormat="1" ht="31.5" x14ac:dyDescent="0.25">
      <c r="A535" s="466" t="s">
        <v>131</v>
      </c>
      <c r="B535" s="460">
        <v>903</v>
      </c>
      <c r="C535" s="462" t="s">
        <v>238</v>
      </c>
      <c r="D535" s="462" t="s">
        <v>213</v>
      </c>
      <c r="E535" s="462" t="s">
        <v>1209</v>
      </c>
      <c r="F535" s="462" t="s">
        <v>132</v>
      </c>
      <c r="G535" s="467">
        <f>G536</f>
        <v>1132.5</v>
      </c>
      <c r="H535" s="518"/>
      <c r="I535" s="471"/>
      <c r="J535" s="499"/>
      <c r="K535" s="471"/>
    </row>
    <row r="536" spans="1:11" s="204" customFormat="1" ht="31.5" x14ac:dyDescent="0.25">
      <c r="A536" s="466" t="s">
        <v>133</v>
      </c>
      <c r="B536" s="460">
        <v>903</v>
      </c>
      <c r="C536" s="462" t="s">
        <v>238</v>
      </c>
      <c r="D536" s="462" t="s">
        <v>213</v>
      </c>
      <c r="E536" s="462" t="s">
        <v>1209</v>
      </c>
      <c r="F536" s="462" t="s">
        <v>134</v>
      </c>
      <c r="G536" s="27">
        <f>1456-797-63.9-68+60+60+68+50+16.6+13-30+2.1+0.1+5-10+139.8+235-4.2</f>
        <v>1132.5</v>
      </c>
      <c r="H536" s="519"/>
      <c r="I536" s="471"/>
      <c r="J536" s="499"/>
      <c r="K536" s="471"/>
    </row>
    <row r="537" spans="1:11" s="204" customFormat="1" ht="15.75" x14ac:dyDescent="0.25">
      <c r="A537" s="466" t="s">
        <v>135</v>
      </c>
      <c r="B537" s="460">
        <v>903</v>
      </c>
      <c r="C537" s="462" t="s">
        <v>238</v>
      </c>
      <c r="D537" s="462" t="s">
        <v>213</v>
      </c>
      <c r="E537" s="462" t="s">
        <v>1209</v>
      </c>
      <c r="F537" s="462" t="s">
        <v>145</v>
      </c>
      <c r="G537" s="467">
        <f>G538</f>
        <v>17.700000000000003</v>
      </c>
      <c r="H537" s="518"/>
      <c r="I537" s="471"/>
      <c r="J537" s="499"/>
      <c r="K537" s="471"/>
    </row>
    <row r="538" spans="1:11" s="204" customFormat="1" ht="15.75" x14ac:dyDescent="0.25">
      <c r="A538" s="466" t="s">
        <v>568</v>
      </c>
      <c r="B538" s="460">
        <v>903</v>
      </c>
      <c r="C538" s="462" t="s">
        <v>238</v>
      </c>
      <c r="D538" s="462" t="s">
        <v>213</v>
      </c>
      <c r="E538" s="462" t="s">
        <v>1209</v>
      </c>
      <c r="F538" s="462" t="s">
        <v>138</v>
      </c>
      <c r="G538" s="467">
        <f>30+0.1-12.4</f>
        <v>17.700000000000003</v>
      </c>
      <c r="H538" s="518"/>
      <c r="I538" s="471"/>
      <c r="J538" s="499"/>
      <c r="K538" s="471"/>
    </row>
    <row r="539" spans="1:11" s="204" customFormat="1" ht="47.25" x14ac:dyDescent="0.25">
      <c r="A539" s="466" t="s">
        <v>1776</v>
      </c>
      <c r="B539" s="460">
        <v>903</v>
      </c>
      <c r="C539" s="462" t="s">
        <v>238</v>
      </c>
      <c r="D539" s="462" t="s">
        <v>213</v>
      </c>
      <c r="E539" s="462" t="s">
        <v>1777</v>
      </c>
      <c r="F539" s="462"/>
      <c r="G539" s="467">
        <f>G540</f>
        <v>117.55</v>
      </c>
      <c r="H539" s="518"/>
      <c r="I539" s="471"/>
      <c r="J539" s="499"/>
      <c r="K539" s="471"/>
    </row>
    <row r="540" spans="1:11" s="204" customFormat="1" ht="63" x14ac:dyDescent="0.25">
      <c r="A540" s="466" t="s">
        <v>127</v>
      </c>
      <c r="B540" s="460">
        <v>903</v>
      </c>
      <c r="C540" s="462" t="s">
        <v>238</v>
      </c>
      <c r="D540" s="462" t="s">
        <v>213</v>
      </c>
      <c r="E540" s="462" t="s">
        <v>1777</v>
      </c>
      <c r="F540" s="462" t="s">
        <v>128</v>
      </c>
      <c r="G540" s="467">
        <f>G541</f>
        <v>117.55</v>
      </c>
      <c r="H540" s="518"/>
      <c r="I540" s="471"/>
      <c r="J540" s="499"/>
      <c r="K540" s="471"/>
    </row>
    <row r="541" spans="1:11" s="204" customFormat="1" ht="15.75" x14ac:dyDescent="0.25">
      <c r="A541" s="46" t="s">
        <v>342</v>
      </c>
      <c r="B541" s="460">
        <v>903</v>
      </c>
      <c r="C541" s="462" t="s">
        <v>238</v>
      </c>
      <c r="D541" s="462" t="s">
        <v>213</v>
      </c>
      <c r="E541" s="462" t="s">
        <v>1777</v>
      </c>
      <c r="F541" s="462" t="s">
        <v>209</v>
      </c>
      <c r="G541" s="467">
        <v>117.55</v>
      </c>
      <c r="H541" s="518"/>
      <c r="I541" s="471"/>
      <c r="J541" s="499"/>
      <c r="K541" s="471"/>
    </row>
    <row r="542" spans="1:11" s="204" customFormat="1" ht="31.5" x14ac:dyDescent="0.25">
      <c r="A542" s="464" t="s">
        <v>947</v>
      </c>
      <c r="B542" s="461">
        <v>903</v>
      </c>
      <c r="C542" s="465" t="s">
        <v>238</v>
      </c>
      <c r="D542" s="465" t="s">
        <v>213</v>
      </c>
      <c r="E542" s="465" t="s">
        <v>1213</v>
      </c>
      <c r="F542" s="465"/>
      <c r="G542" s="463">
        <f>G543</f>
        <v>261.60000000000002</v>
      </c>
      <c r="H542" s="518"/>
      <c r="I542" s="471"/>
      <c r="J542" s="499"/>
      <c r="K542" s="471"/>
    </row>
    <row r="543" spans="1:11" s="204" customFormat="1" ht="31.5" x14ac:dyDescent="0.25">
      <c r="A543" s="466" t="s">
        <v>839</v>
      </c>
      <c r="B543" s="460">
        <v>903</v>
      </c>
      <c r="C543" s="462" t="s">
        <v>238</v>
      </c>
      <c r="D543" s="462" t="s">
        <v>213</v>
      </c>
      <c r="E543" s="462" t="s">
        <v>1214</v>
      </c>
      <c r="F543" s="462"/>
      <c r="G543" s="467">
        <f>G544</f>
        <v>261.60000000000002</v>
      </c>
      <c r="H543" s="518"/>
      <c r="I543" s="471"/>
      <c r="J543" s="499"/>
      <c r="K543" s="471"/>
    </row>
    <row r="544" spans="1:11" s="204" customFormat="1" ht="63" x14ac:dyDescent="0.25">
      <c r="A544" s="466" t="s">
        <v>127</v>
      </c>
      <c r="B544" s="460">
        <v>903</v>
      </c>
      <c r="C544" s="462" t="s">
        <v>238</v>
      </c>
      <c r="D544" s="462" t="s">
        <v>213</v>
      </c>
      <c r="E544" s="462" t="s">
        <v>1214</v>
      </c>
      <c r="F544" s="462" t="s">
        <v>128</v>
      </c>
      <c r="G544" s="467">
        <f>G545</f>
        <v>261.60000000000002</v>
      </c>
      <c r="H544" s="518"/>
      <c r="I544" s="471"/>
      <c r="J544" s="499"/>
      <c r="K544" s="471"/>
    </row>
    <row r="545" spans="1:11" s="204" customFormat="1" ht="15.75" x14ac:dyDescent="0.25">
      <c r="A545" s="466" t="s">
        <v>208</v>
      </c>
      <c r="B545" s="460">
        <v>903</v>
      </c>
      <c r="C545" s="462" t="s">
        <v>238</v>
      </c>
      <c r="D545" s="462" t="s">
        <v>213</v>
      </c>
      <c r="E545" s="462" t="s">
        <v>1214</v>
      </c>
      <c r="F545" s="462" t="s">
        <v>209</v>
      </c>
      <c r="G545" s="467">
        <f>276-75.2+57.2+4.3-0.7</f>
        <v>261.60000000000002</v>
      </c>
      <c r="H545" s="518"/>
      <c r="I545" s="471"/>
      <c r="J545" s="499"/>
      <c r="K545" s="471"/>
    </row>
    <row r="546" spans="1:11" s="204" customFormat="1" ht="47.25" x14ac:dyDescent="0.25">
      <c r="A546" s="470" t="s">
        <v>1352</v>
      </c>
      <c r="B546" s="461">
        <v>903</v>
      </c>
      <c r="C546" s="465" t="s">
        <v>238</v>
      </c>
      <c r="D546" s="465" t="s">
        <v>213</v>
      </c>
      <c r="E546" s="465" t="s">
        <v>705</v>
      </c>
      <c r="F546" s="474"/>
      <c r="G546" s="463">
        <f>G548</f>
        <v>78</v>
      </c>
      <c r="H546" s="518"/>
      <c r="I546" s="471"/>
      <c r="J546" s="499"/>
      <c r="K546" s="471"/>
    </row>
    <row r="547" spans="1:11" s="204" customFormat="1" ht="47.25" x14ac:dyDescent="0.25">
      <c r="A547" s="470" t="s">
        <v>890</v>
      </c>
      <c r="B547" s="461">
        <v>903</v>
      </c>
      <c r="C547" s="465" t="s">
        <v>238</v>
      </c>
      <c r="D547" s="465" t="s">
        <v>213</v>
      </c>
      <c r="E547" s="465" t="s">
        <v>888</v>
      </c>
      <c r="F547" s="474"/>
      <c r="G547" s="463">
        <f>G548</f>
        <v>78</v>
      </c>
      <c r="H547" s="518"/>
      <c r="I547" s="471"/>
      <c r="J547" s="499"/>
      <c r="K547" s="471"/>
    </row>
    <row r="548" spans="1:11" s="204" customFormat="1" ht="31.5" x14ac:dyDescent="0.25">
      <c r="A548" s="98" t="s">
        <v>1004</v>
      </c>
      <c r="B548" s="460">
        <v>903</v>
      </c>
      <c r="C548" s="462" t="s">
        <v>238</v>
      </c>
      <c r="D548" s="462" t="s">
        <v>213</v>
      </c>
      <c r="E548" s="462" t="s">
        <v>889</v>
      </c>
      <c r="F548" s="468"/>
      <c r="G548" s="467">
        <f>G549</f>
        <v>78</v>
      </c>
      <c r="H548" s="518"/>
      <c r="I548" s="471"/>
      <c r="J548" s="499"/>
      <c r="K548" s="471"/>
    </row>
    <row r="549" spans="1:11" s="204" customFormat="1" ht="31.5" x14ac:dyDescent="0.25">
      <c r="A549" s="466" t="s">
        <v>131</v>
      </c>
      <c r="B549" s="460">
        <v>903</v>
      </c>
      <c r="C549" s="462" t="s">
        <v>238</v>
      </c>
      <c r="D549" s="462" t="s">
        <v>213</v>
      </c>
      <c r="E549" s="462" t="s">
        <v>889</v>
      </c>
      <c r="F549" s="468" t="s">
        <v>132</v>
      </c>
      <c r="G549" s="467">
        <f>G550</f>
        <v>78</v>
      </c>
      <c r="H549" s="518"/>
      <c r="I549" s="471"/>
      <c r="J549" s="499"/>
      <c r="K549" s="471"/>
    </row>
    <row r="550" spans="1:11" s="204" customFormat="1" ht="31.5" x14ac:dyDescent="0.25">
      <c r="A550" s="466" t="s">
        <v>133</v>
      </c>
      <c r="B550" s="460">
        <v>903</v>
      </c>
      <c r="C550" s="462" t="s">
        <v>238</v>
      </c>
      <c r="D550" s="462" t="s">
        <v>213</v>
      </c>
      <c r="E550" s="462" t="s">
        <v>889</v>
      </c>
      <c r="F550" s="468" t="s">
        <v>134</v>
      </c>
      <c r="G550" s="467">
        <f>72+6</f>
        <v>78</v>
      </c>
      <c r="H550" s="518"/>
      <c r="I550" s="471"/>
      <c r="J550" s="499"/>
      <c r="K550" s="471"/>
    </row>
    <row r="551" spans="1:11" s="204" customFormat="1" ht="31.5" x14ac:dyDescent="0.25">
      <c r="A551" s="464" t="s">
        <v>1754</v>
      </c>
      <c r="B551" s="461">
        <v>904</v>
      </c>
      <c r="C551" s="465"/>
      <c r="D551" s="465"/>
      <c r="E551" s="465"/>
      <c r="F551" s="474"/>
      <c r="G551" s="463">
        <f>G553</f>
        <v>826.04</v>
      </c>
      <c r="H551" s="518"/>
      <c r="I551" s="471"/>
      <c r="J551" s="499"/>
      <c r="K551" s="471"/>
    </row>
    <row r="552" spans="1:11" s="204" customFormat="1" ht="15.75" x14ac:dyDescent="0.25">
      <c r="A552" s="464" t="s">
        <v>117</v>
      </c>
      <c r="B552" s="461">
        <v>904</v>
      </c>
      <c r="C552" s="465" t="s">
        <v>118</v>
      </c>
      <c r="D552" s="465"/>
      <c r="E552" s="465"/>
      <c r="F552" s="474"/>
      <c r="G552" s="463">
        <f>G553</f>
        <v>826.04</v>
      </c>
      <c r="H552" s="518"/>
      <c r="I552" s="471"/>
      <c r="J552" s="499"/>
      <c r="K552" s="471"/>
    </row>
    <row r="553" spans="1:11" s="204" customFormat="1" ht="47.25" x14ac:dyDescent="0.25">
      <c r="A553" s="464" t="s">
        <v>119</v>
      </c>
      <c r="B553" s="461">
        <v>904</v>
      </c>
      <c r="C553" s="465" t="s">
        <v>118</v>
      </c>
      <c r="D553" s="465" t="s">
        <v>120</v>
      </c>
      <c r="E553" s="465"/>
      <c r="F553" s="465"/>
      <c r="G553" s="463">
        <f>G554</f>
        <v>826.04</v>
      </c>
      <c r="H553" s="518"/>
      <c r="I553" s="471"/>
      <c r="J553" s="499"/>
      <c r="K553" s="471"/>
    </row>
    <row r="554" spans="1:11" s="204" customFormat="1" ht="31.5" x14ac:dyDescent="0.25">
      <c r="A554" s="464" t="s">
        <v>917</v>
      </c>
      <c r="B554" s="461">
        <v>904</v>
      </c>
      <c r="C554" s="465" t="s">
        <v>118</v>
      </c>
      <c r="D554" s="465" t="s">
        <v>120</v>
      </c>
      <c r="E554" s="465" t="s">
        <v>858</v>
      </c>
      <c r="F554" s="465"/>
      <c r="G554" s="463">
        <f>G555</f>
        <v>826.04</v>
      </c>
      <c r="H554" s="518"/>
      <c r="I554" s="471"/>
      <c r="J554" s="499"/>
      <c r="K554" s="471"/>
    </row>
    <row r="555" spans="1:11" s="204" customFormat="1" ht="31.5" x14ac:dyDescent="0.25">
      <c r="A555" s="464" t="s">
        <v>1755</v>
      </c>
      <c r="B555" s="461">
        <v>904</v>
      </c>
      <c r="C555" s="465" t="s">
        <v>118</v>
      </c>
      <c r="D555" s="465" t="s">
        <v>120</v>
      </c>
      <c r="E555" s="465" t="s">
        <v>1756</v>
      </c>
      <c r="F555" s="465"/>
      <c r="G555" s="463">
        <f>G556+G561+G564</f>
        <v>826.04</v>
      </c>
      <c r="H555" s="518"/>
      <c r="I555" s="471"/>
      <c r="J555" s="499"/>
      <c r="K555" s="471"/>
    </row>
    <row r="556" spans="1:11" s="552" customFormat="1" ht="31.5" x14ac:dyDescent="0.25">
      <c r="A556" s="466" t="s">
        <v>897</v>
      </c>
      <c r="B556" s="460">
        <v>904</v>
      </c>
      <c r="C556" s="462" t="s">
        <v>118</v>
      </c>
      <c r="D556" s="462" t="s">
        <v>120</v>
      </c>
      <c r="E556" s="462" t="s">
        <v>1759</v>
      </c>
      <c r="F556" s="462"/>
      <c r="G556" s="467">
        <f>G557+G559</f>
        <v>185</v>
      </c>
      <c r="H556" s="549"/>
      <c r="I556" s="550"/>
      <c r="J556" s="551"/>
      <c r="K556" s="550"/>
    </row>
    <row r="557" spans="1:11" s="552" customFormat="1" ht="63" x14ac:dyDescent="0.25">
      <c r="A557" s="466" t="s">
        <v>127</v>
      </c>
      <c r="B557" s="460">
        <v>904</v>
      </c>
      <c r="C557" s="462" t="s">
        <v>118</v>
      </c>
      <c r="D557" s="462" t="s">
        <v>120</v>
      </c>
      <c r="E557" s="462" t="s">
        <v>1759</v>
      </c>
      <c r="F557" s="462" t="s">
        <v>128</v>
      </c>
      <c r="G557" s="467">
        <f>G558</f>
        <v>161.69999999999999</v>
      </c>
      <c r="H557" s="549"/>
      <c r="I557" s="550"/>
      <c r="J557" s="551"/>
      <c r="K557" s="550"/>
    </row>
    <row r="558" spans="1:11" s="552" customFormat="1" ht="31.5" x14ac:dyDescent="0.25">
      <c r="A558" s="466" t="s">
        <v>129</v>
      </c>
      <c r="B558" s="460">
        <v>904</v>
      </c>
      <c r="C558" s="462" t="s">
        <v>118</v>
      </c>
      <c r="D558" s="462" t="s">
        <v>120</v>
      </c>
      <c r="E558" s="462" t="s">
        <v>1759</v>
      </c>
      <c r="F558" s="462" t="s">
        <v>130</v>
      </c>
      <c r="G558" s="467">
        <f>74.2+22+65.5</f>
        <v>161.69999999999999</v>
      </c>
      <c r="H558" s="549"/>
      <c r="I558" s="550"/>
      <c r="J558" s="551"/>
      <c r="K558" s="550"/>
    </row>
    <row r="559" spans="1:11" s="552" customFormat="1" ht="31.5" x14ac:dyDescent="0.25">
      <c r="A559" s="466" t="s">
        <v>198</v>
      </c>
      <c r="B559" s="460">
        <v>904</v>
      </c>
      <c r="C559" s="462" t="s">
        <v>118</v>
      </c>
      <c r="D559" s="462" t="s">
        <v>120</v>
      </c>
      <c r="E559" s="462" t="s">
        <v>1759</v>
      </c>
      <c r="F559" s="462" t="s">
        <v>132</v>
      </c>
      <c r="G559" s="467">
        <f>G560</f>
        <v>23.3</v>
      </c>
      <c r="H559" s="549"/>
      <c r="I559" s="550"/>
      <c r="J559" s="551"/>
      <c r="K559" s="550"/>
    </row>
    <row r="560" spans="1:11" s="204" customFormat="1" ht="31.5" x14ac:dyDescent="0.25">
      <c r="A560" s="466" t="s">
        <v>133</v>
      </c>
      <c r="B560" s="460">
        <v>904</v>
      </c>
      <c r="C560" s="462" t="s">
        <v>118</v>
      </c>
      <c r="D560" s="462" t="s">
        <v>120</v>
      </c>
      <c r="E560" s="462" t="s">
        <v>1759</v>
      </c>
      <c r="F560" s="462" t="s">
        <v>134</v>
      </c>
      <c r="G560" s="467">
        <f>18+5.3</f>
        <v>23.3</v>
      </c>
      <c r="H560" s="518"/>
      <c r="I560" s="471"/>
      <c r="J560" s="499"/>
      <c r="K560" s="471"/>
    </row>
    <row r="561" spans="1:12" s="204" customFormat="1" ht="47.25" x14ac:dyDescent="0.25">
      <c r="A561" s="466" t="s">
        <v>1757</v>
      </c>
      <c r="B561" s="460">
        <v>904</v>
      </c>
      <c r="C561" s="462" t="s">
        <v>118</v>
      </c>
      <c r="D561" s="462" t="s">
        <v>120</v>
      </c>
      <c r="E561" s="462" t="s">
        <v>1758</v>
      </c>
      <c r="F561" s="462"/>
      <c r="G561" s="467">
        <f>G562</f>
        <v>549.9</v>
      </c>
      <c r="H561" s="518"/>
      <c r="I561" s="471"/>
      <c r="J561" s="499"/>
      <c r="K561" s="471"/>
    </row>
    <row r="562" spans="1:12" s="204" customFormat="1" ht="63" x14ac:dyDescent="0.25">
      <c r="A562" s="466" t="s">
        <v>127</v>
      </c>
      <c r="B562" s="460">
        <v>904</v>
      </c>
      <c r="C562" s="462" t="s">
        <v>118</v>
      </c>
      <c r="D562" s="462" t="s">
        <v>120</v>
      </c>
      <c r="E562" s="462" t="s">
        <v>1758</v>
      </c>
      <c r="F562" s="462" t="s">
        <v>128</v>
      </c>
      <c r="G562" s="467">
        <f>G563</f>
        <v>549.9</v>
      </c>
      <c r="H562" s="518"/>
      <c r="I562" s="471"/>
      <c r="J562" s="499"/>
      <c r="K562" s="471"/>
    </row>
    <row r="563" spans="1:12" s="204" customFormat="1" ht="31.5" x14ac:dyDescent="0.25">
      <c r="A563" s="466" t="s">
        <v>129</v>
      </c>
      <c r="B563" s="460">
        <v>904</v>
      </c>
      <c r="C563" s="462" t="s">
        <v>118</v>
      </c>
      <c r="D563" s="462" t="s">
        <v>120</v>
      </c>
      <c r="E563" s="462" t="s">
        <v>1758</v>
      </c>
      <c r="F563" s="462" t="s">
        <v>130</v>
      </c>
      <c r="G563" s="467">
        <f>229.504+7.1+53.4+8.196+17.2+234.5</f>
        <v>549.9</v>
      </c>
      <c r="H563" s="518"/>
      <c r="I563" s="471"/>
      <c r="J563" s="499"/>
      <c r="K563" s="471"/>
    </row>
    <row r="564" spans="1:12" s="204" customFormat="1" ht="31.5" x14ac:dyDescent="0.25">
      <c r="A564" s="466" t="s">
        <v>1793</v>
      </c>
      <c r="B564" s="460">
        <v>904</v>
      </c>
      <c r="C564" s="462" t="s">
        <v>118</v>
      </c>
      <c r="D564" s="462" t="s">
        <v>120</v>
      </c>
      <c r="E564" s="462" t="s">
        <v>1798</v>
      </c>
      <c r="F564" s="462"/>
      <c r="G564" s="467">
        <f>G565</f>
        <v>91.14</v>
      </c>
      <c r="H564" s="518"/>
      <c r="I564" s="471"/>
      <c r="J564" s="499"/>
      <c r="K564" s="471"/>
    </row>
    <row r="565" spans="1:12" s="204" customFormat="1" ht="63" x14ac:dyDescent="0.25">
      <c r="A565" s="466" t="s">
        <v>127</v>
      </c>
      <c r="B565" s="460">
        <v>904</v>
      </c>
      <c r="C565" s="462" t="s">
        <v>118</v>
      </c>
      <c r="D565" s="462" t="s">
        <v>120</v>
      </c>
      <c r="E565" s="462" t="s">
        <v>1798</v>
      </c>
      <c r="F565" s="462" t="s">
        <v>128</v>
      </c>
      <c r="G565" s="467">
        <f>G566</f>
        <v>91.14</v>
      </c>
      <c r="H565" s="518"/>
      <c r="I565" s="471"/>
      <c r="J565" s="499"/>
      <c r="K565" s="471"/>
    </row>
    <row r="566" spans="1:12" s="204" customFormat="1" ht="31.5" x14ac:dyDescent="0.25">
      <c r="A566" s="466" t="s">
        <v>129</v>
      </c>
      <c r="B566" s="460">
        <v>904</v>
      </c>
      <c r="C566" s="462" t="s">
        <v>118</v>
      </c>
      <c r="D566" s="462" t="s">
        <v>120</v>
      </c>
      <c r="E566" s="462" t="s">
        <v>1798</v>
      </c>
      <c r="F566" s="462" t="s">
        <v>130</v>
      </c>
      <c r="G566" s="467">
        <f>143.22-52.08</f>
        <v>91.14</v>
      </c>
      <c r="H566" s="518"/>
      <c r="I566" s="471"/>
      <c r="J566" s="499"/>
      <c r="K566" s="471"/>
    </row>
    <row r="567" spans="1:12" ht="31.5" x14ac:dyDescent="0.25">
      <c r="A567" s="461" t="s">
        <v>387</v>
      </c>
      <c r="B567" s="461">
        <v>905</v>
      </c>
      <c r="C567" s="462"/>
      <c r="D567" s="462"/>
      <c r="E567" s="462"/>
      <c r="F567" s="462"/>
      <c r="G567" s="463">
        <f>G568+G605+G615</f>
        <v>26387.643400000001</v>
      </c>
      <c r="H567" s="518"/>
      <c r="I567" s="113"/>
      <c r="J567" s="499"/>
      <c r="K567" s="471"/>
      <c r="L567" s="204"/>
    </row>
    <row r="568" spans="1:12" ht="15.75" x14ac:dyDescent="0.25">
      <c r="A568" s="464" t="s">
        <v>117</v>
      </c>
      <c r="B568" s="461">
        <v>905</v>
      </c>
      <c r="C568" s="465" t="s">
        <v>118</v>
      </c>
      <c r="D568" s="462"/>
      <c r="E568" s="462"/>
      <c r="F568" s="462"/>
      <c r="G568" s="463">
        <f>G569+G589</f>
        <v>26062.243399999999</v>
      </c>
      <c r="H568" s="518"/>
      <c r="I568" s="471"/>
      <c r="J568" s="499"/>
      <c r="K568" s="471"/>
      <c r="L568" s="204"/>
    </row>
    <row r="569" spans="1:12" ht="65.25" customHeight="1" x14ac:dyDescent="0.25">
      <c r="A569" s="464" t="s">
        <v>149</v>
      </c>
      <c r="B569" s="461">
        <v>905</v>
      </c>
      <c r="C569" s="465" t="s">
        <v>118</v>
      </c>
      <c r="D569" s="465" t="s">
        <v>150</v>
      </c>
      <c r="E569" s="465"/>
      <c r="F569" s="465"/>
      <c r="G569" s="463">
        <f>G570</f>
        <v>12986.283399999998</v>
      </c>
      <c r="H569" s="518"/>
      <c r="I569" s="471"/>
      <c r="J569" s="499"/>
      <c r="K569" s="471"/>
      <c r="L569" s="204"/>
    </row>
    <row r="570" spans="1:12" ht="31.5" x14ac:dyDescent="0.25">
      <c r="A570" s="464" t="s">
        <v>917</v>
      </c>
      <c r="B570" s="461">
        <v>905</v>
      </c>
      <c r="C570" s="465" t="s">
        <v>118</v>
      </c>
      <c r="D570" s="465" t="s">
        <v>150</v>
      </c>
      <c r="E570" s="465" t="s">
        <v>858</v>
      </c>
      <c r="F570" s="465"/>
      <c r="G570" s="463">
        <f>G571+G582</f>
        <v>12986.283399999998</v>
      </c>
      <c r="H570" s="518"/>
      <c r="I570" s="471"/>
      <c r="J570" s="499"/>
      <c r="K570" s="471"/>
      <c r="L570" s="204"/>
    </row>
    <row r="571" spans="1:12" ht="15.75" x14ac:dyDescent="0.25">
      <c r="A571" s="464" t="s">
        <v>918</v>
      </c>
      <c r="B571" s="461">
        <v>905</v>
      </c>
      <c r="C571" s="465" t="s">
        <v>118</v>
      </c>
      <c r="D571" s="465" t="s">
        <v>150</v>
      </c>
      <c r="E571" s="465" t="s">
        <v>859</v>
      </c>
      <c r="F571" s="465"/>
      <c r="G571" s="463">
        <f>G572+G579+G586</f>
        <v>12986.283399999998</v>
      </c>
      <c r="H571" s="518"/>
      <c r="I571" s="471"/>
      <c r="J571" s="499"/>
      <c r="K571" s="471"/>
      <c r="L571" s="204"/>
    </row>
    <row r="572" spans="1:12" ht="28.5" customHeight="1" x14ac:dyDescent="0.25">
      <c r="A572" s="466" t="s">
        <v>897</v>
      </c>
      <c r="B572" s="460">
        <v>905</v>
      </c>
      <c r="C572" s="462" t="s">
        <v>118</v>
      </c>
      <c r="D572" s="462" t="s">
        <v>150</v>
      </c>
      <c r="E572" s="462" t="s">
        <v>860</v>
      </c>
      <c r="F572" s="462"/>
      <c r="G572" s="467">
        <f>G573+G575+G577</f>
        <v>12274.949999999999</v>
      </c>
      <c r="H572" s="518"/>
      <c r="I572" s="471"/>
      <c r="J572" s="499"/>
      <c r="K572" s="471"/>
      <c r="L572" s="204"/>
    </row>
    <row r="573" spans="1:12" ht="63" x14ac:dyDescent="0.25">
      <c r="A573" s="466" t="s">
        <v>127</v>
      </c>
      <c r="B573" s="460">
        <v>905</v>
      </c>
      <c r="C573" s="462" t="s">
        <v>118</v>
      </c>
      <c r="D573" s="462" t="s">
        <v>150</v>
      </c>
      <c r="E573" s="462" t="s">
        <v>860</v>
      </c>
      <c r="F573" s="462" t="s">
        <v>128</v>
      </c>
      <c r="G573" s="467">
        <f>G574</f>
        <v>11548.449999999999</v>
      </c>
      <c r="H573" s="518"/>
      <c r="I573" s="471"/>
      <c r="J573" s="499"/>
      <c r="K573" s="471"/>
      <c r="L573" s="204"/>
    </row>
    <row r="574" spans="1:12" ht="31.5" x14ac:dyDescent="0.25">
      <c r="A574" s="466" t="s">
        <v>129</v>
      </c>
      <c r="B574" s="460">
        <v>905</v>
      </c>
      <c r="C574" s="462" t="s">
        <v>118</v>
      </c>
      <c r="D574" s="462" t="s">
        <v>150</v>
      </c>
      <c r="E574" s="462" t="s">
        <v>860</v>
      </c>
      <c r="F574" s="462" t="s">
        <v>130</v>
      </c>
      <c r="G574" s="27">
        <f>11111.6-6-6+512.7+153.3-169.1+48.05-96.1</f>
        <v>11548.449999999999</v>
      </c>
      <c r="H574" s="519"/>
      <c r="I574" s="471"/>
      <c r="J574" s="499"/>
      <c r="K574" s="499"/>
      <c r="L574" s="500"/>
    </row>
    <row r="575" spans="1:12" ht="31.5" x14ac:dyDescent="0.25">
      <c r="A575" s="466" t="s">
        <v>131</v>
      </c>
      <c r="B575" s="460">
        <v>905</v>
      </c>
      <c r="C575" s="462" t="s">
        <v>118</v>
      </c>
      <c r="D575" s="462" t="s">
        <v>150</v>
      </c>
      <c r="E575" s="462" t="s">
        <v>860</v>
      </c>
      <c r="F575" s="462" t="s">
        <v>132</v>
      </c>
      <c r="G575" s="467">
        <f>G576</f>
        <v>549.69999999999993</v>
      </c>
      <c r="H575" s="518"/>
      <c r="I575" s="471"/>
      <c r="J575" s="499"/>
      <c r="K575" s="471"/>
      <c r="L575" s="204"/>
    </row>
    <row r="576" spans="1:12" ht="31.5" x14ac:dyDescent="0.25">
      <c r="A576" s="466" t="s">
        <v>133</v>
      </c>
      <c r="B576" s="460">
        <v>905</v>
      </c>
      <c r="C576" s="462" t="s">
        <v>118</v>
      </c>
      <c r="D576" s="462" t="s">
        <v>150</v>
      </c>
      <c r="E576" s="462" t="s">
        <v>860</v>
      </c>
      <c r="F576" s="462" t="s">
        <v>134</v>
      </c>
      <c r="G576" s="27">
        <f>440+4.4+20+139.2-4.1-33.8-21+5</f>
        <v>549.69999999999993</v>
      </c>
      <c r="H576" s="519"/>
      <c r="I576" s="471"/>
      <c r="J576" s="499"/>
      <c r="K576" s="499"/>
      <c r="L576" s="204"/>
    </row>
    <row r="577" spans="1:12" ht="15.75" x14ac:dyDescent="0.25">
      <c r="A577" s="466" t="s">
        <v>135</v>
      </c>
      <c r="B577" s="460">
        <v>905</v>
      </c>
      <c r="C577" s="462" t="s">
        <v>118</v>
      </c>
      <c r="D577" s="462" t="s">
        <v>150</v>
      </c>
      <c r="E577" s="462" t="s">
        <v>860</v>
      </c>
      <c r="F577" s="462" t="s">
        <v>145</v>
      </c>
      <c r="G577" s="467">
        <f>G578</f>
        <v>176.8</v>
      </c>
      <c r="H577" s="518"/>
      <c r="I577" s="471"/>
      <c r="J577" s="499"/>
      <c r="K577" s="471"/>
      <c r="L577" s="204"/>
    </row>
    <row r="578" spans="1:12" ht="15.75" x14ac:dyDescent="0.25">
      <c r="A578" s="466" t="s">
        <v>568</v>
      </c>
      <c r="B578" s="460">
        <v>905</v>
      </c>
      <c r="C578" s="462" t="s">
        <v>118</v>
      </c>
      <c r="D578" s="462" t="s">
        <v>150</v>
      </c>
      <c r="E578" s="462" t="s">
        <v>860</v>
      </c>
      <c r="F578" s="462" t="s">
        <v>138</v>
      </c>
      <c r="G578" s="467">
        <f>8.8+7.5+20+30+65-0.3+6+6+6+33.8-6</f>
        <v>176.8</v>
      </c>
      <c r="H578" s="519"/>
      <c r="I578" s="471"/>
      <c r="J578" s="499"/>
      <c r="K578" s="499"/>
      <c r="L578" s="500"/>
    </row>
    <row r="579" spans="1:12" s="204" customFormat="1" ht="31.5" x14ac:dyDescent="0.25">
      <c r="A579" s="466" t="s">
        <v>839</v>
      </c>
      <c r="B579" s="460">
        <v>905</v>
      </c>
      <c r="C579" s="462" t="s">
        <v>118</v>
      </c>
      <c r="D579" s="462" t="s">
        <v>150</v>
      </c>
      <c r="E579" s="462" t="s">
        <v>862</v>
      </c>
      <c r="F579" s="462"/>
      <c r="G579" s="467">
        <f>G580</f>
        <v>528.23</v>
      </c>
      <c r="H579" s="518"/>
      <c r="I579" s="471"/>
      <c r="J579" s="499"/>
      <c r="K579" s="471"/>
    </row>
    <row r="580" spans="1:12" s="204" customFormat="1" ht="63" x14ac:dyDescent="0.25">
      <c r="A580" s="466" t="s">
        <v>127</v>
      </c>
      <c r="B580" s="460">
        <v>905</v>
      </c>
      <c r="C580" s="462" t="s">
        <v>118</v>
      </c>
      <c r="D580" s="462" t="s">
        <v>150</v>
      </c>
      <c r="E580" s="462" t="s">
        <v>862</v>
      </c>
      <c r="F580" s="462" t="s">
        <v>128</v>
      </c>
      <c r="G580" s="467">
        <f>G581</f>
        <v>528.23</v>
      </c>
      <c r="H580" s="518"/>
      <c r="I580" s="471"/>
      <c r="J580" s="499"/>
      <c r="K580" s="471"/>
    </row>
    <row r="581" spans="1:12" s="204" customFormat="1" ht="31.5" x14ac:dyDescent="0.25">
      <c r="A581" s="466" t="s">
        <v>129</v>
      </c>
      <c r="B581" s="460">
        <v>905</v>
      </c>
      <c r="C581" s="462" t="s">
        <v>118</v>
      </c>
      <c r="D581" s="462" t="s">
        <v>150</v>
      </c>
      <c r="E581" s="462" t="s">
        <v>862</v>
      </c>
      <c r="F581" s="462" t="s">
        <v>130</v>
      </c>
      <c r="G581" s="467">
        <f>462+66.23</f>
        <v>528.23</v>
      </c>
      <c r="H581" s="518"/>
      <c r="I581" s="471"/>
      <c r="J581" s="499"/>
      <c r="K581" s="471"/>
    </row>
    <row r="582" spans="1:12" s="204" customFormat="1" ht="31.5" hidden="1" x14ac:dyDescent="0.25">
      <c r="A582" s="464" t="s">
        <v>885</v>
      </c>
      <c r="B582" s="461">
        <v>905</v>
      </c>
      <c r="C582" s="465" t="s">
        <v>118</v>
      </c>
      <c r="D582" s="465" t="s">
        <v>150</v>
      </c>
      <c r="E582" s="465" t="s">
        <v>863</v>
      </c>
      <c r="F582" s="465"/>
      <c r="G582" s="463">
        <f>G583</f>
        <v>0</v>
      </c>
      <c r="H582" s="518"/>
      <c r="I582" s="471"/>
      <c r="J582" s="499"/>
      <c r="K582" s="471"/>
    </row>
    <row r="583" spans="1:12" s="204" customFormat="1" ht="77.45" hidden="1" customHeight="1" x14ac:dyDescent="0.25">
      <c r="A583" s="31" t="s">
        <v>1174</v>
      </c>
      <c r="B583" s="460">
        <v>905</v>
      </c>
      <c r="C583" s="462" t="s">
        <v>118</v>
      </c>
      <c r="D583" s="462" t="s">
        <v>150</v>
      </c>
      <c r="E583" s="462" t="s">
        <v>1173</v>
      </c>
      <c r="F583" s="462"/>
      <c r="G583" s="467">
        <f>G584</f>
        <v>0</v>
      </c>
      <c r="H583" s="518"/>
      <c r="I583" s="471"/>
      <c r="J583" s="499"/>
      <c r="K583" s="471"/>
    </row>
    <row r="584" spans="1:12" s="204" customFormat="1" ht="63" hidden="1" x14ac:dyDescent="0.25">
      <c r="A584" s="466" t="s">
        <v>127</v>
      </c>
      <c r="B584" s="460">
        <v>905</v>
      </c>
      <c r="C584" s="462" t="s">
        <v>118</v>
      </c>
      <c r="D584" s="462" t="s">
        <v>150</v>
      </c>
      <c r="E584" s="462" t="s">
        <v>1173</v>
      </c>
      <c r="F584" s="462" t="s">
        <v>128</v>
      </c>
      <c r="G584" s="467">
        <f>G585</f>
        <v>0</v>
      </c>
      <c r="H584" s="518"/>
      <c r="I584" s="471"/>
      <c r="J584" s="499"/>
      <c r="K584" s="471"/>
    </row>
    <row r="585" spans="1:12" s="204" customFormat="1" ht="31.5" hidden="1" x14ac:dyDescent="0.25">
      <c r="A585" s="466" t="s">
        <v>129</v>
      </c>
      <c r="B585" s="460">
        <v>905</v>
      </c>
      <c r="C585" s="462" t="s">
        <v>118</v>
      </c>
      <c r="D585" s="462" t="s">
        <v>150</v>
      </c>
      <c r="E585" s="462" t="s">
        <v>1173</v>
      </c>
      <c r="F585" s="462" t="s">
        <v>130</v>
      </c>
      <c r="G585" s="467"/>
      <c r="H585" s="518"/>
      <c r="I585" s="471"/>
      <c r="J585" s="499"/>
      <c r="K585" s="471"/>
    </row>
    <row r="586" spans="1:12" s="204" customFormat="1" ht="31.5" x14ac:dyDescent="0.25">
      <c r="A586" s="466" t="s">
        <v>1793</v>
      </c>
      <c r="B586" s="460">
        <v>905</v>
      </c>
      <c r="C586" s="462" t="s">
        <v>118</v>
      </c>
      <c r="D586" s="462" t="s">
        <v>150</v>
      </c>
      <c r="E586" s="462" t="s">
        <v>1794</v>
      </c>
      <c r="F586" s="462"/>
      <c r="G586" s="467">
        <f>G587</f>
        <v>183.10339999999999</v>
      </c>
      <c r="H586" s="518"/>
      <c r="I586" s="471"/>
      <c r="J586" s="499"/>
      <c r="K586" s="471"/>
    </row>
    <row r="587" spans="1:12" s="204" customFormat="1" ht="63" x14ac:dyDescent="0.25">
      <c r="A587" s="466" t="s">
        <v>127</v>
      </c>
      <c r="B587" s="460">
        <v>905</v>
      </c>
      <c r="C587" s="462" t="s">
        <v>118</v>
      </c>
      <c r="D587" s="462" t="s">
        <v>150</v>
      </c>
      <c r="E587" s="462" t="s">
        <v>1794</v>
      </c>
      <c r="F587" s="462" t="s">
        <v>128</v>
      </c>
      <c r="G587" s="467">
        <f>G588</f>
        <v>183.10339999999999</v>
      </c>
      <c r="H587" s="518"/>
      <c r="I587" s="471"/>
      <c r="J587" s="499"/>
      <c r="K587" s="471"/>
    </row>
    <row r="588" spans="1:12" s="204" customFormat="1" ht="31.5" x14ac:dyDescent="0.25">
      <c r="A588" s="466" t="s">
        <v>129</v>
      </c>
      <c r="B588" s="460">
        <v>905</v>
      </c>
      <c r="C588" s="462" t="s">
        <v>118</v>
      </c>
      <c r="D588" s="462" t="s">
        <v>150</v>
      </c>
      <c r="E588" s="462" t="s">
        <v>1794</v>
      </c>
      <c r="F588" s="462" t="s">
        <v>130</v>
      </c>
      <c r="G588" s="467">
        <v>183.10339999999999</v>
      </c>
      <c r="H588" s="518"/>
      <c r="I588" s="471"/>
      <c r="J588" s="499"/>
      <c r="K588" s="471"/>
    </row>
    <row r="589" spans="1:12" ht="15.75" x14ac:dyDescent="0.25">
      <c r="A589" s="464" t="s">
        <v>139</v>
      </c>
      <c r="B589" s="461">
        <v>905</v>
      </c>
      <c r="C589" s="465" t="s">
        <v>118</v>
      </c>
      <c r="D589" s="465" t="s">
        <v>140</v>
      </c>
      <c r="E589" s="465"/>
      <c r="F589" s="465"/>
      <c r="G589" s="463">
        <f>G590+G600</f>
        <v>13075.960000000001</v>
      </c>
      <c r="H589" s="518"/>
      <c r="I589" s="471"/>
      <c r="J589" s="499"/>
      <c r="K589" s="471"/>
      <c r="L589" s="204"/>
    </row>
    <row r="590" spans="1:12" s="204" customFormat="1" ht="15.75" x14ac:dyDescent="0.25">
      <c r="A590" s="464" t="s">
        <v>141</v>
      </c>
      <c r="B590" s="461">
        <v>905</v>
      </c>
      <c r="C590" s="465" t="s">
        <v>118</v>
      </c>
      <c r="D590" s="465" t="s">
        <v>140</v>
      </c>
      <c r="E590" s="465" t="s">
        <v>866</v>
      </c>
      <c r="F590" s="465"/>
      <c r="G590" s="463">
        <f>G591</f>
        <v>12423.2</v>
      </c>
      <c r="H590" s="518"/>
      <c r="I590" s="471"/>
      <c r="J590" s="499"/>
      <c r="K590" s="471"/>
    </row>
    <row r="591" spans="1:12" s="204" customFormat="1" ht="31.5" x14ac:dyDescent="0.25">
      <c r="A591" s="464" t="s">
        <v>870</v>
      </c>
      <c r="B591" s="461">
        <v>905</v>
      </c>
      <c r="C591" s="465" t="s">
        <v>118</v>
      </c>
      <c r="D591" s="465" t="s">
        <v>140</v>
      </c>
      <c r="E591" s="465" t="s">
        <v>865</v>
      </c>
      <c r="F591" s="465"/>
      <c r="G591" s="463">
        <f>G592+G597</f>
        <v>12423.2</v>
      </c>
      <c r="H591" s="518"/>
      <c r="I591" s="471"/>
      <c r="J591" s="499"/>
      <c r="K591" s="471"/>
    </row>
    <row r="592" spans="1:12" s="204" customFormat="1" ht="47.25" x14ac:dyDescent="0.25">
      <c r="A592" s="466" t="s">
        <v>388</v>
      </c>
      <c r="B592" s="460">
        <v>905</v>
      </c>
      <c r="C592" s="462" t="s">
        <v>118</v>
      </c>
      <c r="D592" s="462" t="s">
        <v>140</v>
      </c>
      <c r="E592" s="462" t="s">
        <v>1011</v>
      </c>
      <c r="F592" s="462"/>
      <c r="G592" s="467">
        <f>G593+G595</f>
        <v>12423.2</v>
      </c>
      <c r="H592" s="518"/>
      <c r="I592" s="471"/>
      <c r="J592" s="499"/>
      <c r="K592" s="471"/>
    </row>
    <row r="593" spans="1:45" s="204" customFormat="1" ht="31.5" x14ac:dyDescent="0.25">
      <c r="A593" s="466" t="s">
        <v>131</v>
      </c>
      <c r="B593" s="460">
        <v>905</v>
      </c>
      <c r="C593" s="462" t="s">
        <v>118</v>
      </c>
      <c r="D593" s="462" t="s">
        <v>140</v>
      </c>
      <c r="E593" s="462" t="s">
        <v>1011</v>
      </c>
      <c r="F593" s="462" t="s">
        <v>132</v>
      </c>
      <c r="G593" s="467">
        <f>G594</f>
        <v>6068.8000000000011</v>
      </c>
      <c r="H593" s="518"/>
      <c r="I593" s="471"/>
      <c r="J593" s="499"/>
      <c r="K593" s="471"/>
    </row>
    <row r="594" spans="1:45" s="204" customFormat="1" ht="31.5" x14ac:dyDescent="0.25">
      <c r="A594" s="466" t="s">
        <v>133</v>
      </c>
      <c r="B594" s="460">
        <v>905</v>
      </c>
      <c r="C594" s="462" t="s">
        <v>118</v>
      </c>
      <c r="D594" s="462" t="s">
        <v>140</v>
      </c>
      <c r="E594" s="462" t="s">
        <v>1011</v>
      </c>
      <c r="F594" s="462" t="s">
        <v>134</v>
      </c>
      <c r="G594" s="467">
        <f>5707.8-505.7-40+151+527+30-4.4-15+45+4.1+21+148</f>
        <v>6068.8000000000011</v>
      </c>
      <c r="H594" s="519"/>
      <c r="I594" s="472"/>
      <c r="J594" s="499"/>
      <c r="K594" s="499"/>
    </row>
    <row r="595" spans="1:45" s="204" customFormat="1" ht="15.75" x14ac:dyDescent="0.25">
      <c r="A595" s="466" t="s">
        <v>135</v>
      </c>
      <c r="B595" s="460">
        <v>905</v>
      </c>
      <c r="C595" s="462" t="s">
        <v>118</v>
      </c>
      <c r="D595" s="462" t="s">
        <v>140</v>
      </c>
      <c r="E595" s="462" t="s">
        <v>1011</v>
      </c>
      <c r="F595" s="462" t="s">
        <v>145</v>
      </c>
      <c r="G595" s="467">
        <f>G596</f>
        <v>6354.4</v>
      </c>
      <c r="H595" s="521"/>
      <c r="I595" s="107"/>
      <c r="J595" s="499"/>
      <c r="K595" s="499"/>
    </row>
    <row r="596" spans="1:45" s="204" customFormat="1" ht="31.5" x14ac:dyDescent="0.25">
      <c r="A596" s="466" t="s">
        <v>836</v>
      </c>
      <c r="B596" s="460">
        <v>905</v>
      </c>
      <c r="C596" s="462" t="s">
        <v>118</v>
      </c>
      <c r="D596" s="462" t="s">
        <v>140</v>
      </c>
      <c r="E596" s="462" t="s">
        <v>1011</v>
      </c>
      <c r="F596" s="462" t="s">
        <v>147</v>
      </c>
      <c r="G596" s="467">
        <f>6354.4</f>
        <v>6354.4</v>
      </c>
      <c r="H596" s="521"/>
      <c r="I596" s="107"/>
      <c r="J596" s="499"/>
      <c r="K596" s="499"/>
    </row>
    <row r="597" spans="1:45" s="204" customFormat="1" ht="31.5" hidden="1" x14ac:dyDescent="0.25">
      <c r="A597" s="466" t="s">
        <v>931</v>
      </c>
      <c r="B597" s="460">
        <v>905</v>
      </c>
      <c r="C597" s="462" t="s">
        <v>118</v>
      </c>
      <c r="D597" s="462" t="s">
        <v>140</v>
      </c>
      <c r="E597" s="462" t="s">
        <v>1012</v>
      </c>
      <c r="F597" s="462"/>
      <c r="G597" s="467">
        <f>G598</f>
        <v>0</v>
      </c>
      <c r="H597" s="518"/>
      <c r="I597" s="471"/>
      <c r="J597" s="499"/>
      <c r="K597" s="471"/>
    </row>
    <row r="598" spans="1:45" s="204" customFormat="1" ht="31.5" hidden="1" x14ac:dyDescent="0.25">
      <c r="A598" s="466" t="s">
        <v>131</v>
      </c>
      <c r="B598" s="460">
        <v>905</v>
      </c>
      <c r="C598" s="462" t="s">
        <v>118</v>
      </c>
      <c r="D598" s="462" t="s">
        <v>140</v>
      </c>
      <c r="E598" s="462" t="s">
        <v>1012</v>
      </c>
      <c r="F598" s="462" t="s">
        <v>132</v>
      </c>
      <c r="G598" s="467">
        <f>G599</f>
        <v>0</v>
      </c>
      <c r="H598" s="518"/>
      <c r="I598" s="471"/>
      <c r="J598" s="499"/>
      <c r="K598" s="471"/>
    </row>
    <row r="599" spans="1:45" s="204" customFormat="1" ht="31.5" hidden="1" x14ac:dyDescent="0.25">
      <c r="A599" s="466" t="s">
        <v>133</v>
      </c>
      <c r="B599" s="460">
        <v>905</v>
      </c>
      <c r="C599" s="462" t="s">
        <v>118</v>
      </c>
      <c r="D599" s="462" t="s">
        <v>140</v>
      </c>
      <c r="E599" s="462" t="s">
        <v>1012</v>
      </c>
      <c r="F599" s="462" t="s">
        <v>134</v>
      </c>
      <c r="G599" s="467">
        <f>100-100</f>
        <v>0</v>
      </c>
      <c r="H599" s="518"/>
      <c r="I599" s="471"/>
      <c r="J599" s="499"/>
      <c r="K599" s="471"/>
    </row>
    <row r="600" spans="1:45" s="111" customFormat="1" ht="69.400000000000006" customHeight="1" x14ac:dyDescent="0.25">
      <c r="A600" s="464" t="s">
        <v>1546</v>
      </c>
      <c r="B600" s="461">
        <v>905</v>
      </c>
      <c r="C600" s="465" t="s">
        <v>118</v>
      </c>
      <c r="D600" s="465" t="s">
        <v>140</v>
      </c>
      <c r="E600" s="465" t="s">
        <v>782</v>
      </c>
      <c r="F600" s="465"/>
      <c r="G600" s="463">
        <f>G601</f>
        <v>652.7600000000001</v>
      </c>
      <c r="H600" s="518"/>
      <c r="I600" s="127"/>
      <c r="J600" s="502"/>
      <c r="K600" s="127"/>
      <c r="L600" s="206"/>
      <c r="AE600" s="206"/>
      <c r="AF600" s="206"/>
      <c r="AG600" s="206"/>
      <c r="AH600" s="206"/>
      <c r="AI600" s="206"/>
      <c r="AJ600" s="206"/>
      <c r="AK600" s="206"/>
      <c r="AL600" s="206"/>
      <c r="AM600" s="206"/>
      <c r="AP600" s="206"/>
      <c r="AQ600" s="206"/>
      <c r="AS600" s="206"/>
    </row>
    <row r="601" spans="1:45" s="206" customFormat="1" ht="29.25" customHeight="1" x14ac:dyDescent="0.25">
      <c r="A601" s="464" t="s">
        <v>930</v>
      </c>
      <c r="B601" s="461">
        <v>905</v>
      </c>
      <c r="C601" s="465" t="s">
        <v>118</v>
      </c>
      <c r="D601" s="465" t="s">
        <v>140</v>
      </c>
      <c r="E601" s="465" t="s">
        <v>1020</v>
      </c>
      <c r="F601" s="465"/>
      <c r="G601" s="463">
        <f>G602</f>
        <v>652.7600000000001</v>
      </c>
      <c r="H601" s="518"/>
      <c r="I601" s="127"/>
      <c r="J601" s="502"/>
      <c r="K601" s="127"/>
    </row>
    <row r="602" spans="1:45" s="111" customFormat="1" ht="15.75" x14ac:dyDescent="0.25">
      <c r="A602" s="466" t="s">
        <v>1541</v>
      </c>
      <c r="B602" s="460">
        <v>905</v>
      </c>
      <c r="C602" s="462" t="s">
        <v>118</v>
      </c>
      <c r="D602" s="462" t="s">
        <v>140</v>
      </c>
      <c r="E602" s="462" t="s">
        <v>1021</v>
      </c>
      <c r="F602" s="462"/>
      <c r="G602" s="467">
        <f>G603</f>
        <v>652.7600000000001</v>
      </c>
      <c r="H602" s="518"/>
      <c r="I602" s="127"/>
      <c r="J602" s="502"/>
      <c r="K602" s="127"/>
      <c r="L602" s="206"/>
      <c r="AE602" s="206"/>
      <c r="AF602" s="206"/>
      <c r="AG602" s="206"/>
      <c r="AH602" s="206"/>
      <c r="AI602" s="206"/>
      <c r="AJ602" s="206"/>
      <c r="AK602" s="206"/>
      <c r="AL602" s="206"/>
      <c r="AM602" s="206"/>
      <c r="AP602" s="206"/>
      <c r="AQ602" s="206"/>
      <c r="AS602" s="206"/>
    </row>
    <row r="603" spans="1:45" s="111" customFormat="1" ht="31.5" x14ac:dyDescent="0.25">
      <c r="A603" s="466" t="s">
        <v>131</v>
      </c>
      <c r="B603" s="460">
        <v>905</v>
      </c>
      <c r="C603" s="462" t="s">
        <v>118</v>
      </c>
      <c r="D603" s="462" t="s">
        <v>140</v>
      </c>
      <c r="E603" s="462" t="s">
        <v>1021</v>
      </c>
      <c r="F603" s="462" t="s">
        <v>132</v>
      </c>
      <c r="G603" s="467">
        <f>G604</f>
        <v>652.7600000000001</v>
      </c>
      <c r="H603" s="518"/>
      <c r="I603" s="127"/>
      <c r="J603" s="502"/>
      <c r="K603" s="127"/>
      <c r="L603" s="206"/>
      <c r="AE603" s="206"/>
      <c r="AF603" s="206"/>
      <c r="AG603" s="206"/>
      <c r="AH603" s="206"/>
      <c r="AI603" s="206"/>
      <c r="AJ603" s="206"/>
      <c r="AK603" s="206"/>
      <c r="AL603" s="206"/>
      <c r="AM603" s="206"/>
      <c r="AP603" s="206"/>
      <c r="AQ603" s="206"/>
      <c r="AS603" s="206"/>
    </row>
    <row r="604" spans="1:45" s="111" customFormat="1" ht="31.5" x14ac:dyDescent="0.25">
      <c r="A604" s="466" t="s">
        <v>133</v>
      </c>
      <c r="B604" s="460">
        <v>905</v>
      </c>
      <c r="C604" s="462" t="s">
        <v>118</v>
      </c>
      <c r="D604" s="462" t="s">
        <v>140</v>
      </c>
      <c r="E604" s="462" t="s">
        <v>1021</v>
      </c>
      <c r="F604" s="462" t="s">
        <v>134</v>
      </c>
      <c r="G604" s="467">
        <f>92.26+83.03+839.57-322.23254-31.86746-31+31.1-8.1</f>
        <v>652.7600000000001</v>
      </c>
      <c r="H604" s="523"/>
      <c r="I604" s="119"/>
      <c r="J604" s="502"/>
      <c r="K604" s="127"/>
      <c r="L604" s="206"/>
      <c r="AE604" s="206"/>
      <c r="AF604" s="206"/>
      <c r="AG604" s="206"/>
      <c r="AH604" s="206"/>
      <c r="AI604" s="206"/>
      <c r="AJ604" s="206"/>
      <c r="AK604" s="206"/>
      <c r="AL604" s="206"/>
      <c r="AM604" s="206"/>
      <c r="AP604" s="206"/>
      <c r="AQ604" s="206"/>
      <c r="AS604" s="206"/>
    </row>
    <row r="605" spans="1:45" ht="15.75" x14ac:dyDescent="0.25">
      <c r="A605" s="470" t="s">
        <v>390</v>
      </c>
      <c r="B605" s="461">
        <v>905</v>
      </c>
      <c r="C605" s="465" t="s">
        <v>234</v>
      </c>
      <c r="D605" s="465"/>
      <c r="E605" s="465"/>
      <c r="F605" s="465"/>
      <c r="G605" s="463">
        <f>G606</f>
        <v>325.39999999999998</v>
      </c>
      <c r="H605" s="518"/>
      <c r="I605" s="119"/>
      <c r="J605" s="499"/>
      <c r="K605" s="471"/>
      <c r="L605" s="204"/>
    </row>
    <row r="606" spans="1:45" ht="15.75" x14ac:dyDescent="0.25">
      <c r="A606" s="470" t="s">
        <v>391</v>
      </c>
      <c r="B606" s="461">
        <v>905</v>
      </c>
      <c r="C606" s="465" t="s">
        <v>234</v>
      </c>
      <c r="D606" s="465" t="s">
        <v>118</v>
      </c>
      <c r="E606" s="465"/>
      <c r="F606" s="465"/>
      <c r="G606" s="463">
        <f>G607</f>
        <v>325.39999999999998</v>
      </c>
      <c r="H606" s="518"/>
      <c r="I606" s="119"/>
      <c r="J606" s="499"/>
      <c r="K606" s="471"/>
      <c r="L606" s="204"/>
    </row>
    <row r="607" spans="1:45" s="204" customFormat="1" ht="15.75" x14ac:dyDescent="0.25">
      <c r="A607" s="464" t="s">
        <v>141</v>
      </c>
      <c r="B607" s="461">
        <v>905</v>
      </c>
      <c r="C607" s="465" t="s">
        <v>234</v>
      </c>
      <c r="D607" s="465" t="s">
        <v>118</v>
      </c>
      <c r="E607" s="465" t="s">
        <v>866</v>
      </c>
      <c r="F607" s="465"/>
      <c r="G607" s="463">
        <f>G608</f>
        <v>325.39999999999998</v>
      </c>
      <c r="H607" s="518"/>
      <c r="I607" s="471"/>
      <c r="J607" s="499"/>
      <c r="K607" s="471"/>
    </row>
    <row r="608" spans="1:45" s="204" customFormat="1" ht="31.5" x14ac:dyDescent="0.25">
      <c r="A608" s="464" t="s">
        <v>870</v>
      </c>
      <c r="B608" s="461">
        <v>905</v>
      </c>
      <c r="C608" s="465" t="s">
        <v>234</v>
      </c>
      <c r="D608" s="465" t="s">
        <v>118</v>
      </c>
      <c r="E608" s="465" t="s">
        <v>865</v>
      </c>
      <c r="F608" s="465"/>
      <c r="G608" s="463">
        <f>G609+G612</f>
        <v>325.39999999999998</v>
      </c>
      <c r="H608" s="518"/>
      <c r="I608" s="471"/>
      <c r="J608" s="499"/>
      <c r="K608" s="471"/>
    </row>
    <row r="609" spans="1:12" ht="31.5" x14ac:dyDescent="0.25">
      <c r="A609" s="29" t="s">
        <v>398</v>
      </c>
      <c r="B609" s="460">
        <v>905</v>
      </c>
      <c r="C609" s="462" t="s">
        <v>234</v>
      </c>
      <c r="D609" s="462" t="s">
        <v>118</v>
      </c>
      <c r="E609" s="462" t="s">
        <v>961</v>
      </c>
      <c r="F609" s="462"/>
      <c r="G609" s="467">
        <f>G610</f>
        <v>310.39999999999998</v>
      </c>
      <c r="H609" s="518"/>
      <c r="I609" s="471"/>
      <c r="J609" s="499"/>
      <c r="K609" s="471"/>
      <c r="L609" s="204"/>
    </row>
    <row r="610" spans="1:12" ht="31.5" x14ac:dyDescent="0.25">
      <c r="A610" s="466" t="s">
        <v>131</v>
      </c>
      <c r="B610" s="460">
        <v>905</v>
      </c>
      <c r="C610" s="462" t="s">
        <v>234</v>
      </c>
      <c r="D610" s="462" t="s">
        <v>118</v>
      </c>
      <c r="E610" s="462" t="s">
        <v>961</v>
      </c>
      <c r="F610" s="462" t="s">
        <v>132</v>
      </c>
      <c r="G610" s="467">
        <f>G611</f>
        <v>310.39999999999998</v>
      </c>
      <c r="H610" s="518"/>
      <c r="I610" s="471"/>
      <c r="J610" s="499"/>
      <c r="K610" s="471"/>
      <c r="L610" s="204"/>
    </row>
    <row r="611" spans="1:12" ht="31.5" x14ac:dyDescent="0.25">
      <c r="A611" s="466" t="s">
        <v>133</v>
      </c>
      <c r="B611" s="460">
        <v>905</v>
      </c>
      <c r="C611" s="462" t="s">
        <v>234</v>
      </c>
      <c r="D611" s="462" t="s">
        <v>118</v>
      </c>
      <c r="E611" s="462" t="s">
        <v>961</v>
      </c>
      <c r="F611" s="462" t="s">
        <v>134</v>
      </c>
      <c r="G611" s="467">
        <f>263.2+7+0.2+40</f>
        <v>310.39999999999998</v>
      </c>
      <c r="H611" s="518"/>
      <c r="I611" s="471"/>
      <c r="J611" s="499"/>
      <c r="K611" s="471"/>
      <c r="L611" s="204"/>
    </row>
    <row r="612" spans="1:12" ht="31.5" x14ac:dyDescent="0.25">
      <c r="A612" s="29" t="s">
        <v>932</v>
      </c>
      <c r="B612" s="460">
        <v>905</v>
      </c>
      <c r="C612" s="462" t="s">
        <v>234</v>
      </c>
      <c r="D612" s="462" t="s">
        <v>118</v>
      </c>
      <c r="E612" s="462" t="s">
        <v>962</v>
      </c>
      <c r="F612" s="462"/>
      <c r="G612" s="467">
        <f>G613</f>
        <v>15</v>
      </c>
      <c r="H612" s="518"/>
      <c r="I612" s="471"/>
      <c r="J612" s="499"/>
      <c r="K612" s="471"/>
      <c r="L612" s="204"/>
    </row>
    <row r="613" spans="1:12" ht="31.5" x14ac:dyDescent="0.25">
      <c r="A613" s="466" t="s">
        <v>131</v>
      </c>
      <c r="B613" s="460">
        <v>905</v>
      </c>
      <c r="C613" s="462" t="s">
        <v>234</v>
      </c>
      <c r="D613" s="462" t="s">
        <v>118</v>
      </c>
      <c r="E613" s="462" t="s">
        <v>962</v>
      </c>
      <c r="F613" s="462" t="s">
        <v>132</v>
      </c>
      <c r="G613" s="467">
        <f>G614</f>
        <v>15</v>
      </c>
      <c r="H613" s="518"/>
      <c r="I613" s="471"/>
      <c r="J613" s="499"/>
      <c r="K613" s="471"/>
      <c r="L613" s="204"/>
    </row>
    <row r="614" spans="1:12" ht="31.5" x14ac:dyDescent="0.25">
      <c r="A614" s="466" t="s">
        <v>133</v>
      </c>
      <c r="B614" s="460">
        <v>905</v>
      </c>
      <c r="C614" s="462" t="s">
        <v>234</v>
      </c>
      <c r="D614" s="462" t="s">
        <v>118</v>
      </c>
      <c r="E614" s="462" t="s">
        <v>962</v>
      </c>
      <c r="F614" s="462" t="s">
        <v>134</v>
      </c>
      <c r="G614" s="467">
        <v>15</v>
      </c>
      <c r="H614" s="527"/>
      <c r="I614" s="471"/>
      <c r="J614" s="499"/>
      <c r="K614" s="471"/>
      <c r="L614" s="204"/>
    </row>
    <row r="615" spans="1:12" s="204" customFormat="1" ht="15.75" hidden="1" x14ac:dyDescent="0.25">
      <c r="A615" s="464" t="s">
        <v>243</v>
      </c>
      <c r="B615" s="461">
        <v>905</v>
      </c>
      <c r="C615" s="465" t="s">
        <v>244</v>
      </c>
      <c r="D615" s="462"/>
      <c r="E615" s="462"/>
      <c r="F615" s="462"/>
      <c r="G615" s="463">
        <f>G616</f>
        <v>0</v>
      </c>
      <c r="H615" s="518"/>
      <c r="I615" s="471"/>
      <c r="J615" s="499"/>
      <c r="K615" s="471"/>
    </row>
    <row r="616" spans="1:12" s="204" customFormat="1" ht="15.75" hidden="1" x14ac:dyDescent="0.25">
      <c r="A616" s="464" t="s">
        <v>400</v>
      </c>
      <c r="B616" s="461">
        <v>905</v>
      </c>
      <c r="C616" s="465" t="s">
        <v>244</v>
      </c>
      <c r="D616" s="465" t="s">
        <v>150</v>
      </c>
      <c r="E616" s="462"/>
      <c r="F616" s="462"/>
      <c r="G616" s="463">
        <f>G617</f>
        <v>0</v>
      </c>
      <c r="H616" s="518"/>
      <c r="I616" s="471"/>
      <c r="J616" s="499"/>
      <c r="K616" s="471"/>
    </row>
    <row r="617" spans="1:12" s="204" customFormat="1" ht="31.5" hidden="1" x14ac:dyDescent="0.25">
      <c r="A617" s="464" t="s">
        <v>885</v>
      </c>
      <c r="B617" s="461">
        <v>905</v>
      </c>
      <c r="C617" s="465" t="s">
        <v>244</v>
      </c>
      <c r="D617" s="465" t="s">
        <v>150</v>
      </c>
      <c r="E617" s="465" t="s">
        <v>863</v>
      </c>
      <c r="F617" s="462"/>
      <c r="G617" s="463">
        <f>G618</f>
        <v>0</v>
      </c>
      <c r="H617" s="518"/>
      <c r="I617" s="471"/>
      <c r="J617" s="499"/>
      <c r="K617" s="471"/>
    </row>
    <row r="618" spans="1:12" s="204" customFormat="1" ht="48" hidden="1" customHeight="1" x14ac:dyDescent="0.25">
      <c r="A618" s="466" t="s">
        <v>1344</v>
      </c>
      <c r="B618" s="460">
        <v>905</v>
      </c>
      <c r="C618" s="462" t="s">
        <v>244</v>
      </c>
      <c r="D618" s="462" t="s">
        <v>150</v>
      </c>
      <c r="E618" s="462" t="s">
        <v>1175</v>
      </c>
      <c r="F618" s="462"/>
      <c r="G618" s="467">
        <f>G619</f>
        <v>0</v>
      </c>
      <c r="H618" s="518"/>
      <c r="I618" s="471"/>
      <c r="J618" s="499"/>
      <c r="K618" s="471"/>
    </row>
    <row r="619" spans="1:12" s="204" customFormat="1" ht="31.5" hidden="1" x14ac:dyDescent="0.25">
      <c r="A619" s="466" t="s">
        <v>131</v>
      </c>
      <c r="B619" s="460">
        <v>905</v>
      </c>
      <c r="C619" s="462" t="s">
        <v>244</v>
      </c>
      <c r="D619" s="462" t="s">
        <v>150</v>
      </c>
      <c r="E619" s="462" t="s">
        <v>1175</v>
      </c>
      <c r="F619" s="462" t="s">
        <v>132</v>
      </c>
      <c r="G619" s="467">
        <f>G620</f>
        <v>0</v>
      </c>
      <c r="H619" s="518"/>
      <c r="I619" s="471"/>
      <c r="J619" s="499"/>
      <c r="K619" s="471"/>
    </row>
    <row r="620" spans="1:12" s="204" customFormat="1" ht="31.5" hidden="1" x14ac:dyDescent="0.25">
      <c r="A620" s="466" t="s">
        <v>133</v>
      </c>
      <c r="B620" s="460">
        <v>905</v>
      </c>
      <c r="C620" s="462" t="s">
        <v>244</v>
      </c>
      <c r="D620" s="462" t="s">
        <v>150</v>
      </c>
      <c r="E620" s="462" t="s">
        <v>1175</v>
      </c>
      <c r="F620" s="462" t="s">
        <v>134</v>
      </c>
      <c r="G620" s="467">
        <f>1975.4-1975.4</f>
        <v>0</v>
      </c>
      <c r="H620" s="519"/>
      <c r="I620" s="471"/>
      <c r="J620" s="499"/>
      <c r="K620" s="471"/>
    </row>
    <row r="621" spans="1:12" ht="31.5" x14ac:dyDescent="0.25">
      <c r="A621" s="461" t="s">
        <v>403</v>
      </c>
      <c r="B621" s="461">
        <v>906</v>
      </c>
      <c r="C621" s="465"/>
      <c r="D621" s="465"/>
      <c r="E621" s="465"/>
      <c r="F621" s="465"/>
      <c r="G621" s="463">
        <f>G629+G622</f>
        <v>378913.74100000004</v>
      </c>
      <c r="H621" s="518"/>
      <c r="I621" s="113"/>
      <c r="J621" s="499"/>
      <c r="K621" s="471"/>
      <c r="L621" s="204"/>
    </row>
    <row r="622" spans="1:12" ht="15.75" hidden="1" x14ac:dyDescent="0.25">
      <c r="A622" s="464" t="s">
        <v>117</v>
      </c>
      <c r="B622" s="461">
        <v>906</v>
      </c>
      <c r="C622" s="465" t="s">
        <v>118</v>
      </c>
      <c r="D622" s="465"/>
      <c r="E622" s="465"/>
      <c r="F622" s="465"/>
      <c r="G622" s="463">
        <f t="shared" ref="G622:G627" si="1">G623</f>
        <v>0</v>
      </c>
      <c r="H622" s="518"/>
      <c r="I622" s="471"/>
      <c r="J622" s="499"/>
      <c r="K622" s="471"/>
      <c r="L622" s="204"/>
    </row>
    <row r="623" spans="1:12" ht="15.75" hidden="1" x14ac:dyDescent="0.25">
      <c r="A623" s="34" t="s">
        <v>139</v>
      </c>
      <c r="B623" s="461">
        <v>906</v>
      </c>
      <c r="C623" s="465" t="s">
        <v>118</v>
      </c>
      <c r="D623" s="465" t="s">
        <v>140</v>
      </c>
      <c r="E623" s="465"/>
      <c r="F623" s="465"/>
      <c r="G623" s="463">
        <f t="shared" si="1"/>
        <v>0</v>
      </c>
      <c r="H623" s="518"/>
      <c r="I623" s="471"/>
      <c r="J623" s="499"/>
      <c r="K623" s="471"/>
      <c r="L623" s="204"/>
    </row>
    <row r="624" spans="1:12" ht="31.5" hidden="1" x14ac:dyDescent="0.25">
      <c r="A624" s="464" t="s">
        <v>1366</v>
      </c>
      <c r="B624" s="461">
        <v>906</v>
      </c>
      <c r="C624" s="465" t="s">
        <v>118</v>
      </c>
      <c r="D624" s="465" t="s">
        <v>140</v>
      </c>
      <c r="E624" s="465" t="s">
        <v>335</v>
      </c>
      <c r="F624" s="465"/>
      <c r="G624" s="463">
        <f t="shared" si="1"/>
        <v>0</v>
      </c>
      <c r="H624" s="518"/>
      <c r="I624" s="471"/>
      <c r="J624" s="499"/>
      <c r="K624" s="471"/>
      <c r="L624" s="204"/>
    </row>
    <row r="625" spans="1:12" s="204" customFormat="1" ht="31.5" hidden="1" x14ac:dyDescent="0.25">
      <c r="A625" s="212" t="s">
        <v>1052</v>
      </c>
      <c r="B625" s="461">
        <v>906</v>
      </c>
      <c r="C625" s="465" t="s">
        <v>118</v>
      </c>
      <c r="D625" s="465" t="s">
        <v>140</v>
      </c>
      <c r="E625" s="465" t="s">
        <v>1053</v>
      </c>
      <c r="F625" s="465"/>
      <c r="G625" s="463">
        <f t="shared" si="1"/>
        <v>0</v>
      </c>
      <c r="H625" s="518"/>
      <c r="I625" s="471"/>
      <c r="J625" s="499"/>
      <c r="K625" s="471"/>
    </row>
    <row r="626" spans="1:12" ht="31.5" hidden="1" x14ac:dyDescent="0.25">
      <c r="A626" s="97" t="s">
        <v>336</v>
      </c>
      <c r="B626" s="460">
        <v>906</v>
      </c>
      <c r="C626" s="462" t="s">
        <v>118</v>
      </c>
      <c r="D626" s="462" t="s">
        <v>140</v>
      </c>
      <c r="E626" s="462" t="s">
        <v>1054</v>
      </c>
      <c r="F626" s="462"/>
      <c r="G626" s="467">
        <f t="shared" si="1"/>
        <v>0</v>
      </c>
      <c r="H626" s="518"/>
      <c r="I626" s="471"/>
      <c r="J626" s="499"/>
      <c r="K626" s="471"/>
      <c r="L626" s="204"/>
    </row>
    <row r="627" spans="1:12" ht="31.5" hidden="1" x14ac:dyDescent="0.25">
      <c r="A627" s="466" t="s">
        <v>131</v>
      </c>
      <c r="B627" s="460">
        <v>906</v>
      </c>
      <c r="C627" s="462" t="s">
        <v>118</v>
      </c>
      <c r="D627" s="462" t="s">
        <v>140</v>
      </c>
      <c r="E627" s="462" t="s">
        <v>1054</v>
      </c>
      <c r="F627" s="462" t="s">
        <v>132</v>
      </c>
      <c r="G627" s="467">
        <f t="shared" si="1"/>
        <v>0</v>
      </c>
      <c r="H627" s="518"/>
      <c r="I627" s="471"/>
      <c r="J627" s="499"/>
      <c r="K627" s="471"/>
      <c r="L627" s="204"/>
    </row>
    <row r="628" spans="1:12" ht="31.5" hidden="1" x14ac:dyDescent="0.25">
      <c r="A628" s="466" t="s">
        <v>133</v>
      </c>
      <c r="B628" s="460">
        <v>906</v>
      </c>
      <c r="C628" s="462" t="s">
        <v>118</v>
      </c>
      <c r="D628" s="462" t="s">
        <v>140</v>
      </c>
      <c r="E628" s="462" t="s">
        <v>1054</v>
      </c>
      <c r="F628" s="462" t="s">
        <v>134</v>
      </c>
      <c r="G628" s="467">
        <f>100-100</f>
        <v>0</v>
      </c>
      <c r="H628" s="518"/>
      <c r="I628" s="471"/>
      <c r="J628" s="499"/>
      <c r="K628" s="471"/>
      <c r="L628" s="204"/>
    </row>
    <row r="629" spans="1:12" ht="15.75" x14ac:dyDescent="0.25">
      <c r="A629" s="464" t="s">
        <v>263</v>
      </c>
      <c r="B629" s="461">
        <v>906</v>
      </c>
      <c r="C629" s="465" t="s">
        <v>264</v>
      </c>
      <c r="D629" s="465"/>
      <c r="E629" s="465"/>
      <c r="F629" s="465"/>
      <c r="G629" s="463">
        <f>G630+G698+G828+G834+G789</f>
        <v>378913.74100000004</v>
      </c>
      <c r="H629" s="518"/>
      <c r="I629" s="471"/>
      <c r="J629" s="499"/>
      <c r="K629" s="471"/>
      <c r="L629" s="204"/>
    </row>
    <row r="630" spans="1:12" ht="15.75" x14ac:dyDescent="0.25">
      <c r="A630" s="464" t="s">
        <v>404</v>
      </c>
      <c r="B630" s="461">
        <v>906</v>
      </c>
      <c r="C630" s="465" t="s">
        <v>264</v>
      </c>
      <c r="D630" s="465" t="s">
        <v>118</v>
      </c>
      <c r="E630" s="465"/>
      <c r="F630" s="465"/>
      <c r="G630" s="463">
        <f>G631+G688+G693</f>
        <v>112462.06999999999</v>
      </c>
      <c r="H630" s="518"/>
      <c r="I630" s="113"/>
      <c r="J630" s="499"/>
      <c r="K630" s="471"/>
      <c r="L630" s="204"/>
    </row>
    <row r="631" spans="1:12" ht="36" customHeight="1" x14ac:dyDescent="0.25">
      <c r="A631" s="464" t="s">
        <v>1367</v>
      </c>
      <c r="B631" s="461">
        <v>906</v>
      </c>
      <c r="C631" s="465" t="s">
        <v>264</v>
      </c>
      <c r="D631" s="465" t="s">
        <v>118</v>
      </c>
      <c r="E631" s="465" t="s">
        <v>406</v>
      </c>
      <c r="F631" s="465"/>
      <c r="G631" s="463">
        <f>G632+G636+G649+G659+G669+G673+G680+G684</f>
        <v>111766.87</v>
      </c>
      <c r="H631" s="518"/>
      <c r="I631" s="471"/>
      <c r="J631" s="499"/>
      <c r="K631" s="471"/>
      <c r="L631" s="204"/>
    </row>
    <row r="632" spans="1:12" s="204" customFormat="1" ht="38.25" customHeight="1" x14ac:dyDescent="0.25">
      <c r="A632" s="464" t="s">
        <v>937</v>
      </c>
      <c r="B632" s="461">
        <v>906</v>
      </c>
      <c r="C632" s="465" t="s">
        <v>264</v>
      </c>
      <c r="D632" s="465" t="s">
        <v>118</v>
      </c>
      <c r="E632" s="465" t="s">
        <v>1235</v>
      </c>
      <c r="F632" s="465"/>
      <c r="G632" s="463">
        <f>G633</f>
        <v>14804.1</v>
      </c>
      <c r="H632" s="518"/>
      <c r="I632" s="471"/>
      <c r="J632" s="499"/>
      <c r="K632" s="471"/>
    </row>
    <row r="633" spans="1:12" ht="31.5" x14ac:dyDescent="0.25">
      <c r="A633" s="466" t="s">
        <v>1234</v>
      </c>
      <c r="B633" s="460">
        <v>906</v>
      </c>
      <c r="C633" s="462" t="s">
        <v>264</v>
      </c>
      <c r="D633" s="462" t="s">
        <v>118</v>
      </c>
      <c r="E633" s="462" t="s">
        <v>1236</v>
      </c>
      <c r="F633" s="462"/>
      <c r="G633" s="467">
        <f>G634</f>
        <v>14804.1</v>
      </c>
      <c r="H633" s="518"/>
      <c r="I633" s="471"/>
      <c r="J633" s="499"/>
      <c r="K633" s="471"/>
      <c r="L633" s="204"/>
    </row>
    <row r="634" spans="1:12" ht="31.5" x14ac:dyDescent="0.25">
      <c r="A634" s="466" t="s">
        <v>272</v>
      </c>
      <c r="B634" s="460">
        <v>906</v>
      </c>
      <c r="C634" s="462" t="s">
        <v>264</v>
      </c>
      <c r="D634" s="462" t="s">
        <v>118</v>
      </c>
      <c r="E634" s="462" t="s">
        <v>1236</v>
      </c>
      <c r="F634" s="462" t="s">
        <v>273</v>
      </c>
      <c r="G634" s="467">
        <f>G635</f>
        <v>14804.1</v>
      </c>
      <c r="H634" s="518"/>
      <c r="I634" s="471"/>
      <c r="J634" s="499"/>
      <c r="K634" s="471"/>
      <c r="L634" s="204"/>
    </row>
    <row r="635" spans="1:12" ht="15.75" x14ac:dyDescent="0.25">
      <c r="A635" s="466" t="s">
        <v>274</v>
      </c>
      <c r="B635" s="460">
        <v>906</v>
      </c>
      <c r="C635" s="462" t="s">
        <v>264</v>
      </c>
      <c r="D635" s="462" t="s">
        <v>118</v>
      </c>
      <c r="E635" s="462" t="s">
        <v>1236</v>
      </c>
      <c r="F635" s="462" t="s">
        <v>275</v>
      </c>
      <c r="G635" s="27">
        <f>16056.4-1260.8+70-27.2-77.5-12.8+56</f>
        <v>14804.1</v>
      </c>
      <c r="H635" s="518"/>
      <c r="I635" s="471"/>
      <c r="J635" s="499"/>
      <c r="K635" s="471"/>
      <c r="L635" s="204"/>
    </row>
    <row r="636" spans="1:12" s="204" customFormat="1" ht="31.7" customHeight="1" x14ac:dyDescent="0.25">
      <c r="A636" s="464" t="s">
        <v>900</v>
      </c>
      <c r="B636" s="461">
        <v>906</v>
      </c>
      <c r="C636" s="465" t="s">
        <v>264</v>
      </c>
      <c r="D636" s="465" t="s">
        <v>118</v>
      </c>
      <c r="E636" s="465" t="s">
        <v>1237</v>
      </c>
      <c r="F636" s="465"/>
      <c r="G636" s="44">
        <f>G640+G643+G646+G637</f>
        <v>84767.164999999994</v>
      </c>
      <c r="H636" s="518"/>
      <c r="I636" s="113"/>
      <c r="J636" s="499"/>
      <c r="K636" s="471"/>
    </row>
    <row r="637" spans="1:12" s="204" customFormat="1" ht="31.7" customHeight="1" x14ac:dyDescent="0.25">
      <c r="A637" s="31" t="s">
        <v>293</v>
      </c>
      <c r="B637" s="460">
        <v>906</v>
      </c>
      <c r="C637" s="462" t="s">
        <v>264</v>
      </c>
      <c r="D637" s="462" t="s">
        <v>118</v>
      </c>
      <c r="E637" s="462" t="s">
        <v>1401</v>
      </c>
      <c r="F637" s="462"/>
      <c r="G637" s="467">
        <f>G638</f>
        <v>3230</v>
      </c>
      <c r="H637" s="518"/>
      <c r="I637" s="113"/>
      <c r="J637" s="499"/>
      <c r="K637" s="471"/>
    </row>
    <row r="638" spans="1:12" s="204" customFormat="1" ht="31.7" customHeight="1" x14ac:dyDescent="0.25">
      <c r="A638" s="466" t="s">
        <v>272</v>
      </c>
      <c r="B638" s="460">
        <v>906</v>
      </c>
      <c r="C638" s="462" t="s">
        <v>264</v>
      </c>
      <c r="D638" s="462" t="s">
        <v>118</v>
      </c>
      <c r="E638" s="462" t="s">
        <v>1401</v>
      </c>
      <c r="F638" s="462" t="s">
        <v>273</v>
      </c>
      <c r="G638" s="467">
        <f>G639</f>
        <v>3230</v>
      </c>
      <c r="H638" s="518"/>
      <c r="I638" s="113"/>
      <c r="J638" s="499"/>
      <c r="K638" s="471"/>
    </row>
    <row r="639" spans="1:12" s="204" customFormat="1" ht="18.399999999999999" customHeight="1" x14ac:dyDescent="0.25">
      <c r="A639" s="466" t="s">
        <v>274</v>
      </c>
      <c r="B639" s="460">
        <v>906</v>
      </c>
      <c r="C639" s="462" t="s">
        <v>264</v>
      </c>
      <c r="D639" s="462" t="s">
        <v>118</v>
      </c>
      <c r="E639" s="462" t="s">
        <v>1401</v>
      </c>
      <c r="F639" s="462" t="s">
        <v>275</v>
      </c>
      <c r="G639" s="27">
        <v>3230</v>
      </c>
      <c r="H639" s="518"/>
      <c r="I639" s="113"/>
      <c r="J639" s="499"/>
      <c r="K639" s="471"/>
    </row>
    <row r="640" spans="1:12" s="204" customFormat="1" ht="61.5" customHeight="1" x14ac:dyDescent="0.25">
      <c r="A640" s="31" t="s">
        <v>289</v>
      </c>
      <c r="B640" s="460">
        <v>906</v>
      </c>
      <c r="C640" s="462" t="s">
        <v>264</v>
      </c>
      <c r="D640" s="462" t="s">
        <v>118</v>
      </c>
      <c r="E640" s="462" t="s">
        <v>1238</v>
      </c>
      <c r="F640" s="462"/>
      <c r="G640" s="467">
        <f>G641</f>
        <v>589</v>
      </c>
      <c r="H640" s="518"/>
      <c r="I640" s="471"/>
      <c r="J640" s="499"/>
      <c r="K640" s="471"/>
    </row>
    <row r="641" spans="1:12" s="204" customFormat="1" ht="31.5" x14ac:dyDescent="0.25">
      <c r="A641" s="466" t="s">
        <v>272</v>
      </c>
      <c r="B641" s="460">
        <v>906</v>
      </c>
      <c r="C641" s="462" t="s">
        <v>264</v>
      </c>
      <c r="D641" s="462" t="s">
        <v>118</v>
      </c>
      <c r="E641" s="462" t="s">
        <v>1238</v>
      </c>
      <c r="F641" s="462" t="s">
        <v>273</v>
      </c>
      <c r="G641" s="467">
        <f>G642</f>
        <v>589</v>
      </c>
      <c r="H641" s="518"/>
      <c r="I641" s="471"/>
      <c r="J641" s="499"/>
      <c r="K641" s="471"/>
    </row>
    <row r="642" spans="1:12" s="204" customFormat="1" ht="15.75" x14ac:dyDescent="0.25">
      <c r="A642" s="466" t="s">
        <v>274</v>
      </c>
      <c r="B642" s="460">
        <v>906</v>
      </c>
      <c r="C642" s="462" t="s">
        <v>264</v>
      </c>
      <c r="D642" s="462" t="s">
        <v>118</v>
      </c>
      <c r="E642" s="462" t="s">
        <v>1238</v>
      </c>
      <c r="F642" s="462" t="s">
        <v>275</v>
      </c>
      <c r="G642" s="467">
        <v>589</v>
      </c>
      <c r="H642" s="518"/>
      <c r="I642" s="471"/>
      <c r="J642" s="499"/>
      <c r="K642" s="471"/>
    </row>
    <row r="643" spans="1:12" s="204" customFormat="1" ht="63" x14ac:dyDescent="0.25">
      <c r="A643" s="31" t="s">
        <v>420</v>
      </c>
      <c r="B643" s="460">
        <v>906</v>
      </c>
      <c r="C643" s="462" t="s">
        <v>264</v>
      </c>
      <c r="D643" s="462" t="s">
        <v>118</v>
      </c>
      <c r="E643" s="462" t="s">
        <v>1239</v>
      </c>
      <c r="F643" s="462"/>
      <c r="G643" s="467">
        <f>G644</f>
        <v>1497.5</v>
      </c>
      <c r="H643" s="518"/>
      <c r="I643" s="471"/>
      <c r="J643" s="499"/>
      <c r="K643" s="471"/>
    </row>
    <row r="644" spans="1:12" s="204" customFormat="1" ht="31.5" x14ac:dyDescent="0.25">
      <c r="A644" s="466" t="s">
        <v>272</v>
      </c>
      <c r="B644" s="460">
        <v>906</v>
      </c>
      <c r="C644" s="462" t="s">
        <v>264</v>
      </c>
      <c r="D644" s="462" t="s">
        <v>118</v>
      </c>
      <c r="E644" s="462" t="s">
        <v>1239</v>
      </c>
      <c r="F644" s="462" t="s">
        <v>273</v>
      </c>
      <c r="G644" s="467">
        <f>G645</f>
        <v>1497.5</v>
      </c>
      <c r="H644" s="518"/>
      <c r="I644" s="471"/>
      <c r="J644" s="499"/>
      <c r="K644" s="471"/>
    </row>
    <row r="645" spans="1:12" s="204" customFormat="1" ht="15.75" x14ac:dyDescent="0.25">
      <c r="A645" s="466" t="s">
        <v>274</v>
      </c>
      <c r="B645" s="460">
        <v>906</v>
      </c>
      <c r="C645" s="462" t="s">
        <v>264</v>
      </c>
      <c r="D645" s="462" t="s">
        <v>118</v>
      </c>
      <c r="E645" s="462" t="s">
        <v>1239</v>
      </c>
      <c r="F645" s="462" t="s">
        <v>275</v>
      </c>
      <c r="G645" s="467">
        <f>1629.37-0.07-131.8</f>
        <v>1497.5</v>
      </c>
      <c r="H645" s="518"/>
      <c r="I645" s="471"/>
      <c r="J645" s="499"/>
      <c r="K645" s="471"/>
    </row>
    <row r="646" spans="1:12" s="204" customFormat="1" ht="78.75" x14ac:dyDescent="0.25">
      <c r="A646" s="31" t="s">
        <v>421</v>
      </c>
      <c r="B646" s="460">
        <v>906</v>
      </c>
      <c r="C646" s="462" t="s">
        <v>264</v>
      </c>
      <c r="D646" s="462" t="s">
        <v>118</v>
      </c>
      <c r="E646" s="462" t="s">
        <v>1240</v>
      </c>
      <c r="F646" s="462"/>
      <c r="G646" s="467">
        <f>G647</f>
        <v>79450.664999999994</v>
      </c>
      <c r="H646" s="518"/>
      <c r="I646" s="471"/>
      <c r="J646" s="499"/>
      <c r="K646" s="471"/>
    </row>
    <row r="647" spans="1:12" s="204" customFormat="1" ht="31.5" x14ac:dyDescent="0.25">
      <c r="A647" s="466" t="s">
        <v>272</v>
      </c>
      <c r="B647" s="460">
        <v>906</v>
      </c>
      <c r="C647" s="462" t="s">
        <v>264</v>
      </c>
      <c r="D647" s="462" t="s">
        <v>118</v>
      </c>
      <c r="E647" s="462" t="s">
        <v>1240</v>
      </c>
      <c r="F647" s="462" t="s">
        <v>273</v>
      </c>
      <c r="G647" s="467">
        <f>G648</f>
        <v>79450.664999999994</v>
      </c>
      <c r="H647" s="518"/>
      <c r="I647" s="471"/>
      <c r="J647" s="499"/>
      <c r="K647" s="471"/>
    </row>
    <row r="648" spans="1:12" s="204" customFormat="1" ht="15.75" x14ac:dyDescent="0.25">
      <c r="A648" s="466" t="s">
        <v>274</v>
      </c>
      <c r="B648" s="460">
        <v>906</v>
      </c>
      <c r="C648" s="462" t="s">
        <v>264</v>
      </c>
      <c r="D648" s="462" t="s">
        <v>118</v>
      </c>
      <c r="E648" s="462" t="s">
        <v>1240</v>
      </c>
      <c r="F648" s="462" t="s">
        <v>275</v>
      </c>
      <c r="G648" s="27">
        <f>90957.3-1137.97+0.04-2963.722-2141.042-5263.941</f>
        <v>79450.664999999994</v>
      </c>
      <c r="H648" s="518"/>
      <c r="I648" s="471"/>
      <c r="J648" s="499"/>
      <c r="K648" s="471"/>
    </row>
    <row r="649" spans="1:12" s="204" customFormat="1" ht="30.2" customHeight="1" x14ac:dyDescent="0.25">
      <c r="A649" s="464" t="s">
        <v>1257</v>
      </c>
      <c r="B649" s="461">
        <v>906</v>
      </c>
      <c r="C649" s="465" t="s">
        <v>264</v>
      </c>
      <c r="D649" s="465" t="s">
        <v>118</v>
      </c>
      <c r="E649" s="465" t="s">
        <v>1242</v>
      </c>
      <c r="F649" s="465"/>
      <c r="G649" s="463">
        <f>G650+G653+G656</f>
        <v>4368.3999999999996</v>
      </c>
      <c r="H649" s="518"/>
      <c r="I649" s="471"/>
      <c r="J649" s="499"/>
      <c r="K649" s="471"/>
    </row>
    <row r="650" spans="1:12" ht="35.450000000000003" customHeight="1" x14ac:dyDescent="0.25">
      <c r="A650" s="466" t="s">
        <v>278</v>
      </c>
      <c r="B650" s="460">
        <v>906</v>
      </c>
      <c r="C650" s="462" t="s">
        <v>264</v>
      </c>
      <c r="D650" s="462" t="s">
        <v>118</v>
      </c>
      <c r="E650" s="462" t="s">
        <v>1325</v>
      </c>
      <c r="F650" s="462"/>
      <c r="G650" s="467">
        <f>G651</f>
        <v>61.400000000000006</v>
      </c>
      <c r="H650" s="518"/>
      <c r="I650" s="471"/>
      <c r="J650" s="499"/>
      <c r="K650" s="471"/>
      <c r="L650" s="204"/>
    </row>
    <row r="651" spans="1:12" ht="35.450000000000003" customHeight="1" x14ac:dyDescent="0.25">
      <c r="A651" s="466" t="s">
        <v>272</v>
      </c>
      <c r="B651" s="460">
        <v>906</v>
      </c>
      <c r="C651" s="462" t="s">
        <v>264</v>
      </c>
      <c r="D651" s="462" t="s">
        <v>118</v>
      </c>
      <c r="E651" s="462" t="s">
        <v>1325</v>
      </c>
      <c r="F651" s="462" t="s">
        <v>273</v>
      </c>
      <c r="G651" s="467">
        <f>G652</f>
        <v>61.400000000000006</v>
      </c>
      <c r="H651" s="518"/>
      <c r="I651" s="471"/>
      <c r="J651" s="499"/>
      <c r="K651" s="471"/>
      <c r="L651" s="204"/>
    </row>
    <row r="652" spans="1:12" ht="15.75" customHeight="1" x14ac:dyDescent="0.25">
      <c r="A652" s="466" t="s">
        <v>274</v>
      </c>
      <c r="B652" s="460">
        <v>906</v>
      </c>
      <c r="C652" s="462" t="s">
        <v>264</v>
      </c>
      <c r="D652" s="462" t="s">
        <v>118</v>
      </c>
      <c r="E652" s="462" t="s">
        <v>1325</v>
      </c>
      <c r="F652" s="462" t="s">
        <v>275</v>
      </c>
      <c r="G652" s="467">
        <f>200-38.6-100</f>
        <v>61.400000000000006</v>
      </c>
      <c r="H652" s="518"/>
      <c r="I652" s="471"/>
      <c r="J652" s="499"/>
      <c r="K652" s="471"/>
      <c r="L652" s="204"/>
    </row>
    <row r="653" spans="1:12" ht="37.5" customHeight="1" x14ac:dyDescent="0.25">
      <c r="A653" s="466" t="s">
        <v>280</v>
      </c>
      <c r="B653" s="460">
        <v>906</v>
      </c>
      <c r="C653" s="462" t="s">
        <v>264</v>
      </c>
      <c r="D653" s="462" t="s">
        <v>118</v>
      </c>
      <c r="E653" s="462" t="s">
        <v>1326</v>
      </c>
      <c r="F653" s="462"/>
      <c r="G653" s="467">
        <f>G654</f>
        <v>357</v>
      </c>
      <c r="H653" s="518"/>
      <c r="I653" s="471"/>
      <c r="J653" s="499"/>
      <c r="K653" s="471"/>
      <c r="L653" s="204"/>
    </row>
    <row r="654" spans="1:12" ht="31.5" x14ac:dyDescent="0.25">
      <c r="A654" s="466" t="s">
        <v>272</v>
      </c>
      <c r="B654" s="460">
        <v>906</v>
      </c>
      <c r="C654" s="462" t="s">
        <v>264</v>
      </c>
      <c r="D654" s="462" t="s">
        <v>118</v>
      </c>
      <c r="E654" s="462" t="s">
        <v>1326</v>
      </c>
      <c r="F654" s="462" t="s">
        <v>273</v>
      </c>
      <c r="G654" s="467">
        <f>G655</f>
        <v>357</v>
      </c>
      <c r="H654" s="518"/>
      <c r="I654" s="471"/>
      <c r="J654" s="499"/>
      <c r="K654" s="471"/>
      <c r="L654" s="204"/>
    </row>
    <row r="655" spans="1:12" ht="15.75" x14ac:dyDescent="0.25">
      <c r="A655" s="466" t="s">
        <v>274</v>
      </c>
      <c r="B655" s="460">
        <v>906</v>
      </c>
      <c r="C655" s="462" t="s">
        <v>264</v>
      </c>
      <c r="D655" s="462" t="s">
        <v>118</v>
      </c>
      <c r="E655" s="462" t="s">
        <v>1326</v>
      </c>
      <c r="F655" s="462" t="s">
        <v>275</v>
      </c>
      <c r="G655" s="467">
        <v>357</v>
      </c>
      <c r="H655" s="518"/>
      <c r="I655" s="471"/>
      <c r="J655" s="499"/>
      <c r="K655" s="471"/>
      <c r="L655" s="204"/>
    </row>
    <row r="656" spans="1:12" ht="31.5" x14ac:dyDescent="0.25">
      <c r="A656" s="29" t="s">
        <v>415</v>
      </c>
      <c r="B656" s="460">
        <v>906</v>
      </c>
      <c r="C656" s="462" t="s">
        <v>264</v>
      </c>
      <c r="D656" s="462" t="s">
        <v>118</v>
      </c>
      <c r="E656" s="462" t="s">
        <v>1243</v>
      </c>
      <c r="F656" s="462"/>
      <c r="G656" s="467">
        <f>G657</f>
        <v>3950</v>
      </c>
      <c r="H656" s="518"/>
      <c r="I656" s="471"/>
      <c r="J656" s="499"/>
      <c r="K656" s="471"/>
      <c r="L656" s="204"/>
    </row>
    <row r="657" spans="1:12" ht="31.5" x14ac:dyDescent="0.25">
      <c r="A657" s="466" t="s">
        <v>272</v>
      </c>
      <c r="B657" s="460">
        <v>906</v>
      </c>
      <c r="C657" s="462" t="s">
        <v>264</v>
      </c>
      <c r="D657" s="462" t="s">
        <v>118</v>
      </c>
      <c r="E657" s="462" t="s">
        <v>1243</v>
      </c>
      <c r="F657" s="462" t="s">
        <v>273</v>
      </c>
      <c r="G657" s="467">
        <f>G658</f>
        <v>3950</v>
      </c>
      <c r="H657" s="518"/>
      <c r="I657" s="471"/>
      <c r="J657" s="499"/>
      <c r="K657" s="471"/>
      <c r="L657" s="204"/>
    </row>
    <row r="658" spans="1:12" ht="15.75" x14ac:dyDescent="0.25">
      <c r="A658" s="466" t="s">
        <v>274</v>
      </c>
      <c r="B658" s="460">
        <v>906</v>
      </c>
      <c r="C658" s="462" t="s">
        <v>264</v>
      </c>
      <c r="D658" s="462" t="s">
        <v>118</v>
      </c>
      <c r="E658" s="462" t="s">
        <v>1243</v>
      </c>
      <c r="F658" s="462" t="s">
        <v>275</v>
      </c>
      <c r="G658" s="601">
        <f>4430-430-357+357-50</f>
        <v>3950</v>
      </c>
      <c r="H658" s="518"/>
      <c r="I658" s="471"/>
      <c r="J658" s="499"/>
      <c r="K658" s="471"/>
      <c r="L658" s="204"/>
    </row>
    <row r="659" spans="1:12" s="204" customFormat="1" ht="31.5" x14ac:dyDescent="0.25">
      <c r="A659" s="218" t="s">
        <v>948</v>
      </c>
      <c r="B659" s="461">
        <v>906</v>
      </c>
      <c r="C659" s="465" t="s">
        <v>264</v>
      </c>
      <c r="D659" s="465" t="s">
        <v>118</v>
      </c>
      <c r="E659" s="465" t="s">
        <v>1245</v>
      </c>
      <c r="F659" s="465"/>
      <c r="G659" s="44">
        <f>G660+G663+G666</f>
        <v>3181.4</v>
      </c>
      <c r="H659" s="518"/>
      <c r="I659" s="471"/>
      <c r="J659" s="499"/>
      <c r="K659" s="471"/>
    </row>
    <row r="660" spans="1:12" ht="31.7" hidden="1" customHeight="1" x14ac:dyDescent="0.25">
      <c r="A660" s="466" t="s">
        <v>284</v>
      </c>
      <c r="B660" s="460">
        <v>906</v>
      </c>
      <c r="C660" s="462" t="s">
        <v>264</v>
      </c>
      <c r="D660" s="462" t="s">
        <v>118</v>
      </c>
      <c r="E660" s="462" t="s">
        <v>1263</v>
      </c>
      <c r="F660" s="462"/>
      <c r="G660" s="467">
        <f>G661</f>
        <v>0</v>
      </c>
      <c r="H660" s="518"/>
      <c r="I660" s="471"/>
      <c r="J660" s="499"/>
      <c r="K660" s="471"/>
      <c r="L660" s="204"/>
    </row>
    <row r="661" spans="1:12" ht="38.25" hidden="1" customHeight="1" x14ac:dyDescent="0.25">
      <c r="A661" s="466" t="s">
        <v>272</v>
      </c>
      <c r="B661" s="460">
        <v>906</v>
      </c>
      <c r="C661" s="462" t="s">
        <v>264</v>
      </c>
      <c r="D661" s="462" t="s">
        <v>118</v>
      </c>
      <c r="E661" s="462" t="s">
        <v>1263</v>
      </c>
      <c r="F661" s="462" t="s">
        <v>273</v>
      </c>
      <c r="G661" s="467">
        <f>G662</f>
        <v>0</v>
      </c>
      <c r="H661" s="518"/>
      <c r="I661" s="471"/>
      <c r="J661" s="499"/>
      <c r="K661" s="471"/>
      <c r="L661" s="204"/>
    </row>
    <row r="662" spans="1:12" ht="15.75" hidden="1" customHeight="1" x14ac:dyDescent="0.25">
      <c r="A662" s="466" t="s">
        <v>274</v>
      </c>
      <c r="B662" s="460">
        <v>906</v>
      </c>
      <c r="C662" s="462" t="s">
        <v>264</v>
      </c>
      <c r="D662" s="462" t="s">
        <v>118</v>
      </c>
      <c r="E662" s="462" t="s">
        <v>1263</v>
      </c>
      <c r="F662" s="462" t="s">
        <v>275</v>
      </c>
      <c r="G662" s="467">
        <v>0</v>
      </c>
      <c r="H662" s="518"/>
      <c r="I662" s="471"/>
      <c r="J662" s="499"/>
      <c r="K662" s="471"/>
      <c r="L662" s="204"/>
    </row>
    <row r="663" spans="1:12" ht="34.5" customHeight="1" x14ac:dyDescent="0.25">
      <c r="A663" s="60" t="s">
        <v>764</v>
      </c>
      <c r="B663" s="460">
        <v>906</v>
      </c>
      <c r="C663" s="462" t="s">
        <v>264</v>
      </c>
      <c r="D663" s="462" t="s">
        <v>118</v>
      </c>
      <c r="E663" s="462" t="s">
        <v>1246</v>
      </c>
      <c r="F663" s="462"/>
      <c r="G663" s="467">
        <f>G664</f>
        <v>2245.4</v>
      </c>
      <c r="H663" s="518"/>
      <c r="I663" s="471"/>
      <c r="J663" s="499"/>
      <c r="K663" s="471"/>
      <c r="L663" s="204"/>
    </row>
    <row r="664" spans="1:12" ht="32.25" customHeight="1" x14ac:dyDescent="0.25">
      <c r="A664" s="29" t="s">
        <v>272</v>
      </c>
      <c r="B664" s="460">
        <v>906</v>
      </c>
      <c r="C664" s="462" t="s">
        <v>264</v>
      </c>
      <c r="D664" s="462" t="s">
        <v>118</v>
      </c>
      <c r="E664" s="462" t="s">
        <v>1246</v>
      </c>
      <c r="F664" s="462" t="s">
        <v>273</v>
      </c>
      <c r="G664" s="467">
        <f>G665</f>
        <v>2245.4</v>
      </c>
      <c r="H664" s="518"/>
      <c r="I664" s="471"/>
      <c r="J664" s="499"/>
      <c r="K664" s="471"/>
      <c r="L664" s="204"/>
    </row>
    <row r="665" spans="1:12" ht="15.75" customHeight="1" x14ac:dyDescent="0.25">
      <c r="A665" s="182" t="s">
        <v>274</v>
      </c>
      <c r="B665" s="460">
        <v>906</v>
      </c>
      <c r="C665" s="462" t="s">
        <v>264</v>
      </c>
      <c r="D665" s="462" t="s">
        <v>118</v>
      </c>
      <c r="E665" s="462" t="s">
        <v>1246</v>
      </c>
      <c r="F665" s="462" t="s">
        <v>275</v>
      </c>
      <c r="G665" s="467">
        <f>3088+80-786.6-80-56</f>
        <v>2245.4</v>
      </c>
      <c r="H665" s="518"/>
      <c r="I665" s="471"/>
      <c r="J665" s="499"/>
      <c r="K665" s="471"/>
      <c r="L665" s="204"/>
    </row>
    <row r="666" spans="1:12" ht="50.25" customHeight="1" x14ac:dyDescent="0.25">
      <c r="A666" s="60" t="s">
        <v>765</v>
      </c>
      <c r="B666" s="460">
        <v>906</v>
      </c>
      <c r="C666" s="462" t="s">
        <v>264</v>
      </c>
      <c r="D666" s="462" t="s">
        <v>118</v>
      </c>
      <c r="E666" s="462" t="s">
        <v>1247</v>
      </c>
      <c r="F666" s="462"/>
      <c r="G666" s="467">
        <f>G667</f>
        <v>936</v>
      </c>
      <c r="H666" s="518"/>
      <c r="I666" s="471"/>
      <c r="J666" s="499"/>
      <c r="K666" s="471"/>
      <c r="L666" s="204"/>
    </row>
    <row r="667" spans="1:12" ht="31.5" x14ac:dyDescent="0.25">
      <c r="A667" s="29" t="s">
        <v>272</v>
      </c>
      <c r="B667" s="460">
        <v>906</v>
      </c>
      <c r="C667" s="462" t="s">
        <v>264</v>
      </c>
      <c r="D667" s="462" t="s">
        <v>118</v>
      </c>
      <c r="E667" s="462" t="s">
        <v>1247</v>
      </c>
      <c r="F667" s="462" t="s">
        <v>273</v>
      </c>
      <c r="G667" s="467">
        <f>G668</f>
        <v>936</v>
      </c>
      <c r="H667" s="518"/>
      <c r="I667" s="471"/>
      <c r="J667" s="499"/>
      <c r="K667" s="471"/>
      <c r="L667" s="204"/>
    </row>
    <row r="668" spans="1:12" ht="15.75" x14ac:dyDescent="0.25">
      <c r="A668" s="182" t="s">
        <v>274</v>
      </c>
      <c r="B668" s="460">
        <v>906</v>
      </c>
      <c r="C668" s="462" t="s">
        <v>264</v>
      </c>
      <c r="D668" s="462" t="s">
        <v>118</v>
      </c>
      <c r="E668" s="462" t="s">
        <v>1247</v>
      </c>
      <c r="F668" s="462" t="s">
        <v>275</v>
      </c>
      <c r="G668" s="467">
        <f>1760-500-24-80-84-136</f>
        <v>936</v>
      </c>
      <c r="H668" s="518"/>
      <c r="I668" s="471"/>
      <c r="J668" s="499"/>
      <c r="K668" s="471"/>
      <c r="L668" s="204"/>
    </row>
    <row r="669" spans="1:12" s="204" customFormat="1" ht="63" x14ac:dyDescent="0.25">
      <c r="A669" s="464" t="s">
        <v>933</v>
      </c>
      <c r="B669" s="461">
        <v>906</v>
      </c>
      <c r="C669" s="465" t="s">
        <v>264</v>
      </c>
      <c r="D669" s="465" t="s">
        <v>118</v>
      </c>
      <c r="E669" s="465" t="s">
        <v>1248</v>
      </c>
      <c r="F669" s="465"/>
      <c r="G669" s="463">
        <f>G670</f>
        <v>291.10000000000002</v>
      </c>
      <c r="H669" s="518"/>
      <c r="I669" s="471"/>
      <c r="J669" s="499"/>
      <c r="K669" s="471"/>
    </row>
    <row r="670" spans="1:12" ht="96.4" customHeight="1" x14ac:dyDescent="0.25">
      <c r="A670" s="466" t="s">
        <v>1523</v>
      </c>
      <c r="B670" s="460">
        <v>906</v>
      </c>
      <c r="C670" s="462" t="s">
        <v>264</v>
      </c>
      <c r="D670" s="462" t="s">
        <v>118</v>
      </c>
      <c r="E670" s="462" t="s">
        <v>1249</v>
      </c>
      <c r="F670" s="462"/>
      <c r="G670" s="467">
        <f>G671</f>
        <v>291.10000000000002</v>
      </c>
      <c r="H670" s="518"/>
      <c r="I670" s="471"/>
      <c r="J670" s="499"/>
      <c r="K670" s="471"/>
      <c r="L670" s="204"/>
    </row>
    <row r="671" spans="1:12" ht="31.5" x14ac:dyDescent="0.25">
      <c r="A671" s="29" t="s">
        <v>272</v>
      </c>
      <c r="B671" s="460">
        <v>906</v>
      </c>
      <c r="C671" s="462" t="s">
        <v>264</v>
      </c>
      <c r="D671" s="462" t="s">
        <v>118</v>
      </c>
      <c r="E671" s="462" t="s">
        <v>1249</v>
      </c>
      <c r="F671" s="462" t="s">
        <v>273</v>
      </c>
      <c r="G671" s="467">
        <f>G672</f>
        <v>291.10000000000002</v>
      </c>
      <c r="H671" s="518"/>
      <c r="I671" s="471"/>
      <c r="J671" s="499"/>
      <c r="K671" s="471"/>
      <c r="L671" s="204"/>
    </row>
    <row r="672" spans="1:12" ht="18.75" customHeight="1" x14ac:dyDescent="0.25">
      <c r="A672" s="182" t="s">
        <v>274</v>
      </c>
      <c r="B672" s="460">
        <v>906</v>
      </c>
      <c r="C672" s="462" t="s">
        <v>264</v>
      </c>
      <c r="D672" s="462" t="s">
        <v>118</v>
      </c>
      <c r="E672" s="462" t="s">
        <v>1249</v>
      </c>
      <c r="F672" s="462" t="s">
        <v>275</v>
      </c>
      <c r="G672" s="467">
        <f>124.4+166.7</f>
        <v>291.10000000000002</v>
      </c>
      <c r="H672" s="518"/>
      <c r="I672" s="471"/>
      <c r="J672" s="499"/>
      <c r="K672" s="471"/>
      <c r="L672" s="204"/>
    </row>
    <row r="673" spans="1:13" s="204" customFormat="1" ht="84.2" customHeight="1" x14ac:dyDescent="0.25">
      <c r="A673" s="464" t="s">
        <v>1171</v>
      </c>
      <c r="B673" s="461">
        <v>906</v>
      </c>
      <c r="C673" s="465" t="s">
        <v>264</v>
      </c>
      <c r="D673" s="465" t="s">
        <v>118</v>
      </c>
      <c r="E673" s="465" t="s">
        <v>1251</v>
      </c>
      <c r="F673" s="465"/>
      <c r="G673" s="463">
        <f>G674+G677</f>
        <v>1738</v>
      </c>
      <c r="H673" s="518"/>
      <c r="I673" s="471"/>
      <c r="J673" s="499"/>
      <c r="K673" s="471"/>
    </row>
    <row r="674" spans="1:13" s="204" customFormat="1" ht="79.5" customHeight="1" x14ac:dyDescent="0.25">
      <c r="A674" s="149" t="s">
        <v>1524</v>
      </c>
      <c r="B674" s="460">
        <v>906</v>
      </c>
      <c r="C674" s="462" t="s">
        <v>264</v>
      </c>
      <c r="D674" s="462" t="s">
        <v>118</v>
      </c>
      <c r="E674" s="462" t="s">
        <v>1252</v>
      </c>
      <c r="F674" s="462"/>
      <c r="G674" s="467">
        <f>G675</f>
        <v>1738</v>
      </c>
      <c r="H674" s="518"/>
      <c r="I674" s="471"/>
      <c r="J674" s="499"/>
      <c r="K674" s="471"/>
    </row>
    <row r="675" spans="1:13" s="204" customFormat="1" ht="33.75" customHeight="1" x14ac:dyDescent="0.25">
      <c r="A675" s="466" t="s">
        <v>272</v>
      </c>
      <c r="B675" s="460">
        <v>906</v>
      </c>
      <c r="C675" s="462" t="s">
        <v>264</v>
      </c>
      <c r="D675" s="462" t="s">
        <v>118</v>
      </c>
      <c r="E675" s="462" t="s">
        <v>1252</v>
      </c>
      <c r="F675" s="462" t="s">
        <v>273</v>
      </c>
      <c r="G675" s="467">
        <f>G676</f>
        <v>1738</v>
      </c>
      <c r="H675" s="518"/>
      <c r="I675" s="471"/>
      <c r="J675" s="499"/>
      <c r="K675" s="471"/>
    </row>
    <row r="676" spans="1:13" s="204" customFormat="1" ht="18.75" customHeight="1" x14ac:dyDescent="0.25">
      <c r="A676" s="466" t="s">
        <v>274</v>
      </c>
      <c r="B676" s="460">
        <v>906</v>
      </c>
      <c r="C676" s="462" t="s">
        <v>264</v>
      </c>
      <c r="D676" s="462" t="s">
        <v>118</v>
      </c>
      <c r="E676" s="462" t="s">
        <v>1252</v>
      </c>
      <c r="F676" s="462" t="s">
        <v>275</v>
      </c>
      <c r="G676" s="467">
        <f>1666.6+71.4</f>
        <v>1738</v>
      </c>
      <c r="H676" s="518"/>
      <c r="I676" s="471"/>
      <c r="J676" s="499"/>
      <c r="K676" s="471"/>
    </row>
    <row r="677" spans="1:13" s="204" customFormat="1" ht="82.5" hidden="1" customHeight="1" x14ac:dyDescent="0.25">
      <c r="A677" s="149" t="s">
        <v>1186</v>
      </c>
      <c r="B677" s="460">
        <v>906</v>
      </c>
      <c r="C677" s="462" t="s">
        <v>264</v>
      </c>
      <c r="D677" s="462" t="s">
        <v>118</v>
      </c>
      <c r="E677" s="462" t="s">
        <v>1253</v>
      </c>
      <c r="F677" s="462"/>
      <c r="G677" s="467">
        <f>G678</f>
        <v>0</v>
      </c>
      <c r="H677" s="518"/>
      <c r="I677" s="471"/>
      <c r="J677" s="499"/>
      <c r="K677" s="471"/>
    </row>
    <row r="678" spans="1:13" s="204" customFormat="1" ht="36.75" hidden="1" customHeight="1" x14ac:dyDescent="0.25">
      <c r="A678" s="466" t="s">
        <v>272</v>
      </c>
      <c r="B678" s="460">
        <v>906</v>
      </c>
      <c r="C678" s="462" t="s">
        <v>264</v>
      </c>
      <c r="D678" s="462" t="s">
        <v>118</v>
      </c>
      <c r="E678" s="462" t="s">
        <v>1253</v>
      </c>
      <c r="F678" s="462" t="s">
        <v>273</v>
      </c>
      <c r="G678" s="467">
        <f>G679</f>
        <v>0</v>
      </c>
      <c r="H678" s="518"/>
      <c r="I678" s="471"/>
      <c r="J678" s="499"/>
      <c r="K678" s="471"/>
    </row>
    <row r="679" spans="1:13" s="204" customFormat="1" ht="18.75" hidden="1" customHeight="1" x14ac:dyDescent="0.25">
      <c r="A679" s="466" t="s">
        <v>274</v>
      </c>
      <c r="B679" s="460">
        <v>906</v>
      </c>
      <c r="C679" s="462" t="s">
        <v>264</v>
      </c>
      <c r="D679" s="462" t="s">
        <v>118</v>
      </c>
      <c r="E679" s="462" t="s">
        <v>1253</v>
      </c>
      <c r="F679" s="462" t="s">
        <v>275</v>
      </c>
      <c r="G679" s="467"/>
      <c r="H679" s="518"/>
      <c r="I679" s="471"/>
      <c r="J679" s="499"/>
      <c r="K679" s="471"/>
    </row>
    <row r="680" spans="1:13" s="204" customFormat="1" ht="31.5" x14ac:dyDescent="0.25">
      <c r="A680" s="298" t="s">
        <v>1650</v>
      </c>
      <c r="B680" s="461">
        <v>906</v>
      </c>
      <c r="C680" s="465" t="s">
        <v>264</v>
      </c>
      <c r="D680" s="465" t="s">
        <v>118</v>
      </c>
      <c r="E680" s="465" t="s">
        <v>1652</v>
      </c>
      <c r="F680" s="465"/>
      <c r="G680" s="467">
        <f>G681</f>
        <v>9.8149999999999977</v>
      </c>
      <c r="H680" s="518"/>
      <c r="I680" s="471"/>
      <c r="J680" s="499"/>
      <c r="K680" s="471"/>
    </row>
    <row r="681" spans="1:13" s="204" customFormat="1" ht="31.5" x14ac:dyDescent="0.25">
      <c r="A681" s="297" t="s">
        <v>1651</v>
      </c>
      <c r="B681" s="460">
        <v>906</v>
      </c>
      <c r="C681" s="462" t="s">
        <v>264</v>
      </c>
      <c r="D681" s="462" t="s">
        <v>118</v>
      </c>
      <c r="E681" s="462" t="s">
        <v>1653</v>
      </c>
      <c r="F681" s="462"/>
      <c r="G681" s="467">
        <f>G682</f>
        <v>9.8149999999999977</v>
      </c>
      <c r="H681" s="518"/>
      <c r="I681" s="471"/>
      <c r="J681" s="499"/>
      <c r="K681" s="471"/>
    </row>
    <row r="682" spans="1:13" s="204" customFormat="1" ht="31.5" x14ac:dyDescent="0.25">
      <c r="A682" s="31" t="s">
        <v>272</v>
      </c>
      <c r="B682" s="460">
        <v>906</v>
      </c>
      <c r="C682" s="462" t="s">
        <v>264</v>
      </c>
      <c r="D682" s="462" t="s">
        <v>118</v>
      </c>
      <c r="E682" s="462" t="s">
        <v>1653</v>
      </c>
      <c r="F682" s="462" t="s">
        <v>273</v>
      </c>
      <c r="G682" s="467">
        <f>G683</f>
        <v>9.8149999999999977</v>
      </c>
      <c r="H682" s="518"/>
      <c r="I682" s="471"/>
      <c r="J682" s="499"/>
      <c r="K682" s="471"/>
    </row>
    <row r="683" spans="1:13" s="204" customFormat="1" ht="18.75" customHeight="1" x14ac:dyDescent="0.25">
      <c r="A683" s="31" t="s">
        <v>274</v>
      </c>
      <c r="B683" s="460">
        <v>906</v>
      </c>
      <c r="C683" s="462" t="s">
        <v>264</v>
      </c>
      <c r="D683" s="462" t="s">
        <v>118</v>
      </c>
      <c r="E683" s="462" t="s">
        <v>1653</v>
      </c>
      <c r="F683" s="462" t="s">
        <v>275</v>
      </c>
      <c r="G683" s="467">
        <f>228.8+9.815-228.8</f>
        <v>9.8149999999999977</v>
      </c>
      <c r="H683" s="519"/>
      <c r="I683" s="162"/>
      <c r="J683" s="499"/>
      <c r="K683" s="471"/>
    </row>
    <row r="684" spans="1:13" s="204" customFormat="1" ht="33" customHeight="1" x14ac:dyDescent="0.25">
      <c r="A684" s="298" t="s">
        <v>1655</v>
      </c>
      <c r="B684" s="461">
        <v>906</v>
      </c>
      <c r="C684" s="465" t="s">
        <v>264</v>
      </c>
      <c r="D684" s="465" t="s">
        <v>118</v>
      </c>
      <c r="E684" s="465" t="s">
        <v>1658</v>
      </c>
      <c r="F684" s="465"/>
      <c r="G684" s="463">
        <f>G685</f>
        <v>2606.89</v>
      </c>
      <c r="H684" s="521"/>
      <c r="I684" s="471"/>
      <c r="J684" s="499"/>
      <c r="K684" s="471"/>
    </row>
    <row r="685" spans="1:13" s="204" customFormat="1" ht="33" customHeight="1" x14ac:dyDescent="0.25">
      <c r="A685" s="297" t="s">
        <v>1656</v>
      </c>
      <c r="B685" s="460">
        <v>906</v>
      </c>
      <c r="C685" s="462" t="s">
        <v>264</v>
      </c>
      <c r="D685" s="462" t="s">
        <v>118</v>
      </c>
      <c r="E685" s="462" t="s">
        <v>1657</v>
      </c>
      <c r="F685" s="462"/>
      <c r="G685" s="467">
        <f>G686</f>
        <v>2606.89</v>
      </c>
      <c r="H685" s="521"/>
      <c r="I685" s="478"/>
      <c r="J685" s="499"/>
      <c r="K685" s="471"/>
    </row>
    <row r="686" spans="1:13" s="204" customFormat="1" ht="31.5" x14ac:dyDescent="0.25">
      <c r="A686" s="31" t="s">
        <v>272</v>
      </c>
      <c r="B686" s="460">
        <v>906</v>
      </c>
      <c r="C686" s="462" t="s">
        <v>264</v>
      </c>
      <c r="D686" s="462" t="s">
        <v>118</v>
      </c>
      <c r="E686" s="462" t="s">
        <v>1657</v>
      </c>
      <c r="F686" s="462" t="s">
        <v>273</v>
      </c>
      <c r="G686" s="467">
        <f>G687</f>
        <v>2606.89</v>
      </c>
      <c r="H686" s="521"/>
      <c r="I686" s="478"/>
      <c r="J686" s="499"/>
      <c r="K686" s="471"/>
    </row>
    <row r="687" spans="1:13" s="204" customFormat="1" ht="18.75" customHeight="1" x14ac:dyDescent="0.25">
      <c r="A687" s="31" t="s">
        <v>274</v>
      </c>
      <c r="B687" s="460">
        <v>906</v>
      </c>
      <c r="C687" s="462" t="s">
        <v>264</v>
      </c>
      <c r="D687" s="462" t="s">
        <v>118</v>
      </c>
      <c r="E687" s="462" t="s">
        <v>1657</v>
      </c>
      <c r="F687" s="462" t="s">
        <v>275</v>
      </c>
      <c r="G687" s="467">
        <f>2500+106.89</f>
        <v>2606.89</v>
      </c>
      <c r="H687" s="521"/>
      <c r="I687" s="478"/>
      <c r="J687" s="499"/>
      <c r="K687" s="471"/>
      <c r="M687" s="480"/>
    </row>
    <row r="688" spans="1:13" ht="46.9" customHeight="1" x14ac:dyDescent="0.25">
      <c r="A688" s="34" t="s">
        <v>1368</v>
      </c>
      <c r="B688" s="461">
        <v>906</v>
      </c>
      <c r="C688" s="465" t="s">
        <v>264</v>
      </c>
      <c r="D688" s="465" t="s">
        <v>118</v>
      </c>
      <c r="E688" s="465" t="s">
        <v>324</v>
      </c>
      <c r="F688" s="465"/>
      <c r="G688" s="463">
        <f>G689</f>
        <v>95</v>
      </c>
      <c r="H688" s="518"/>
      <c r="I688" s="479"/>
      <c r="J688" s="499"/>
      <c r="K688" s="471"/>
      <c r="L688" s="204"/>
    </row>
    <row r="689" spans="1:12" s="204" customFormat="1" ht="49.7" customHeight="1" x14ac:dyDescent="0.25">
      <c r="A689" s="34" t="s">
        <v>1009</v>
      </c>
      <c r="B689" s="461">
        <v>906</v>
      </c>
      <c r="C689" s="465" t="s">
        <v>264</v>
      </c>
      <c r="D689" s="465" t="s">
        <v>118</v>
      </c>
      <c r="E689" s="465" t="s">
        <v>934</v>
      </c>
      <c r="F689" s="465"/>
      <c r="G689" s="463">
        <f>G690</f>
        <v>95</v>
      </c>
      <c r="H689" s="518"/>
      <c r="I689" s="471"/>
      <c r="J689" s="499"/>
      <c r="K689" s="471"/>
    </row>
    <row r="690" spans="1:12" ht="48.95" customHeight="1" x14ac:dyDescent="0.25">
      <c r="A690" s="31" t="s">
        <v>1084</v>
      </c>
      <c r="B690" s="460">
        <v>906</v>
      </c>
      <c r="C690" s="462" t="s">
        <v>264</v>
      </c>
      <c r="D690" s="462" t="s">
        <v>118</v>
      </c>
      <c r="E690" s="462" t="s">
        <v>935</v>
      </c>
      <c r="F690" s="462"/>
      <c r="G690" s="467">
        <f>G691</f>
        <v>95</v>
      </c>
      <c r="H690" s="518"/>
      <c r="I690" s="471"/>
      <c r="J690" s="499"/>
      <c r="K690" s="471"/>
      <c r="L690" s="204"/>
    </row>
    <row r="691" spans="1:12" ht="42" customHeight="1" x14ac:dyDescent="0.25">
      <c r="A691" s="31" t="s">
        <v>272</v>
      </c>
      <c r="B691" s="460">
        <v>906</v>
      </c>
      <c r="C691" s="462" t="s">
        <v>264</v>
      </c>
      <c r="D691" s="462" t="s">
        <v>118</v>
      </c>
      <c r="E691" s="462" t="s">
        <v>935</v>
      </c>
      <c r="F691" s="462" t="s">
        <v>273</v>
      </c>
      <c r="G691" s="467">
        <f>G692</f>
        <v>95</v>
      </c>
      <c r="H691" s="518"/>
      <c r="I691" s="471"/>
      <c r="J691" s="499"/>
      <c r="K691" s="471"/>
      <c r="L691" s="204"/>
    </row>
    <row r="692" spans="1:12" ht="16.5" customHeight="1" x14ac:dyDescent="0.25">
      <c r="A692" s="31" t="s">
        <v>274</v>
      </c>
      <c r="B692" s="460">
        <v>906</v>
      </c>
      <c r="C692" s="462" t="s">
        <v>264</v>
      </c>
      <c r="D692" s="462" t="s">
        <v>118</v>
      </c>
      <c r="E692" s="462" t="s">
        <v>935</v>
      </c>
      <c r="F692" s="462" t="s">
        <v>275</v>
      </c>
      <c r="G692" s="467">
        <f>95-70+70</f>
        <v>95</v>
      </c>
      <c r="H692" s="518"/>
      <c r="I692" s="471"/>
      <c r="J692" s="499"/>
      <c r="K692" s="471"/>
      <c r="L692" s="204"/>
    </row>
    <row r="693" spans="1:12" ht="46.5" customHeight="1" x14ac:dyDescent="0.25">
      <c r="A693" s="470" t="s">
        <v>1352</v>
      </c>
      <c r="B693" s="461">
        <v>906</v>
      </c>
      <c r="C693" s="465" t="s">
        <v>264</v>
      </c>
      <c r="D693" s="465" t="s">
        <v>118</v>
      </c>
      <c r="E693" s="465" t="s">
        <v>705</v>
      </c>
      <c r="F693" s="474"/>
      <c r="G693" s="463">
        <f>G695</f>
        <v>600.20000000000005</v>
      </c>
      <c r="H693" s="518"/>
      <c r="I693" s="471"/>
      <c r="J693" s="499"/>
      <c r="K693" s="471"/>
      <c r="L693" s="204"/>
    </row>
    <row r="694" spans="1:12" s="204" customFormat="1" ht="46.5" customHeight="1" x14ac:dyDescent="0.25">
      <c r="A694" s="470" t="s">
        <v>890</v>
      </c>
      <c r="B694" s="461">
        <v>906</v>
      </c>
      <c r="C694" s="465" t="s">
        <v>264</v>
      </c>
      <c r="D694" s="465" t="s">
        <v>118</v>
      </c>
      <c r="E694" s="465" t="s">
        <v>888</v>
      </c>
      <c r="F694" s="474"/>
      <c r="G694" s="463">
        <f>G695</f>
        <v>600.20000000000005</v>
      </c>
      <c r="H694" s="518"/>
      <c r="I694" s="471"/>
      <c r="J694" s="499"/>
      <c r="K694" s="471"/>
    </row>
    <row r="695" spans="1:12" ht="36" customHeight="1" x14ac:dyDescent="0.25">
      <c r="A695" s="98" t="s">
        <v>780</v>
      </c>
      <c r="B695" s="460">
        <v>906</v>
      </c>
      <c r="C695" s="462" t="s">
        <v>264</v>
      </c>
      <c r="D695" s="462" t="s">
        <v>118</v>
      </c>
      <c r="E695" s="462" t="s">
        <v>936</v>
      </c>
      <c r="F695" s="468"/>
      <c r="G695" s="467">
        <f>G696</f>
        <v>600.20000000000005</v>
      </c>
      <c r="H695" s="518"/>
      <c r="I695" s="471"/>
      <c r="J695" s="499"/>
      <c r="K695" s="471"/>
      <c r="L695" s="204"/>
    </row>
    <row r="696" spans="1:12" ht="35.450000000000003" customHeight="1" x14ac:dyDescent="0.25">
      <c r="A696" s="29" t="s">
        <v>272</v>
      </c>
      <c r="B696" s="460">
        <v>906</v>
      </c>
      <c r="C696" s="462" t="s">
        <v>264</v>
      </c>
      <c r="D696" s="462" t="s">
        <v>118</v>
      </c>
      <c r="E696" s="462" t="s">
        <v>936</v>
      </c>
      <c r="F696" s="468" t="s">
        <v>273</v>
      </c>
      <c r="G696" s="467">
        <f>G697</f>
        <v>600.20000000000005</v>
      </c>
      <c r="H696" s="518"/>
      <c r="I696" s="471"/>
      <c r="J696" s="499"/>
      <c r="K696" s="471"/>
      <c r="L696" s="204"/>
    </row>
    <row r="697" spans="1:12" ht="15.75" customHeight="1" x14ac:dyDescent="0.25">
      <c r="A697" s="182" t="s">
        <v>274</v>
      </c>
      <c r="B697" s="460">
        <v>906</v>
      </c>
      <c r="C697" s="462" t="s">
        <v>264</v>
      </c>
      <c r="D697" s="462" t="s">
        <v>118</v>
      </c>
      <c r="E697" s="462" t="s">
        <v>936</v>
      </c>
      <c r="F697" s="468" t="s">
        <v>275</v>
      </c>
      <c r="G697" s="467">
        <f>549+27.2+24</f>
        <v>600.20000000000005</v>
      </c>
      <c r="H697" s="518"/>
      <c r="I697" s="471"/>
      <c r="J697" s="499"/>
      <c r="K697" s="471"/>
      <c r="L697" s="204"/>
    </row>
    <row r="698" spans="1:12" ht="15.75" x14ac:dyDescent="0.25">
      <c r="A698" s="464" t="s">
        <v>425</v>
      </c>
      <c r="B698" s="461">
        <v>906</v>
      </c>
      <c r="C698" s="465" t="s">
        <v>264</v>
      </c>
      <c r="D698" s="465" t="s">
        <v>213</v>
      </c>
      <c r="E698" s="465"/>
      <c r="F698" s="465"/>
      <c r="G698" s="463">
        <f>G699+G779+G784</f>
        <v>194871.88</v>
      </c>
      <c r="H698" s="518"/>
      <c r="I698" s="471"/>
      <c r="J698" s="499"/>
      <c r="K698" s="471"/>
      <c r="L698" s="204"/>
    </row>
    <row r="699" spans="1:12" ht="36.75" customHeight="1" x14ac:dyDescent="0.25">
      <c r="A699" s="464" t="s">
        <v>1369</v>
      </c>
      <c r="B699" s="461">
        <v>906</v>
      </c>
      <c r="C699" s="465" t="s">
        <v>264</v>
      </c>
      <c r="D699" s="465" t="s">
        <v>213</v>
      </c>
      <c r="E699" s="465" t="s">
        <v>406</v>
      </c>
      <c r="F699" s="465"/>
      <c r="G699" s="463">
        <f>G700+G704+G723+G736+G743+G747+G751+G771+G755+G759+G775+G763+G767</f>
        <v>194034.88</v>
      </c>
      <c r="H699" s="518"/>
      <c r="I699" s="117"/>
      <c r="J699" s="499"/>
      <c r="K699" s="471"/>
      <c r="L699" s="204"/>
    </row>
    <row r="700" spans="1:12" s="204" customFormat="1" ht="37.5" customHeight="1" x14ac:dyDescent="0.25">
      <c r="A700" s="464" t="s">
        <v>937</v>
      </c>
      <c r="B700" s="461">
        <v>906</v>
      </c>
      <c r="C700" s="465" t="s">
        <v>264</v>
      </c>
      <c r="D700" s="465" t="s">
        <v>213</v>
      </c>
      <c r="E700" s="465" t="s">
        <v>1235</v>
      </c>
      <c r="F700" s="465"/>
      <c r="G700" s="463">
        <f>G701</f>
        <v>31403.812999999998</v>
      </c>
      <c r="H700" s="518"/>
      <c r="I700" s="471"/>
      <c r="J700" s="499"/>
      <c r="K700" s="471"/>
    </row>
    <row r="701" spans="1:12" ht="31.5" x14ac:dyDescent="0.25">
      <c r="A701" s="466" t="s">
        <v>1241</v>
      </c>
      <c r="B701" s="460">
        <v>906</v>
      </c>
      <c r="C701" s="462" t="s">
        <v>264</v>
      </c>
      <c r="D701" s="462" t="s">
        <v>213</v>
      </c>
      <c r="E701" s="462" t="s">
        <v>1254</v>
      </c>
      <c r="F701" s="462"/>
      <c r="G701" s="467">
        <f>G702</f>
        <v>31403.812999999998</v>
      </c>
      <c r="H701" s="518"/>
      <c r="I701" s="471"/>
      <c r="J701" s="499"/>
      <c r="K701" s="471"/>
      <c r="L701" s="204"/>
    </row>
    <row r="702" spans="1:12" ht="32.25" customHeight="1" x14ac:dyDescent="0.25">
      <c r="A702" s="466" t="s">
        <v>272</v>
      </c>
      <c r="B702" s="460">
        <v>906</v>
      </c>
      <c r="C702" s="462" t="s">
        <v>264</v>
      </c>
      <c r="D702" s="462" t="s">
        <v>213</v>
      </c>
      <c r="E702" s="462" t="s">
        <v>1254</v>
      </c>
      <c r="F702" s="462" t="s">
        <v>273</v>
      </c>
      <c r="G702" s="467">
        <f>G703</f>
        <v>31403.812999999998</v>
      </c>
      <c r="H702" s="518"/>
      <c r="I702" s="471"/>
      <c r="J702" s="499"/>
      <c r="K702" s="471"/>
      <c r="L702" s="204"/>
    </row>
    <row r="703" spans="1:12" ht="15.75" x14ac:dyDescent="0.25">
      <c r="A703" s="466" t="s">
        <v>274</v>
      </c>
      <c r="B703" s="460">
        <v>906</v>
      </c>
      <c r="C703" s="462" t="s">
        <v>264</v>
      </c>
      <c r="D703" s="462" t="s">
        <v>213</v>
      </c>
      <c r="E703" s="462" t="s">
        <v>1254</v>
      </c>
      <c r="F703" s="462" t="s">
        <v>275</v>
      </c>
      <c r="G703" s="27">
        <f>30805-2114.2+2925-44-296.98-261+389.993</f>
        <v>31403.812999999998</v>
      </c>
      <c r="H703" s="519"/>
      <c r="I703" s="471"/>
      <c r="J703" s="503"/>
      <c r="K703" s="471"/>
      <c r="L703" s="204"/>
    </row>
    <row r="704" spans="1:12" s="204" customFormat="1" ht="36.75" customHeight="1" x14ac:dyDescent="0.25">
      <c r="A704" s="464" t="s">
        <v>900</v>
      </c>
      <c r="B704" s="461">
        <v>906</v>
      </c>
      <c r="C704" s="465" t="s">
        <v>264</v>
      </c>
      <c r="D704" s="465" t="s">
        <v>213</v>
      </c>
      <c r="E704" s="465" t="s">
        <v>1237</v>
      </c>
      <c r="F704" s="465"/>
      <c r="G704" s="44">
        <f>G711+G714+G717+G720+G708+G705</f>
        <v>140785.44300000003</v>
      </c>
      <c r="H704" s="524"/>
      <c r="I704" s="471"/>
      <c r="J704" s="499"/>
      <c r="K704" s="471"/>
    </row>
    <row r="705" spans="1:13" s="204" customFormat="1" ht="50.25" customHeight="1" x14ac:dyDescent="0.25">
      <c r="A705" s="466" t="s">
        <v>1403</v>
      </c>
      <c r="B705" s="460">
        <v>906</v>
      </c>
      <c r="C705" s="462" t="s">
        <v>264</v>
      </c>
      <c r="D705" s="462" t="s">
        <v>213</v>
      </c>
      <c r="E705" s="462" t="s">
        <v>1404</v>
      </c>
      <c r="F705" s="462"/>
      <c r="G705" s="27">
        <f>G706</f>
        <v>7028</v>
      </c>
      <c r="H705" s="524"/>
      <c r="I705" s="471"/>
      <c r="J705" s="499"/>
      <c r="K705" s="471"/>
    </row>
    <row r="706" spans="1:13" s="204" customFormat="1" ht="36.75" customHeight="1" x14ac:dyDescent="0.25">
      <c r="A706" s="466" t="s">
        <v>272</v>
      </c>
      <c r="B706" s="460">
        <v>906</v>
      </c>
      <c r="C706" s="462" t="s">
        <v>264</v>
      </c>
      <c r="D706" s="462" t="s">
        <v>213</v>
      </c>
      <c r="E706" s="462" t="s">
        <v>1404</v>
      </c>
      <c r="F706" s="462" t="s">
        <v>273</v>
      </c>
      <c r="G706" s="27">
        <f>G707</f>
        <v>7028</v>
      </c>
      <c r="H706" s="524"/>
      <c r="I706" s="471"/>
      <c r="J706" s="499"/>
      <c r="K706" s="471"/>
    </row>
    <row r="707" spans="1:13" s="204" customFormat="1" ht="19.7" customHeight="1" x14ac:dyDescent="0.25">
      <c r="A707" s="466" t="s">
        <v>274</v>
      </c>
      <c r="B707" s="460">
        <v>906</v>
      </c>
      <c r="C707" s="462" t="s">
        <v>264</v>
      </c>
      <c r="D707" s="462" t="s">
        <v>213</v>
      </c>
      <c r="E707" s="462" t="s">
        <v>1404</v>
      </c>
      <c r="F707" s="462" t="s">
        <v>275</v>
      </c>
      <c r="G707" s="27">
        <f>7226.1-198.1</f>
        <v>7028</v>
      </c>
      <c r="H707" s="524"/>
      <c r="I707" s="471"/>
      <c r="J707" s="499"/>
      <c r="K707" s="471"/>
    </row>
    <row r="708" spans="1:13" s="204" customFormat="1" ht="88.35" customHeight="1" x14ac:dyDescent="0.25">
      <c r="A708" s="31" t="s">
        <v>293</v>
      </c>
      <c r="B708" s="460">
        <v>906</v>
      </c>
      <c r="C708" s="462" t="s">
        <v>264</v>
      </c>
      <c r="D708" s="462" t="s">
        <v>213</v>
      </c>
      <c r="E708" s="462" t="s">
        <v>1401</v>
      </c>
      <c r="F708" s="462"/>
      <c r="G708" s="467">
        <f>G709</f>
        <v>4699.7370000000001</v>
      </c>
      <c r="H708" s="524"/>
      <c r="I708" s="471"/>
      <c r="J708" s="499"/>
      <c r="K708" s="471"/>
    </row>
    <row r="709" spans="1:13" s="204" customFormat="1" ht="36.75" customHeight="1" x14ac:dyDescent="0.25">
      <c r="A709" s="466" t="s">
        <v>272</v>
      </c>
      <c r="B709" s="460">
        <v>906</v>
      </c>
      <c r="C709" s="462" t="s">
        <v>264</v>
      </c>
      <c r="D709" s="462" t="s">
        <v>213</v>
      </c>
      <c r="E709" s="462" t="s">
        <v>1401</v>
      </c>
      <c r="F709" s="462" t="s">
        <v>273</v>
      </c>
      <c r="G709" s="467">
        <f>G710</f>
        <v>4699.7370000000001</v>
      </c>
      <c r="H709" s="524"/>
      <c r="I709" s="471"/>
      <c r="J709" s="499"/>
      <c r="K709" s="471"/>
    </row>
    <row r="710" spans="1:13" s="204" customFormat="1" ht="14.25" customHeight="1" x14ac:dyDescent="0.25">
      <c r="A710" s="466" t="s">
        <v>274</v>
      </c>
      <c r="B710" s="460">
        <v>906</v>
      </c>
      <c r="C710" s="462" t="s">
        <v>264</v>
      </c>
      <c r="D710" s="462" t="s">
        <v>213</v>
      </c>
      <c r="E710" s="462" t="s">
        <v>1401</v>
      </c>
      <c r="F710" s="462" t="s">
        <v>275</v>
      </c>
      <c r="G710" s="27">
        <f>4610+89.737</f>
        <v>4699.7370000000001</v>
      </c>
      <c r="H710" s="524"/>
      <c r="I710" s="471"/>
      <c r="J710" s="499"/>
      <c r="K710" s="471"/>
    </row>
    <row r="711" spans="1:13" s="204" customFormat="1" ht="63" x14ac:dyDescent="0.25">
      <c r="A711" s="31" t="s">
        <v>460</v>
      </c>
      <c r="B711" s="460">
        <v>906</v>
      </c>
      <c r="C711" s="462" t="s">
        <v>264</v>
      </c>
      <c r="D711" s="462" t="s">
        <v>213</v>
      </c>
      <c r="E711" s="462" t="s">
        <v>1255</v>
      </c>
      <c r="F711" s="462"/>
      <c r="G711" s="467">
        <f>G712</f>
        <v>124618.84300000002</v>
      </c>
      <c r="H711" s="518"/>
      <c r="I711" s="471"/>
      <c r="J711" s="499"/>
      <c r="K711" s="471"/>
    </row>
    <row r="712" spans="1:13" s="204" customFormat="1" ht="31.5" x14ac:dyDescent="0.25">
      <c r="A712" s="466" t="s">
        <v>272</v>
      </c>
      <c r="B712" s="460">
        <v>906</v>
      </c>
      <c r="C712" s="462" t="s">
        <v>264</v>
      </c>
      <c r="D712" s="462" t="s">
        <v>213</v>
      </c>
      <c r="E712" s="462" t="s">
        <v>1255</v>
      </c>
      <c r="F712" s="462" t="s">
        <v>273</v>
      </c>
      <c r="G712" s="467">
        <f>G713</f>
        <v>124618.84300000002</v>
      </c>
      <c r="H712" s="518"/>
      <c r="I712" s="471"/>
      <c r="J712" s="499"/>
      <c r="K712" s="471"/>
    </row>
    <row r="713" spans="1:13" s="204" customFormat="1" ht="15.75" x14ac:dyDescent="0.25">
      <c r="A713" s="466" t="s">
        <v>274</v>
      </c>
      <c r="B713" s="460">
        <v>906</v>
      </c>
      <c r="C713" s="462" t="s">
        <v>264</v>
      </c>
      <c r="D713" s="462" t="s">
        <v>213</v>
      </c>
      <c r="E713" s="462" t="s">
        <v>1255</v>
      </c>
      <c r="F713" s="462" t="s">
        <v>275</v>
      </c>
      <c r="G713" s="27">
        <f>131567.2-5318.53+5259.62-1591.082-3078.453-2219.912</f>
        <v>124618.84300000002</v>
      </c>
      <c r="H713" s="518"/>
      <c r="I713" s="471"/>
      <c r="J713" s="499"/>
      <c r="K713" s="471"/>
    </row>
    <row r="714" spans="1:13" s="204" customFormat="1" ht="63" x14ac:dyDescent="0.25">
      <c r="A714" s="31" t="s">
        <v>289</v>
      </c>
      <c r="B714" s="460">
        <v>906</v>
      </c>
      <c r="C714" s="462" t="s">
        <v>264</v>
      </c>
      <c r="D714" s="462" t="s">
        <v>213</v>
      </c>
      <c r="E714" s="462" t="s">
        <v>1238</v>
      </c>
      <c r="F714" s="462"/>
      <c r="G714" s="467">
        <f>G715</f>
        <v>1152.2629999999999</v>
      </c>
      <c r="H714" s="518"/>
      <c r="I714" s="471"/>
      <c r="J714" s="499"/>
      <c r="K714" s="471"/>
    </row>
    <row r="715" spans="1:13" s="204" customFormat="1" ht="31.5" x14ac:dyDescent="0.25">
      <c r="A715" s="466" t="s">
        <v>272</v>
      </c>
      <c r="B715" s="460">
        <v>906</v>
      </c>
      <c r="C715" s="462" t="s">
        <v>264</v>
      </c>
      <c r="D715" s="462" t="s">
        <v>213</v>
      </c>
      <c r="E715" s="462" t="s">
        <v>1238</v>
      </c>
      <c r="F715" s="462" t="s">
        <v>273</v>
      </c>
      <c r="G715" s="467">
        <f>G716</f>
        <v>1152.2629999999999</v>
      </c>
      <c r="H715" s="518"/>
      <c r="I715" s="471"/>
      <c r="J715" s="499"/>
      <c r="K715" s="471"/>
    </row>
    <row r="716" spans="1:13" s="204" customFormat="1" ht="15.75" x14ac:dyDescent="0.25">
      <c r="A716" s="466" t="s">
        <v>274</v>
      </c>
      <c r="B716" s="460">
        <v>906</v>
      </c>
      <c r="C716" s="462" t="s">
        <v>264</v>
      </c>
      <c r="D716" s="462" t="s">
        <v>213</v>
      </c>
      <c r="E716" s="462" t="s">
        <v>1238</v>
      </c>
      <c r="F716" s="462" t="s">
        <v>275</v>
      </c>
      <c r="G716" s="27">
        <f>1311-158.737</f>
        <v>1152.2629999999999</v>
      </c>
      <c r="H716" s="518"/>
      <c r="I716" s="471"/>
      <c r="J716" s="499"/>
      <c r="K716" s="471"/>
    </row>
    <row r="717" spans="1:13" s="204" customFormat="1" ht="63" x14ac:dyDescent="0.25">
      <c r="A717" s="31" t="s">
        <v>291</v>
      </c>
      <c r="B717" s="460">
        <v>906</v>
      </c>
      <c r="C717" s="462" t="s">
        <v>264</v>
      </c>
      <c r="D717" s="462" t="s">
        <v>213</v>
      </c>
      <c r="E717" s="462" t="s">
        <v>1239</v>
      </c>
      <c r="F717" s="462"/>
      <c r="G717" s="467">
        <f>G718</f>
        <v>2386.6</v>
      </c>
      <c r="H717" s="518"/>
      <c r="I717" s="471"/>
      <c r="J717" s="499"/>
      <c r="K717" s="117"/>
      <c r="L717" s="229"/>
      <c r="M717" s="229"/>
    </row>
    <row r="718" spans="1:13" s="204" customFormat="1" ht="31.5" x14ac:dyDescent="0.25">
      <c r="A718" s="466" t="s">
        <v>272</v>
      </c>
      <c r="B718" s="460">
        <v>906</v>
      </c>
      <c r="C718" s="462" t="s">
        <v>264</v>
      </c>
      <c r="D718" s="462" t="s">
        <v>213</v>
      </c>
      <c r="E718" s="462" t="s">
        <v>1239</v>
      </c>
      <c r="F718" s="462" t="s">
        <v>273</v>
      </c>
      <c r="G718" s="467">
        <f>G719</f>
        <v>2386.6</v>
      </c>
      <c r="H718" s="518"/>
      <c r="I718" s="471"/>
      <c r="J718" s="499"/>
      <c r="K718" s="471"/>
    </row>
    <row r="719" spans="1:13" s="204" customFormat="1" ht="15.75" x14ac:dyDescent="0.25">
      <c r="A719" s="466" t="s">
        <v>274</v>
      </c>
      <c r="B719" s="460">
        <v>906</v>
      </c>
      <c r="C719" s="462" t="s">
        <v>264</v>
      </c>
      <c r="D719" s="462" t="s">
        <v>213</v>
      </c>
      <c r="E719" s="462" t="s">
        <v>1239</v>
      </c>
      <c r="F719" s="462" t="s">
        <v>275</v>
      </c>
      <c r="G719" s="27">
        <f>2266.72-0.02+33.6+17.3+69</f>
        <v>2386.6</v>
      </c>
      <c r="H719" s="518"/>
      <c r="I719" s="471"/>
      <c r="J719" s="499"/>
      <c r="K719" s="471"/>
    </row>
    <row r="720" spans="1:13" s="204" customFormat="1" ht="47.25" x14ac:dyDescent="0.25">
      <c r="A720" s="31" t="s">
        <v>462</v>
      </c>
      <c r="B720" s="460">
        <v>906</v>
      </c>
      <c r="C720" s="462" t="s">
        <v>264</v>
      </c>
      <c r="D720" s="462" t="s">
        <v>213</v>
      </c>
      <c r="E720" s="462" t="s">
        <v>1256</v>
      </c>
      <c r="F720" s="462"/>
      <c r="G720" s="467">
        <f>G721</f>
        <v>900</v>
      </c>
      <c r="H720" s="518"/>
      <c r="I720" s="471"/>
      <c r="J720" s="499"/>
      <c r="K720" s="471"/>
    </row>
    <row r="721" spans="1:11" s="204" customFormat="1" ht="31.5" x14ac:dyDescent="0.25">
      <c r="A721" s="466" t="s">
        <v>272</v>
      </c>
      <c r="B721" s="460">
        <v>906</v>
      </c>
      <c r="C721" s="462" t="s">
        <v>264</v>
      </c>
      <c r="D721" s="462" t="s">
        <v>213</v>
      </c>
      <c r="E721" s="462" t="s">
        <v>1256</v>
      </c>
      <c r="F721" s="462" t="s">
        <v>273</v>
      </c>
      <c r="G721" s="467">
        <f>G722</f>
        <v>900</v>
      </c>
      <c r="H721" s="518"/>
      <c r="I721" s="471"/>
      <c r="J721" s="499"/>
      <c r="K721" s="471"/>
    </row>
    <row r="722" spans="1:11" s="204" customFormat="1" ht="15.75" x14ac:dyDescent="0.25">
      <c r="A722" s="466" t="s">
        <v>274</v>
      </c>
      <c r="B722" s="460">
        <v>906</v>
      </c>
      <c r="C722" s="462" t="s">
        <v>264</v>
      </c>
      <c r="D722" s="462" t="s">
        <v>213</v>
      </c>
      <c r="E722" s="462" t="s">
        <v>1256</v>
      </c>
      <c r="F722" s="462" t="s">
        <v>275</v>
      </c>
      <c r="G722" s="27">
        <v>900</v>
      </c>
      <c r="H722" s="518"/>
      <c r="I722" s="471"/>
      <c r="J722" s="499"/>
      <c r="K722" s="471"/>
    </row>
    <row r="723" spans="1:11" s="204" customFormat="1" ht="35.450000000000003" customHeight="1" x14ac:dyDescent="0.25">
      <c r="A723" s="464" t="s">
        <v>1257</v>
      </c>
      <c r="B723" s="251">
        <v>906</v>
      </c>
      <c r="C723" s="465" t="s">
        <v>264</v>
      </c>
      <c r="D723" s="465" t="s">
        <v>213</v>
      </c>
      <c r="E723" s="465" t="s">
        <v>1242</v>
      </c>
      <c r="F723" s="465"/>
      <c r="G723" s="463">
        <f>G724+G727+G730+G733</f>
        <v>927.2</v>
      </c>
      <c r="H723" s="518"/>
      <c r="I723" s="471"/>
      <c r="J723" s="499"/>
      <c r="K723" s="471"/>
    </row>
    <row r="724" spans="1:11" s="204" customFormat="1" ht="35.450000000000003" hidden="1" customHeight="1" x14ac:dyDescent="0.25">
      <c r="A724" s="466" t="s">
        <v>440</v>
      </c>
      <c r="B724" s="37">
        <v>906</v>
      </c>
      <c r="C724" s="462" t="s">
        <v>264</v>
      </c>
      <c r="D724" s="462" t="s">
        <v>213</v>
      </c>
      <c r="E724" s="462" t="s">
        <v>1324</v>
      </c>
      <c r="F724" s="462"/>
      <c r="G724" s="467">
        <f>G725</f>
        <v>0</v>
      </c>
      <c r="H724" s="518"/>
      <c r="I724" s="471"/>
      <c r="J724" s="499"/>
      <c r="K724" s="471"/>
    </row>
    <row r="725" spans="1:11" s="204" customFormat="1" ht="39.75" hidden="1" customHeight="1" x14ac:dyDescent="0.25">
      <c r="A725" s="466" t="s">
        <v>272</v>
      </c>
      <c r="B725" s="37">
        <v>906</v>
      </c>
      <c r="C725" s="462" t="s">
        <v>264</v>
      </c>
      <c r="D725" s="462" t="s">
        <v>213</v>
      </c>
      <c r="E725" s="462" t="s">
        <v>1324</v>
      </c>
      <c r="F725" s="462" t="s">
        <v>273</v>
      </c>
      <c r="G725" s="467">
        <f>G726</f>
        <v>0</v>
      </c>
      <c r="H725" s="518"/>
      <c r="I725" s="471"/>
      <c r="J725" s="499"/>
      <c r="K725" s="471"/>
    </row>
    <row r="726" spans="1:11" s="204" customFormat="1" ht="18.75" hidden="1" customHeight="1" x14ac:dyDescent="0.25">
      <c r="A726" s="466" t="s">
        <v>274</v>
      </c>
      <c r="B726" s="37">
        <v>906</v>
      </c>
      <c r="C726" s="462" t="s">
        <v>264</v>
      </c>
      <c r="D726" s="462" t="s">
        <v>213</v>
      </c>
      <c r="E726" s="462" t="s">
        <v>1324</v>
      </c>
      <c r="F726" s="462" t="s">
        <v>275</v>
      </c>
      <c r="G726" s="467">
        <v>0</v>
      </c>
      <c r="H726" s="518"/>
      <c r="I726" s="471"/>
      <c r="J726" s="499"/>
      <c r="K726" s="471"/>
    </row>
    <row r="727" spans="1:11" s="204" customFormat="1" ht="41.25" customHeight="1" x14ac:dyDescent="0.25">
      <c r="A727" s="466" t="s">
        <v>278</v>
      </c>
      <c r="B727" s="37">
        <v>906</v>
      </c>
      <c r="C727" s="462" t="s">
        <v>264</v>
      </c>
      <c r="D727" s="462" t="s">
        <v>213</v>
      </c>
      <c r="E727" s="462" t="s">
        <v>1325</v>
      </c>
      <c r="F727" s="462"/>
      <c r="G727" s="467">
        <f>G728</f>
        <v>300</v>
      </c>
      <c r="H727" s="518"/>
      <c r="I727" s="471"/>
      <c r="J727" s="499"/>
      <c r="K727" s="471"/>
    </row>
    <row r="728" spans="1:11" s="204" customFormat="1" ht="33" customHeight="1" x14ac:dyDescent="0.25">
      <c r="A728" s="466" t="s">
        <v>272</v>
      </c>
      <c r="B728" s="37">
        <v>906</v>
      </c>
      <c r="C728" s="462" t="s">
        <v>264</v>
      </c>
      <c r="D728" s="462" t="s">
        <v>213</v>
      </c>
      <c r="E728" s="462" t="s">
        <v>1325</v>
      </c>
      <c r="F728" s="462" t="s">
        <v>273</v>
      </c>
      <c r="G728" s="467">
        <f>G729</f>
        <v>300</v>
      </c>
      <c r="H728" s="518"/>
      <c r="I728" s="471"/>
      <c r="J728" s="499"/>
      <c r="K728" s="471"/>
    </row>
    <row r="729" spans="1:11" s="204" customFormat="1" ht="18.75" customHeight="1" x14ac:dyDescent="0.25">
      <c r="A729" s="466" t="s">
        <v>274</v>
      </c>
      <c r="B729" s="37">
        <v>906</v>
      </c>
      <c r="C729" s="462" t="s">
        <v>264</v>
      </c>
      <c r="D729" s="462" t="s">
        <v>213</v>
      </c>
      <c r="E729" s="462" t="s">
        <v>1325</v>
      </c>
      <c r="F729" s="462" t="s">
        <v>275</v>
      </c>
      <c r="G729" s="467">
        <f>300+55-50-5</f>
        <v>300</v>
      </c>
      <c r="H729" s="518"/>
      <c r="I729" s="471"/>
      <c r="J729" s="499"/>
      <c r="K729" s="471"/>
    </row>
    <row r="730" spans="1:11" s="204" customFormat="1" ht="31.7" customHeight="1" x14ac:dyDescent="0.25">
      <c r="A730" s="466" t="s">
        <v>280</v>
      </c>
      <c r="B730" s="37">
        <v>906</v>
      </c>
      <c r="C730" s="462" t="s">
        <v>264</v>
      </c>
      <c r="D730" s="462" t="s">
        <v>213</v>
      </c>
      <c r="E730" s="462" t="s">
        <v>1326</v>
      </c>
      <c r="F730" s="462"/>
      <c r="G730" s="467">
        <f>G731</f>
        <v>394.4</v>
      </c>
      <c r="H730" s="518"/>
      <c r="I730" s="471"/>
      <c r="J730" s="499"/>
      <c r="K730" s="471"/>
    </row>
    <row r="731" spans="1:11" s="204" customFormat="1" ht="29.25" customHeight="1" x14ac:dyDescent="0.25">
      <c r="A731" s="466" t="s">
        <v>272</v>
      </c>
      <c r="B731" s="37">
        <v>906</v>
      </c>
      <c r="C731" s="462" t="s">
        <v>264</v>
      </c>
      <c r="D731" s="462" t="s">
        <v>213</v>
      </c>
      <c r="E731" s="462" t="s">
        <v>1326</v>
      </c>
      <c r="F731" s="462" t="s">
        <v>273</v>
      </c>
      <c r="G731" s="467">
        <f>G732</f>
        <v>394.4</v>
      </c>
      <c r="H731" s="518"/>
      <c r="I731" s="471"/>
      <c r="J731" s="499"/>
      <c r="K731" s="471"/>
    </row>
    <row r="732" spans="1:11" s="204" customFormat="1" ht="18.75" customHeight="1" x14ac:dyDescent="0.25">
      <c r="A732" s="466" t="s">
        <v>274</v>
      </c>
      <c r="B732" s="37">
        <v>906</v>
      </c>
      <c r="C732" s="462" t="s">
        <v>264</v>
      </c>
      <c r="D732" s="462" t="s">
        <v>213</v>
      </c>
      <c r="E732" s="462" t="s">
        <v>1326</v>
      </c>
      <c r="F732" s="462" t="s">
        <v>275</v>
      </c>
      <c r="G732" s="467">
        <f>120+289.4-15</f>
        <v>394.4</v>
      </c>
      <c r="H732" s="527"/>
      <c r="I732" s="471"/>
      <c r="J732" s="499"/>
      <c r="K732" s="471"/>
    </row>
    <row r="733" spans="1:11" s="204" customFormat="1" ht="36" customHeight="1" x14ac:dyDescent="0.25">
      <c r="A733" s="466" t="s">
        <v>282</v>
      </c>
      <c r="B733" s="37">
        <v>906</v>
      </c>
      <c r="C733" s="462" t="s">
        <v>264</v>
      </c>
      <c r="D733" s="462" t="s">
        <v>213</v>
      </c>
      <c r="E733" s="462" t="s">
        <v>1258</v>
      </c>
      <c r="F733" s="462"/>
      <c r="G733" s="467">
        <f>G734</f>
        <v>232.8</v>
      </c>
      <c r="H733" s="518"/>
      <c r="I733" s="471"/>
      <c r="J733" s="499"/>
      <c r="K733" s="471"/>
    </row>
    <row r="734" spans="1:11" s="204" customFormat="1" ht="39.75" customHeight="1" x14ac:dyDescent="0.25">
      <c r="A734" s="466" t="s">
        <v>272</v>
      </c>
      <c r="B734" s="37">
        <v>906</v>
      </c>
      <c r="C734" s="462" t="s">
        <v>264</v>
      </c>
      <c r="D734" s="462" t="s">
        <v>213</v>
      </c>
      <c r="E734" s="462" t="s">
        <v>1258</v>
      </c>
      <c r="F734" s="462" t="s">
        <v>273</v>
      </c>
      <c r="G734" s="467">
        <f>G735</f>
        <v>232.8</v>
      </c>
      <c r="H734" s="518"/>
      <c r="I734" s="471"/>
      <c r="J734" s="499"/>
      <c r="K734" s="471"/>
    </row>
    <row r="735" spans="1:11" s="204" customFormat="1" ht="18.75" customHeight="1" x14ac:dyDescent="0.25">
      <c r="A735" s="466" t="s">
        <v>274</v>
      </c>
      <c r="B735" s="37">
        <v>906</v>
      </c>
      <c r="C735" s="462" t="s">
        <v>264</v>
      </c>
      <c r="D735" s="462" t="s">
        <v>213</v>
      </c>
      <c r="E735" s="462" t="s">
        <v>1258</v>
      </c>
      <c r="F735" s="462" t="s">
        <v>275</v>
      </c>
      <c r="G735" s="467">
        <f>127-72+72+97.2-0.2+8.8</f>
        <v>232.8</v>
      </c>
      <c r="H735" s="518"/>
      <c r="I735" s="471"/>
      <c r="J735" s="499"/>
      <c r="K735" s="471"/>
    </row>
    <row r="736" spans="1:11" s="204" customFormat="1" ht="34.5" customHeight="1" x14ac:dyDescent="0.25">
      <c r="A736" s="218" t="s">
        <v>948</v>
      </c>
      <c r="B736" s="461">
        <v>906</v>
      </c>
      <c r="C736" s="465" t="s">
        <v>264</v>
      </c>
      <c r="D736" s="465" t="s">
        <v>213</v>
      </c>
      <c r="E736" s="465" t="s">
        <v>1245</v>
      </c>
      <c r="F736" s="465"/>
      <c r="G736" s="44">
        <f>G737+G740</f>
        <v>3082.18</v>
      </c>
      <c r="H736" s="518"/>
      <c r="I736" s="471"/>
      <c r="J736" s="499"/>
      <c r="K736" s="471"/>
    </row>
    <row r="737" spans="1:12" s="204" customFormat="1" ht="36.75" customHeight="1" x14ac:dyDescent="0.25">
      <c r="A737" s="466" t="s">
        <v>791</v>
      </c>
      <c r="B737" s="460">
        <v>906</v>
      </c>
      <c r="C737" s="462" t="s">
        <v>264</v>
      </c>
      <c r="D737" s="462" t="s">
        <v>213</v>
      </c>
      <c r="E737" s="462" t="s">
        <v>1263</v>
      </c>
      <c r="F737" s="462"/>
      <c r="G737" s="467">
        <f>G738</f>
        <v>44</v>
      </c>
      <c r="H737" s="518"/>
      <c r="I737" s="471"/>
      <c r="J737" s="499"/>
      <c r="K737" s="471"/>
    </row>
    <row r="738" spans="1:12" s="204" customFormat="1" ht="44.45" customHeight="1" x14ac:dyDescent="0.25">
      <c r="A738" s="466" t="s">
        <v>272</v>
      </c>
      <c r="B738" s="460">
        <v>906</v>
      </c>
      <c r="C738" s="462" t="s">
        <v>264</v>
      </c>
      <c r="D738" s="462" t="s">
        <v>213</v>
      </c>
      <c r="E738" s="462" t="s">
        <v>1263</v>
      </c>
      <c r="F738" s="462" t="s">
        <v>273</v>
      </c>
      <c r="G738" s="467">
        <f>G739</f>
        <v>44</v>
      </c>
      <c r="H738" s="518"/>
      <c r="I738" s="471"/>
      <c r="J738" s="499"/>
      <c r="K738" s="471"/>
    </row>
    <row r="739" spans="1:12" s="204" customFormat="1" ht="18.75" customHeight="1" x14ac:dyDescent="0.25">
      <c r="A739" s="466" t="s">
        <v>274</v>
      </c>
      <c r="B739" s="460">
        <v>906</v>
      </c>
      <c r="C739" s="462" t="s">
        <v>264</v>
      </c>
      <c r="D739" s="462" t="s">
        <v>213</v>
      </c>
      <c r="E739" s="462" t="s">
        <v>1263</v>
      </c>
      <c r="F739" s="462" t="s">
        <v>275</v>
      </c>
      <c r="G739" s="467">
        <v>44</v>
      </c>
      <c r="H739" s="519"/>
      <c r="I739" s="471"/>
      <c r="J739" s="499"/>
      <c r="K739" s="471"/>
    </row>
    <row r="740" spans="1:12" s="204" customFormat="1" ht="38.25" customHeight="1" x14ac:dyDescent="0.25">
      <c r="A740" s="60" t="s">
        <v>764</v>
      </c>
      <c r="B740" s="460">
        <v>906</v>
      </c>
      <c r="C740" s="462" t="s">
        <v>264</v>
      </c>
      <c r="D740" s="462" t="s">
        <v>213</v>
      </c>
      <c r="E740" s="462" t="s">
        <v>1246</v>
      </c>
      <c r="F740" s="462"/>
      <c r="G740" s="467">
        <f>G741</f>
        <v>3038.18</v>
      </c>
      <c r="H740" s="518"/>
      <c r="I740" s="471"/>
      <c r="J740" s="499"/>
      <c r="K740" s="471"/>
    </row>
    <row r="741" spans="1:12" s="204" customFormat="1" ht="39.200000000000003" customHeight="1" x14ac:dyDescent="0.25">
      <c r="A741" s="29" t="s">
        <v>272</v>
      </c>
      <c r="B741" s="460">
        <v>906</v>
      </c>
      <c r="C741" s="462" t="s">
        <v>264</v>
      </c>
      <c r="D741" s="462" t="s">
        <v>213</v>
      </c>
      <c r="E741" s="462" t="s">
        <v>1246</v>
      </c>
      <c r="F741" s="462" t="s">
        <v>273</v>
      </c>
      <c r="G741" s="467">
        <f>G742</f>
        <v>3038.18</v>
      </c>
      <c r="H741" s="518"/>
      <c r="I741" s="471"/>
      <c r="J741" s="499"/>
      <c r="K741" s="471"/>
    </row>
    <row r="742" spans="1:12" s="204" customFormat="1" ht="18.75" customHeight="1" x14ac:dyDescent="0.25">
      <c r="A742" s="182" t="s">
        <v>274</v>
      </c>
      <c r="B742" s="460">
        <v>906</v>
      </c>
      <c r="C742" s="462" t="s">
        <v>264</v>
      </c>
      <c r="D742" s="462" t="s">
        <v>213</v>
      </c>
      <c r="E742" s="462" t="s">
        <v>1246</v>
      </c>
      <c r="F742" s="462" t="s">
        <v>275</v>
      </c>
      <c r="G742" s="467">
        <f>2888-188+50+288.18</f>
        <v>3038.18</v>
      </c>
      <c r="H742" s="518"/>
      <c r="I742" s="471"/>
      <c r="J742" s="499"/>
      <c r="K742" s="471"/>
    </row>
    <row r="743" spans="1:12" s="204" customFormat="1" ht="33" customHeight="1" x14ac:dyDescent="0.25">
      <c r="A743" s="464" t="s">
        <v>938</v>
      </c>
      <c r="B743" s="251">
        <v>906</v>
      </c>
      <c r="C743" s="465" t="s">
        <v>264</v>
      </c>
      <c r="D743" s="465" t="s">
        <v>213</v>
      </c>
      <c r="E743" s="465" t="s">
        <v>1259</v>
      </c>
      <c r="F743" s="465"/>
      <c r="G743" s="463">
        <f>G744</f>
        <v>3001.8</v>
      </c>
      <c r="H743" s="518"/>
      <c r="I743" s="471"/>
      <c r="J743" s="499"/>
      <c r="K743" s="471"/>
    </row>
    <row r="744" spans="1:12" ht="49.7" customHeight="1" x14ac:dyDescent="0.25">
      <c r="A744" s="29" t="s">
        <v>602</v>
      </c>
      <c r="B744" s="37">
        <v>906</v>
      </c>
      <c r="C744" s="462" t="s">
        <v>264</v>
      </c>
      <c r="D744" s="462" t="s">
        <v>213</v>
      </c>
      <c r="E744" s="462" t="s">
        <v>1260</v>
      </c>
      <c r="F744" s="462"/>
      <c r="G744" s="467">
        <f>G745</f>
        <v>3001.8</v>
      </c>
      <c r="H744" s="518"/>
      <c r="I744" s="471"/>
      <c r="J744" s="499"/>
      <c r="K744" s="471"/>
      <c r="L744" s="204"/>
    </row>
    <row r="745" spans="1:12" ht="31.5" x14ac:dyDescent="0.25">
      <c r="A745" s="466" t="s">
        <v>272</v>
      </c>
      <c r="B745" s="37">
        <v>906</v>
      </c>
      <c r="C745" s="462" t="s">
        <v>264</v>
      </c>
      <c r="D745" s="462" t="s">
        <v>213</v>
      </c>
      <c r="E745" s="462" t="s">
        <v>1260</v>
      </c>
      <c r="F745" s="462" t="s">
        <v>273</v>
      </c>
      <c r="G745" s="467">
        <f>G746</f>
        <v>3001.8</v>
      </c>
      <c r="H745" s="518"/>
      <c r="I745" s="471"/>
      <c r="J745" s="499"/>
      <c r="K745" s="471"/>
      <c r="L745" s="204"/>
    </row>
    <row r="746" spans="1:12" ht="15.75" x14ac:dyDescent="0.25">
      <c r="A746" s="466" t="s">
        <v>274</v>
      </c>
      <c r="B746" s="37">
        <v>906</v>
      </c>
      <c r="C746" s="462" t="s">
        <v>264</v>
      </c>
      <c r="D746" s="462" t="s">
        <v>213</v>
      </c>
      <c r="E746" s="462" t="s">
        <v>1260</v>
      </c>
      <c r="F746" s="462" t="s">
        <v>275</v>
      </c>
      <c r="G746" s="27">
        <f>2200-200+1731.8-730</f>
        <v>3001.8</v>
      </c>
      <c r="H746" s="518"/>
      <c r="I746" s="471"/>
      <c r="J746" s="499"/>
      <c r="K746" s="471"/>
      <c r="L746" s="204"/>
    </row>
    <row r="747" spans="1:12" s="204" customFormat="1" ht="34.5" customHeight="1" x14ac:dyDescent="0.25">
      <c r="A747" s="464" t="s">
        <v>939</v>
      </c>
      <c r="B747" s="251">
        <v>906</v>
      </c>
      <c r="C747" s="465" t="s">
        <v>264</v>
      </c>
      <c r="D747" s="465" t="s">
        <v>213</v>
      </c>
      <c r="E747" s="465" t="s">
        <v>1261</v>
      </c>
      <c r="F747" s="465"/>
      <c r="G747" s="44">
        <f>G748</f>
        <v>1384.6</v>
      </c>
      <c r="H747" s="518"/>
      <c r="I747" s="471"/>
      <c r="J747" s="499"/>
      <c r="K747" s="471"/>
    </row>
    <row r="748" spans="1:12" ht="47.25" x14ac:dyDescent="0.25">
      <c r="A748" s="466" t="s">
        <v>438</v>
      </c>
      <c r="B748" s="37">
        <v>906</v>
      </c>
      <c r="C748" s="462" t="s">
        <v>264</v>
      </c>
      <c r="D748" s="462" t="s">
        <v>213</v>
      </c>
      <c r="E748" s="462" t="s">
        <v>1262</v>
      </c>
      <c r="F748" s="462"/>
      <c r="G748" s="467">
        <f>G749</f>
        <v>1384.6</v>
      </c>
      <c r="H748" s="518"/>
      <c r="I748" s="471"/>
      <c r="J748" s="499"/>
      <c r="K748" s="471"/>
      <c r="L748" s="204"/>
    </row>
    <row r="749" spans="1:12" ht="31.5" x14ac:dyDescent="0.25">
      <c r="A749" s="466" t="s">
        <v>272</v>
      </c>
      <c r="B749" s="37">
        <v>906</v>
      </c>
      <c r="C749" s="462" t="s">
        <v>264</v>
      </c>
      <c r="D749" s="462" t="s">
        <v>213</v>
      </c>
      <c r="E749" s="462" t="s">
        <v>1262</v>
      </c>
      <c r="F749" s="462" t="s">
        <v>273</v>
      </c>
      <c r="G749" s="467">
        <f>G750</f>
        <v>1384.6</v>
      </c>
      <c r="H749" s="518"/>
      <c r="I749" s="471"/>
      <c r="J749" s="499"/>
      <c r="K749" s="471"/>
      <c r="L749" s="204"/>
    </row>
    <row r="750" spans="1:12" ht="15.75" x14ac:dyDescent="0.25">
      <c r="A750" s="466" t="s">
        <v>274</v>
      </c>
      <c r="B750" s="37">
        <v>906</v>
      </c>
      <c r="C750" s="462" t="s">
        <v>264</v>
      </c>
      <c r="D750" s="462" t="s">
        <v>213</v>
      </c>
      <c r="E750" s="462" t="s">
        <v>1262</v>
      </c>
      <c r="F750" s="462" t="s">
        <v>275</v>
      </c>
      <c r="G750" s="467">
        <f>868+516.6</f>
        <v>1384.6</v>
      </c>
      <c r="H750" s="518"/>
      <c r="I750" s="471"/>
      <c r="J750" s="499"/>
      <c r="K750" s="471"/>
      <c r="L750" s="204"/>
    </row>
    <row r="751" spans="1:12" s="204" customFormat="1" ht="31.5" x14ac:dyDescent="0.25">
      <c r="A751" s="216" t="s">
        <v>940</v>
      </c>
      <c r="B751" s="461">
        <v>906</v>
      </c>
      <c r="C751" s="465" t="s">
        <v>264</v>
      </c>
      <c r="D751" s="465" t="s">
        <v>213</v>
      </c>
      <c r="E751" s="465" t="s">
        <v>1264</v>
      </c>
      <c r="F751" s="465"/>
      <c r="G751" s="463">
        <f>G752</f>
        <v>752.9</v>
      </c>
      <c r="H751" s="518"/>
      <c r="I751" s="471"/>
      <c r="J751" s="499"/>
      <c r="K751" s="471"/>
    </row>
    <row r="752" spans="1:12" s="204" customFormat="1" ht="47.25" x14ac:dyDescent="0.25">
      <c r="A752" s="182" t="s">
        <v>828</v>
      </c>
      <c r="B752" s="460">
        <v>906</v>
      </c>
      <c r="C752" s="462" t="s">
        <v>264</v>
      </c>
      <c r="D752" s="462" t="s">
        <v>213</v>
      </c>
      <c r="E752" s="462" t="s">
        <v>1437</v>
      </c>
      <c r="F752" s="462"/>
      <c r="G752" s="467">
        <f>G753</f>
        <v>752.9</v>
      </c>
      <c r="H752" s="518"/>
      <c r="I752" s="471"/>
      <c r="J752" s="499"/>
      <c r="K752" s="471"/>
    </row>
    <row r="753" spans="1:11" s="204" customFormat="1" ht="31.5" x14ac:dyDescent="0.25">
      <c r="A753" s="31" t="s">
        <v>272</v>
      </c>
      <c r="B753" s="460">
        <v>906</v>
      </c>
      <c r="C753" s="462" t="s">
        <v>264</v>
      </c>
      <c r="D753" s="462" t="s">
        <v>213</v>
      </c>
      <c r="E753" s="462" t="s">
        <v>1437</v>
      </c>
      <c r="F753" s="462" t="s">
        <v>273</v>
      </c>
      <c r="G753" s="467">
        <f>G754</f>
        <v>752.9</v>
      </c>
      <c r="H753" s="518"/>
      <c r="I753" s="471"/>
      <c r="J753" s="499"/>
      <c r="K753" s="471"/>
    </row>
    <row r="754" spans="1:11" s="204" customFormat="1" ht="15.75" x14ac:dyDescent="0.25">
      <c r="A754" s="31" t="s">
        <v>274</v>
      </c>
      <c r="B754" s="460">
        <v>906</v>
      </c>
      <c r="C754" s="462" t="s">
        <v>264</v>
      </c>
      <c r="D754" s="462" t="s">
        <v>213</v>
      </c>
      <c r="E754" s="462" t="s">
        <v>1437</v>
      </c>
      <c r="F754" s="462" t="s">
        <v>275</v>
      </c>
      <c r="G754" s="467">
        <f>678+74.9</f>
        <v>752.9</v>
      </c>
      <c r="H754" s="518"/>
      <c r="I754" s="471"/>
      <c r="J754" s="499"/>
      <c r="K754" s="471"/>
    </row>
    <row r="755" spans="1:11" s="204" customFormat="1" ht="31.5" x14ac:dyDescent="0.25">
      <c r="A755" s="298" t="s">
        <v>1416</v>
      </c>
      <c r="B755" s="461">
        <v>906</v>
      </c>
      <c r="C755" s="465" t="s">
        <v>264</v>
      </c>
      <c r="D755" s="465" t="s">
        <v>213</v>
      </c>
      <c r="E755" s="465" t="s">
        <v>1415</v>
      </c>
      <c r="F755" s="465"/>
      <c r="G755" s="463">
        <f>G756</f>
        <v>5296.5999999999995</v>
      </c>
      <c r="H755" s="518"/>
      <c r="I755" s="471"/>
      <c r="J755" s="499"/>
      <c r="K755" s="471"/>
    </row>
    <row r="756" spans="1:11" s="204" customFormat="1" ht="51" customHeight="1" x14ac:dyDescent="0.25">
      <c r="A756" s="297" t="s">
        <v>1402</v>
      </c>
      <c r="B756" s="460">
        <v>906</v>
      </c>
      <c r="C756" s="462" t="s">
        <v>264</v>
      </c>
      <c r="D756" s="462" t="s">
        <v>213</v>
      </c>
      <c r="E756" s="462" t="s">
        <v>1462</v>
      </c>
      <c r="F756" s="462"/>
      <c r="G756" s="467">
        <f>G757</f>
        <v>5296.5999999999995</v>
      </c>
      <c r="H756" s="518"/>
      <c r="I756" s="471"/>
      <c r="J756" s="499"/>
      <c r="K756" s="471"/>
    </row>
    <row r="757" spans="1:11" s="204" customFormat="1" ht="31.5" x14ac:dyDescent="0.25">
      <c r="A757" s="31" t="s">
        <v>272</v>
      </c>
      <c r="B757" s="460">
        <v>906</v>
      </c>
      <c r="C757" s="462" t="s">
        <v>264</v>
      </c>
      <c r="D757" s="462" t="s">
        <v>213</v>
      </c>
      <c r="E757" s="462" t="s">
        <v>1462</v>
      </c>
      <c r="F757" s="462" t="s">
        <v>273</v>
      </c>
      <c r="G757" s="467">
        <f>G758</f>
        <v>5296.5999999999995</v>
      </c>
      <c r="H757" s="518"/>
      <c r="I757" s="471"/>
      <c r="J757" s="499"/>
      <c r="K757" s="471"/>
    </row>
    <row r="758" spans="1:11" s="204" customFormat="1" ht="15.75" x14ac:dyDescent="0.25">
      <c r="A758" s="31" t="s">
        <v>274</v>
      </c>
      <c r="B758" s="460">
        <v>906</v>
      </c>
      <c r="C758" s="462" t="s">
        <v>264</v>
      </c>
      <c r="D758" s="462" t="s">
        <v>213</v>
      </c>
      <c r="E758" s="462" t="s">
        <v>1462</v>
      </c>
      <c r="F758" s="462" t="s">
        <v>275</v>
      </c>
      <c r="G758" s="467">
        <f>5079.4+217.2</f>
        <v>5296.5999999999995</v>
      </c>
      <c r="H758" s="518"/>
      <c r="I758" s="471"/>
      <c r="J758" s="499"/>
      <c r="K758" s="471"/>
    </row>
    <row r="759" spans="1:11" s="204" customFormat="1" ht="31.5" hidden="1" x14ac:dyDescent="0.25">
      <c r="A759" s="298" t="s">
        <v>1441</v>
      </c>
      <c r="B759" s="461">
        <v>906</v>
      </c>
      <c r="C759" s="465" t="s">
        <v>264</v>
      </c>
      <c r="D759" s="465" t="s">
        <v>213</v>
      </c>
      <c r="E759" s="465" t="s">
        <v>1426</v>
      </c>
      <c r="F759" s="465"/>
      <c r="G759" s="463">
        <f>G760</f>
        <v>0</v>
      </c>
      <c r="H759" s="518"/>
      <c r="I759" s="471"/>
      <c r="J759" s="499"/>
      <c r="K759" s="471"/>
    </row>
    <row r="760" spans="1:11" s="204" customFormat="1" ht="15.75" hidden="1" x14ac:dyDescent="0.25">
      <c r="A760" s="297" t="s">
        <v>1427</v>
      </c>
      <c r="B760" s="460">
        <v>906</v>
      </c>
      <c r="C760" s="462" t="s">
        <v>264</v>
      </c>
      <c r="D760" s="462" t="s">
        <v>213</v>
      </c>
      <c r="E760" s="462" t="s">
        <v>1429</v>
      </c>
      <c r="F760" s="462"/>
      <c r="G760" s="467">
        <f>G761</f>
        <v>0</v>
      </c>
      <c r="H760" s="518"/>
      <c r="I760" s="471"/>
      <c r="J760" s="499"/>
      <c r="K760" s="471"/>
    </row>
    <row r="761" spans="1:11" s="204" customFormat="1" ht="31.5" hidden="1" x14ac:dyDescent="0.25">
      <c r="A761" s="31" t="s">
        <v>272</v>
      </c>
      <c r="B761" s="460">
        <v>906</v>
      </c>
      <c r="C761" s="462" t="s">
        <v>264</v>
      </c>
      <c r="D761" s="462" t="s">
        <v>213</v>
      </c>
      <c r="E761" s="462" t="s">
        <v>1429</v>
      </c>
      <c r="F761" s="462" t="s">
        <v>273</v>
      </c>
      <c r="G761" s="467">
        <f>G762</f>
        <v>0</v>
      </c>
      <c r="H761" s="518"/>
      <c r="I761" s="471"/>
      <c r="J761" s="499"/>
      <c r="K761" s="471"/>
    </row>
    <row r="762" spans="1:11" s="204" customFormat="1" ht="15.75" hidden="1" x14ac:dyDescent="0.25">
      <c r="A762" s="31" t="s">
        <v>274</v>
      </c>
      <c r="B762" s="460">
        <v>906</v>
      </c>
      <c r="C762" s="462" t="s">
        <v>264</v>
      </c>
      <c r="D762" s="462" t="s">
        <v>213</v>
      </c>
      <c r="E762" s="462" t="s">
        <v>1429</v>
      </c>
      <c r="F762" s="462" t="s">
        <v>275</v>
      </c>
      <c r="G762" s="467">
        <f>84+1630-1630-84</f>
        <v>0</v>
      </c>
      <c r="H762" s="518"/>
      <c r="I762" s="471"/>
      <c r="J762" s="499"/>
      <c r="K762" s="471"/>
    </row>
    <row r="763" spans="1:11" s="204" customFormat="1" ht="31.5" x14ac:dyDescent="0.25">
      <c r="A763" s="298" t="s">
        <v>1634</v>
      </c>
      <c r="B763" s="461">
        <v>906</v>
      </c>
      <c r="C763" s="465" t="s">
        <v>264</v>
      </c>
      <c r="D763" s="465" t="s">
        <v>213</v>
      </c>
      <c r="E763" s="465" t="s">
        <v>1635</v>
      </c>
      <c r="F763" s="465"/>
      <c r="G763" s="463">
        <f>G764</f>
        <v>2864.7570000000001</v>
      </c>
      <c r="H763" s="518"/>
      <c r="I763" s="471"/>
      <c r="J763" s="499"/>
      <c r="K763" s="471"/>
    </row>
    <row r="764" spans="1:11" s="206" customFormat="1" ht="31.5" x14ac:dyDescent="0.25">
      <c r="A764" s="297" t="s">
        <v>450</v>
      </c>
      <c r="B764" s="460">
        <v>906</v>
      </c>
      <c r="C764" s="462" t="s">
        <v>264</v>
      </c>
      <c r="D764" s="462" t="s">
        <v>213</v>
      </c>
      <c r="E764" s="462" t="s">
        <v>1636</v>
      </c>
      <c r="F764" s="462"/>
      <c r="G764" s="467">
        <f>G765</f>
        <v>2864.7570000000001</v>
      </c>
      <c r="H764" s="518"/>
      <c r="I764" s="127"/>
      <c r="J764" s="502"/>
      <c r="K764" s="127"/>
    </row>
    <row r="765" spans="1:11" s="204" customFormat="1" ht="31.5" x14ac:dyDescent="0.25">
      <c r="A765" s="31" t="s">
        <v>272</v>
      </c>
      <c r="B765" s="460">
        <v>906</v>
      </c>
      <c r="C765" s="462" t="s">
        <v>264</v>
      </c>
      <c r="D765" s="462" t="s">
        <v>213</v>
      </c>
      <c r="E765" s="462" t="s">
        <v>1636</v>
      </c>
      <c r="F765" s="462" t="s">
        <v>273</v>
      </c>
      <c r="G765" s="467">
        <f>G766</f>
        <v>2864.7570000000001</v>
      </c>
      <c r="H765" s="518"/>
      <c r="I765" s="471"/>
      <c r="J765" s="499"/>
      <c r="K765" s="471"/>
    </row>
    <row r="766" spans="1:11" s="204" customFormat="1" ht="15.75" x14ac:dyDescent="0.25">
      <c r="A766" s="31" t="s">
        <v>274</v>
      </c>
      <c r="B766" s="460">
        <v>906</v>
      </c>
      <c r="C766" s="462" t="s">
        <v>264</v>
      </c>
      <c r="D766" s="462" t="s">
        <v>213</v>
      </c>
      <c r="E766" s="462" t="s">
        <v>1636</v>
      </c>
      <c r="F766" s="462" t="s">
        <v>275</v>
      </c>
      <c r="G766" s="467">
        <f>3304.3-439.543</f>
        <v>2864.7570000000001</v>
      </c>
      <c r="H766" s="518"/>
      <c r="I766" s="447"/>
      <c r="J766" s="504"/>
      <c r="K766" s="471"/>
    </row>
    <row r="767" spans="1:11" s="204" customFormat="1" ht="34.5" customHeight="1" x14ac:dyDescent="0.25">
      <c r="A767" s="298" t="s">
        <v>1650</v>
      </c>
      <c r="B767" s="461">
        <v>906</v>
      </c>
      <c r="C767" s="465" t="s">
        <v>264</v>
      </c>
      <c r="D767" s="465" t="s">
        <v>213</v>
      </c>
      <c r="E767" s="465" t="s">
        <v>1652</v>
      </c>
      <c r="F767" s="465"/>
      <c r="G767" s="463">
        <f>G768</f>
        <v>288.29200000000003</v>
      </c>
      <c r="H767" s="518"/>
      <c r="I767" s="448"/>
      <c r="J767" s="505"/>
      <c r="K767" s="471"/>
    </row>
    <row r="768" spans="1:11" s="204" customFormat="1" ht="31.5" x14ac:dyDescent="0.25">
      <c r="A768" s="297" t="s">
        <v>1651</v>
      </c>
      <c r="B768" s="460">
        <v>906</v>
      </c>
      <c r="C768" s="462" t="s">
        <v>264</v>
      </c>
      <c r="D768" s="462" t="s">
        <v>213</v>
      </c>
      <c r="E768" s="462" t="s">
        <v>1653</v>
      </c>
      <c r="F768" s="462"/>
      <c r="G768" s="467">
        <f>G769</f>
        <v>288.29200000000003</v>
      </c>
      <c r="H768" s="518"/>
      <c r="I768" s="456"/>
      <c r="J768" s="499"/>
      <c r="K768" s="471"/>
    </row>
    <row r="769" spans="1:14" s="204" customFormat="1" ht="31.5" x14ac:dyDescent="0.25">
      <c r="A769" s="31" t="s">
        <v>272</v>
      </c>
      <c r="B769" s="460">
        <v>906</v>
      </c>
      <c r="C769" s="462" t="s">
        <v>264</v>
      </c>
      <c r="D769" s="462" t="s">
        <v>213</v>
      </c>
      <c r="E769" s="462" t="s">
        <v>1653</v>
      </c>
      <c r="F769" s="462" t="s">
        <v>273</v>
      </c>
      <c r="G769" s="467">
        <f>G770</f>
        <v>288.29200000000003</v>
      </c>
      <c r="H769" s="518"/>
      <c r="I769" s="456"/>
      <c r="J769" s="506"/>
      <c r="K769" s="471"/>
    </row>
    <row r="770" spans="1:14" s="204" customFormat="1" ht="15.75" x14ac:dyDescent="0.25">
      <c r="A770" s="31" t="s">
        <v>274</v>
      </c>
      <c r="B770" s="460">
        <v>906</v>
      </c>
      <c r="C770" s="462" t="s">
        <v>264</v>
      </c>
      <c r="D770" s="462" t="s">
        <v>213</v>
      </c>
      <c r="E770" s="462" t="s">
        <v>1653</v>
      </c>
      <c r="F770" s="462" t="s">
        <v>275</v>
      </c>
      <c r="G770" s="467">
        <f>285+12.185-8.893</f>
        <v>288.29200000000003</v>
      </c>
      <c r="H770" s="519"/>
      <c r="I770" s="489"/>
      <c r="J770" s="499"/>
      <c r="K770" s="490"/>
      <c r="L770" s="490"/>
      <c r="M770" s="475"/>
      <c r="N770" s="476"/>
    </row>
    <row r="771" spans="1:14" s="204" customFormat="1" ht="36" customHeight="1" x14ac:dyDescent="0.25">
      <c r="A771" s="216" t="s">
        <v>1177</v>
      </c>
      <c r="B771" s="461">
        <v>906</v>
      </c>
      <c r="C771" s="465" t="s">
        <v>264</v>
      </c>
      <c r="D771" s="465" t="s">
        <v>213</v>
      </c>
      <c r="E771" s="465" t="s">
        <v>1327</v>
      </c>
      <c r="F771" s="465"/>
      <c r="G771" s="463">
        <f>G772</f>
        <v>1555.65</v>
      </c>
      <c r="H771" s="518"/>
      <c r="I771" s="455"/>
      <c r="J771" s="506"/>
      <c r="K771" s="453"/>
      <c r="L771" s="453"/>
      <c r="M771" s="453"/>
      <c r="N771" s="454"/>
    </row>
    <row r="772" spans="1:14" s="204" customFormat="1" ht="63" x14ac:dyDescent="0.25">
      <c r="A772" s="182" t="s">
        <v>1539</v>
      </c>
      <c r="B772" s="460">
        <v>906</v>
      </c>
      <c r="C772" s="462" t="s">
        <v>264</v>
      </c>
      <c r="D772" s="462" t="s">
        <v>213</v>
      </c>
      <c r="E772" s="462" t="s">
        <v>1328</v>
      </c>
      <c r="F772" s="462"/>
      <c r="G772" s="467">
        <f>G773</f>
        <v>1555.65</v>
      </c>
      <c r="H772" s="518"/>
      <c r="I772" s="471"/>
      <c r="J772" s="499"/>
      <c r="K772" s="445"/>
    </row>
    <row r="773" spans="1:14" s="204" customFormat="1" ht="31.5" x14ac:dyDescent="0.25">
      <c r="A773" s="31" t="s">
        <v>272</v>
      </c>
      <c r="B773" s="460">
        <v>906</v>
      </c>
      <c r="C773" s="462" t="s">
        <v>264</v>
      </c>
      <c r="D773" s="462" t="s">
        <v>213</v>
      </c>
      <c r="E773" s="462" t="s">
        <v>1328</v>
      </c>
      <c r="F773" s="462" t="s">
        <v>273</v>
      </c>
      <c r="G773" s="467">
        <f>G774</f>
        <v>1555.65</v>
      </c>
      <c r="H773" s="518"/>
      <c r="I773" s="471"/>
      <c r="J773" s="499"/>
      <c r="K773" s="471"/>
    </row>
    <row r="774" spans="1:14" s="204" customFormat="1" ht="15.75" x14ac:dyDescent="0.25">
      <c r="A774" s="31" t="s">
        <v>274</v>
      </c>
      <c r="B774" s="460">
        <v>906</v>
      </c>
      <c r="C774" s="462" t="s">
        <v>264</v>
      </c>
      <c r="D774" s="462" t="s">
        <v>213</v>
      </c>
      <c r="E774" s="462" t="s">
        <v>1328</v>
      </c>
      <c r="F774" s="462" t="s">
        <v>275</v>
      </c>
      <c r="G774" s="467">
        <f>1506.3+64.4-15.05</f>
        <v>1555.65</v>
      </c>
      <c r="H774" s="518"/>
      <c r="I774" s="471"/>
      <c r="J774" s="499"/>
      <c r="K774" s="471"/>
    </row>
    <row r="775" spans="1:14" s="204" customFormat="1" ht="31.5" x14ac:dyDescent="0.25">
      <c r="A775" s="34" t="s">
        <v>1476</v>
      </c>
      <c r="B775" s="461">
        <v>906</v>
      </c>
      <c r="C775" s="465" t="s">
        <v>264</v>
      </c>
      <c r="D775" s="465" t="s">
        <v>213</v>
      </c>
      <c r="E775" s="465" t="s">
        <v>1477</v>
      </c>
      <c r="F775" s="462"/>
      <c r="G775" s="463">
        <f>G776</f>
        <v>2691.645</v>
      </c>
      <c r="H775" s="518"/>
      <c r="I775" s="471"/>
      <c r="J775" s="499"/>
      <c r="K775" s="471"/>
    </row>
    <row r="776" spans="1:14" s="204" customFormat="1" ht="56.25" customHeight="1" x14ac:dyDescent="0.25">
      <c r="A776" s="31" t="s">
        <v>1540</v>
      </c>
      <c r="B776" s="460">
        <v>906</v>
      </c>
      <c r="C776" s="462" t="s">
        <v>264</v>
      </c>
      <c r="D776" s="462" t="s">
        <v>213</v>
      </c>
      <c r="E776" s="462" t="s">
        <v>1478</v>
      </c>
      <c r="F776" s="462"/>
      <c r="G776" s="467">
        <f>G777</f>
        <v>2691.645</v>
      </c>
      <c r="H776" s="518"/>
      <c r="I776" s="471"/>
      <c r="J776" s="499"/>
      <c r="K776" s="471"/>
      <c r="M776" s="398"/>
    </row>
    <row r="777" spans="1:14" s="204" customFormat="1" ht="31.5" x14ac:dyDescent="0.25">
      <c r="A777" s="31" t="s">
        <v>272</v>
      </c>
      <c r="B777" s="460">
        <v>906</v>
      </c>
      <c r="C777" s="462" t="s">
        <v>264</v>
      </c>
      <c r="D777" s="462" t="s">
        <v>213</v>
      </c>
      <c r="E777" s="462" t="s">
        <v>1478</v>
      </c>
      <c r="F777" s="462" t="s">
        <v>273</v>
      </c>
      <c r="G777" s="467">
        <f>G778</f>
        <v>2691.645</v>
      </c>
      <c r="H777" s="518"/>
      <c r="I777" s="471"/>
      <c r="J777" s="499"/>
      <c r="K777" s="471"/>
    </row>
    <row r="778" spans="1:14" s="204" customFormat="1" ht="15.75" x14ac:dyDescent="0.25">
      <c r="A778" s="31" t="s">
        <v>274</v>
      </c>
      <c r="B778" s="460">
        <v>906</v>
      </c>
      <c r="C778" s="462" t="s">
        <v>264</v>
      </c>
      <c r="D778" s="462" t="s">
        <v>213</v>
      </c>
      <c r="E778" s="462" t="s">
        <v>1478</v>
      </c>
      <c r="F778" s="462" t="s">
        <v>275</v>
      </c>
      <c r="G778" s="467">
        <f>2581.7+110.4-0.455</f>
        <v>2691.645</v>
      </c>
      <c r="H778" s="518"/>
      <c r="I778" s="471"/>
      <c r="J778" s="502"/>
      <c r="K778" s="127"/>
      <c r="L778" s="206"/>
    </row>
    <row r="779" spans="1:14" ht="47.25" hidden="1" x14ac:dyDescent="0.25">
      <c r="A779" s="34" t="s">
        <v>1368</v>
      </c>
      <c r="B779" s="461">
        <v>906</v>
      </c>
      <c r="C779" s="465" t="s">
        <v>264</v>
      </c>
      <c r="D779" s="465" t="s">
        <v>213</v>
      </c>
      <c r="E779" s="465" t="s">
        <v>324</v>
      </c>
      <c r="F779" s="465"/>
      <c r="G779" s="463">
        <f>G780</f>
        <v>0</v>
      </c>
      <c r="H779" s="518"/>
      <c r="I779" s="471"/>
      <c r="J779" s="499"/>
      <c r="K779" s="471"/>
      <c r="L779" s="204"/>
    </row>
    <row r="780" spans="1:14" s="204" customFormat="1" ht="47.25" hidden="1" x14ac:dyDescent="0.25">
      <c r="A780" s="34" t="s">
        <v>1024</v>
      </c>
      <c r="B780" s="461">
        <v>906</v>
      </c>
      <c r="C780" s="465" t="s">
        <v>264</v>
      </c>
      <c r="D780" s="465" t="s">
        <v>213</v>
      </c>
      <c r="E780" s="465" t="s">
        <v>934</v>
      </c>
      <c r="F780" s="465"/>
      <c r="G780" s="463">
        <f>G781</f>
        <v>0</v>
      </c>
      <c r="H780" s="518"/>
      <c r="I780" s="471"/>
      <c r="J780" s="499"/>
      <c r="K780" s="471"/>
    </row>
    <row r="781" spans="1:14" ht="47.25" hidden="1" x14ac:dyDescent="0.25">
      <c r="A781" s="31" t="s">
        <v>1084</v>
      </c>
      <c r="B781" s="460">
        <v>906</v>
      </c>
      <c r="C781" s="462" t="s">
        <v>264</v>
      </c>
      <c r="D781" s="462" t="s">
        <v>213</v>
      </c>
      <c r="E781" s="462" t="s">
        <v>935</v>
      </c>
      <c r="F781" s="462"/>
      <c r="G781" s="467">
        <f>G782</f>
        <v>0</v>
      </c>
      <c r="H781" s="518"/>
      <c r="I781" s="471"/>
      <c r="J781" s="499"/>
      <c r="K781" s="471"/>
      <c r="L781" s="204"/>
    </row>
    <row r="782" spans="1:14" ht="31.5" hidden="1" x14ac:dyDescent="0.25">
      <c r="A782" s="31" t="s">
        <v>272</v>
      </c>
      <c r="B782" s="460">
        <v>906</v>
      </c>
      <c r="C782" s="462" t="s">
        <v>264</v>
      </c>
      <c r="D782" s="462" t="s">
        <v>213</v>
      </c>
      <c r="E782" s="462" t="s">
        <v>935</v>
      </c>
      <c r="F782" s="462" t="s">
        <v>273</v>
      </c>
      <c r="G782" s="467">
        <f>G783</f>
        <v>0</v>
      </c>
      <c r="H782" s="518"/>
      <c r="I782" s="471"/>
      <c r="J782" s="499"/>
      <c r="K782" s="471"/>
      <c r="L782" s="204"/>
    </row>
    <row r="783" spans="1:14" ht="15.75" hidden="1" x14ac:dyDescent="0.25">
      <c r="A783" s="31" t="s">
        <v>274</v>
      </c>
      <c r="B783" s="460">
        <v>906</v>
      </c>
      <c r="C783" s="462" t="s">
        <v>264</v>
      </c>
      <c r="D783" s="462" t="s">
        <v>213</v>
      </c>
      <c r="E783" s="462" t="s">
        <v>935</v>
      </c>
      <c r="F783" s="462" t="s">
        <v>275</v>
      </c>
      <c r="G783" s="467">
        <v>0</v>
      </c>
      <c r="H783" s="518"/>
      <c r="I783" s="471"/>
      <c r="J783" s="499"/>
      <c r="K783" s="471"/>
      <c r="L783" s="204"/>
    </row>
    <row r="784" spans="1:14" ht="47.25" x14ac:dyDescent="0.25">
      <c r="A784" s="470" t="s">
        <v>1352</v>
      </c>
      <c r="B784" s="461">
        <v>906</v>
      </c>
      <c r="C784" s="465" t="s">
        <v>264</v>
      </c>
      <c r="D784" s="465" t="s">
        <v>213</v>
      </c>
      <c r="E784" s="465" t="s">
        <v>705</v>
      </c>
      <c r="F784" s="474"/>
      <c r="G784" s="463">
        <f>G785</f>
        <v>837</v>
      </c>
      <c r="H784" s="518"/>
      <c r="I784" s="471"/>
      <c r="J784" s="499"/>
      <c r="K784" s="471"/>
      <c r="L784" s="204"/>
    </row>
    <row r="785" spans="1:12" s="204" customFormat="1" ht="47.25" x14ac:dyDescent="0.25">
      <c r="A785" s="470" t="s">
        <v>890</v>
      </c>
      <c r="B785" s="461">
        <v>906</v>
      </c>
      <c r="C785" s="465" t="s">
        <v>264</v>
      </c>
      <c r="D785" s="465" t="s">
        <v>213</v>
      </c>
      <c r="E785" s="465" t="s">
        <v>888</v>
      </c>
      <c r="F785" s="474"/>
      <c r="G785" s="463">
        <f>G786</f>
        <v>837</v>
      </c>
      <c r="H785" s="518"/>
      <c r="I785" s="471"/>
      <c r="J785" s="499"/>
      <c r="K785" s="471"/>
    </row>
    <row r="786" spans="1:12" ht="35.450000000000003" customHeight="1" x14ac:dyDescent="0.25">
      <c r="A786" s="98" t="s">
        <v>780</v>
      </c>
      <c r="B786" s="460">
        <v>906</v>
      </c>
      <c r="C786" s="462" t="s">
        <v>264</v>
      </c>
      <c r="D786" s="462" t="s">
        <v>213</v>
      </c>
      <c r="E786" s="462" t="s">
        <v>936</v>
      </c>
      <c r="F786" s="468"/>
      <c r="G786" s="467">
        <f>G787</f>
        <v>837</v>
      </c>
      <c r="H786" s="518"/>
      <c r="I786" s="471"/>
      <c r="J786" s="499"/>
      <c r="K786" s="471"/>
      <c r="L786" s="204"/>
    </row>
    <row r="787" spans="1:12" ht="39.75" customHeight="1" x14ac:dyDescent="0.25">
      <c r="A787" s="29" t="s">
        <v>272</v>
      </c>
      <c r="B787" s="460">
        <v>906</v>
      </c>
      <c r="C787" s="462" t="s">
        <v>264</v>
      </c>
      <c r="D787" s="462" t="s">
        <v>213</v>
      </c>
      <c r="E787" s="462" t="s">
        <v>936</v>
      </c>
      <c r="F787" s="468" t="s">
        <v>273</v>
      </c>
      <c r="G787" s="467">
        <f>G788</f>
        <v>837</v>
      </c>
      <c r="H787" s="518"/>
      <c r="I787" s="471"/>
      <c r="J787" s="499"/>
      <c r="K787" s="471"/>
      <c r="L787" s="204"/>
    </row>
    <row r="788" spans="1:12" ht="15.75" x14ac:dyDescent="0.25">
      <c r="A788" s="182" t="s">
        <v>274</v>
      </c>
      <c r="B788" s="460">
        <v>906</v>
      </c>
      <c r="C788" s="462" t="s">
        <v>264</v>
      </c>
      <c r="D788" s="462" t="s">
        <v>213</v>
      </c>
      <c r="E788" s="462" t="s">
        <v>936</v>
      </c>
      <c r="F788" s="468" t="s">
        <v>275</v>
      </c>
      <c r="G788" s="467">
        <v>837</v>
      </c>
      <c r="H788" s="518"/>
      <c r="I788" s="471"/>
      <c r="J788" s="499"/>
      <c r="K788" s="471"/>
      <c r="L788" s="204"/>
    </row>
    <row r="789" spans="1:12" ht="15.75" x14ac:dyDescent="0.25">
      <c r="A789" s="464" t="s">
        <v>265</v>
      </c>
      <c r="B789" s="461">
        <v>906</v>
      </c>
      <c r="C789" s="465" t="s">
        <v>264</v>
      </c>
      <c r="D789" s="465" t="s">
        <v>215</v>
      </c>
      <c r="E789" s="465"/>
      <c r="F789" s="465"/>
      <c r="G789" s="44">
        <f>G790+G823</f>
        <v>42795.250000000015</v>
      </c>
      <c r="H789" s="518"/>
      <c r="I789" s="471"/>
      <c r="J789" s="499"/>
      <c r="K789" s="471"/>
      <c r="L789" s="204"/>
    </row>
    <row r="790" spans="1:12" ht="36.75" customHeight="1" x14ac:dyDescent="0.25">
      <c r="A790" s="464" t="s">
        <v>1367</v>
      </c>
      <c r="B790" s="461">
        <v>906</v>
      </c>
      <c r="C790" s="465" t="s">
        <v>264</v>
      </c>
      <c r="D790" s="465" t="s">
        <v>215</v>
      </c>
      <c r="E790" s="465" t="s">
        <v>406</v>
      </c>
      <c r="F790" s="465"/>
      <c r="G790" s="44">
        <f>G791+G801+G815+G819</f>
        <v>42498.950000000012</v>
      </c>
      <c r="H790" s="518"/>
      <c r="I790" s="471"/>
      <c r="J790" s="499"/>
      <c r="K790" s="471"/>
      <c r="L790" s="204"/>
    </row>
    <row r="791" spans="1:12" s="204" customFormat="1" ht="36.75" customHeight="1" x14ac:dyDescent="0.25">
      <c r="A791" s="464" t="s">
        <v>937</v>
      </c>
      <c r="B791" s="461">
        <v>906</v>
      </c>
      <c r="C791" s="465" t="s">
        <v>264</v>
      </c>
      <c r="D791" s="465" t="s">
        <v>215</v>
      </c>
      <c r="E791" s="465" t="s">
        <v>1235</v>
      </c>
      <c r="F791" s="465"/>
      <c r="G791" s="44">
        <f>G792+G798+G795</f>
        <v>38831.025000000009</v>
      </c>
      <c r="H791" s="518"/>
      <c r="I791" s="471"/>
      <c r="J791" s="499"/>
      <c r="K791" s="471"/>
    </row>
    <row r="792" spans="1:12" ht="31.5" x14ac:dyDescent="0.25">
      <c r="A792" s="466" t="s">
        <v>270</v>
      </c>
      <c r="B792" s="460">
        <v>906</v>
      </c>
      <c r="C792" s="462" t="s">
        <v>264</v>
      </c>
      <c r="D792" s="462" t="s">
        <v>215</v>
      </c>
      <c r="E792" s="462" t="s">
        <v>1265</v>
      </c>
      <c r="F792" s="462"/>
      <c r="G792" s="27">
        <f>G793</f>
        <v>14825.625</v>
      </c>
      <c r="H792" s="518"/>
      <c r="I792" s="471"/>
      <c r="J792" s="499"/>
      <c r="K792" s="471"/>
      <c r="L792" s="204"/>
    </row>
    <row r="793" spans="1:12" ht="36.75" customHeight="1" x14ac:dyDescent="0.25">
      <c r="A793" s="466" t="s">
        <v>272</v>
      </c>
      <c r="B793" s="460">
        <v>906</v>
      </c>
      <c r="C793" s="462" t="s">
        <v>264</v>
      </c>
      <c r="D793" s="462" t="s">
        <v>215</v>
      </c>
      <c r="E793" s="462" t="s">
        <v>1265</v>
      </c>
      <c r="F793" s="462" t="s">
        <v>273</v>
      </c>
      <c r="G793" s="27">
        <f>G794</f>
        <v>14825.625</v>
      </c>
      <c r="H793" s="518"/>
      <c r="I793" s="471"/>
      <c r="J793" s="499"/>
      <c r="K793" s="471"/>
      <c r="L793" s="204"/>
    </row>
    <row r="794" spans="1:12" ht="15.75" x14ac:dyDescent="0.25">
      <c r="A794" s="466" t="s">
        <v>274</v>
      </c>
      <c r="B794" s="460">
        <v>906</v>
      </c>
      <c r="C794" s="462" t="s">
        <v>264</v>
      </c>
      <c r="D794" s="462" t="s">
        <v>215</v>
      </c>
      <c r="E794" s="462" t="s">
        <v>1265</v>
      </c>
      <c r="F794" s="462" t="s">
        <v>275</v>
      </c>
      <c r="G794" s="27">
        <f>14834.95-5.2-24.925+80-59.2</f>
        <v>14825.625</v>
      </c>
      <c r="H794" s="518"/>
      <c r="I794" s="471"/>
      <c r="J794" s="499"/>
      <c r="K794" s="471"/>
      <c r="L794" s="204"/>
    </row>
    <row r="795" spans="1:12" s="204" customFormat="1" ht="47.25" x14ac:dyDescent="0.25">
      <c r="A795" s="466" t="s">
        <v>1776</v>
      </c>
      <c r="B795" s="460">
        <v>906</v>
      </c>
      <c r="C795" s="462" t="s">
        <v>264</v>
      </c>
      <c r="D795" s="462" t="s">
        <v>215</v>
      </c>
      <c r="E795" s="462" t="s">
        <v>1780</v>
      </c>
      <c r="F795" s="462"/>
      <c r="G795" s="27">
        <f>G796</f>
        <v>267.8</v>
      </c>
      <c r="H795" s="518"/>
      <c r="I795" s="471"/>
      <c r="J795" s="499"/>
      <c r="K795" s="471"/>
    </row>
    <row r="796" spans="1:12" s="204" customFormat="1" ht="31.5" x14ac:dyDescent="0.25">
      <c r="A796" s="466" t="s">
        <v>272</v>
      </c>
      <c r="B796" s="460">
        <v>906</v>
      </c>
      <c r="C796" s="462" t="s">
        <v>264</v>
      </c>
      <c r="D796" s="462" t="s">
        <v>215</v>
      </c>
      <c r="E796" s="462" t="s">
        <v>1780</v>
      </c>
      <c r="F796" s="462" t="s">
        <v>273</v>
      </c>
      <c r="G796" s="27">
        <f>G797</f>
        <v>267.8</v>
      </c>
      <c r="H796" s="518"/>
      <c r="I796" s="471"/>
      <c r="J796" s="499"/>
      <c r="K796" s="471"/>
    </row>
    <row r="797" spans="1:12" s="204" customFormat="1" ht="15.75" x14ac:dyDescent="0.25">
      <c r="A797" s="466" t="s">
        <v>274</v>
      </c>
      <c r="B797" s="460">
        <v>906</v>
      </c>
      <c r="C797" s="462" t="s">
        <v>264</v>
      </c>
      <c r="D797" s="462" t="s">
        <v>215</v>
      </c>
      <c r="E797" s="462" t="s">
        <v>1780</v>
      </c>
      <c r="F797" s="462" t="s">
        <v>275</v>
      </c>
      <c r="G797" s="27">
        <v>267.8</v>
      </c>
      <c r="H797" s="518"/>
      <c r="I797" s="471"/>
      <c r="J797" s="499"/>
      <c r="K797" s="471"/>
    </row>
    <row r="798" spans="1:12" s="204" customFormat="1" ht="31.5" x14ac:dyDescent="0.25">
      <c r="A798" s="31" t="s">
        <v>1522</v>
      </c>
      <c r="B798" s="460">
        <v>906</v>
      </c>
      <c r="C798" s="462" t="s">
        <v>264</v>
      </c>
      <c r="D798" s="462" t="s">
        <v>215</v>
      </c>
      <c r="E798" s="462" t="s">
        <v>1521</v>
      </c>
      <c r="F798" s="462"/>
      <c r="G798" s="27">
        <f>G799</f>
        <v>23737.600000000002</v>
      </c>
      <c r="H798" s="518"/>
      <c r="I798" s="471"/>
      <c r="J798" s="499"/>
      <c r="K798" s="471"/>
    </row>
    <row r="799" spans="1:12" s="204" customFormat="1" ht="31.5" x14ac:dyDescent="0.25">
      <c r="A799" s="466" t="s">
        <v>272</v>
      </c>
      <c r="B799" s="460">
        <v>906</v>
      </c>
      <c r="C799" s="462" t="s">
        <v>264</v>
      </c>
      <c r="D799" s="462" t="s">
        <v>215</v>
      </c>
      <c r="E799" s="462" t="s">
        <v>1521</v>
      </c>
      <c r="F799" s="462" t="s">
        <v>273</v>
      </c>
      <c r="G799" s="27">
        <f>G800</f>
        <v>23737.600000000002</v>
      </c>
      <c r="H799" s="518"/>
      <c r="I799" s="471"/>
      <c r="J799" s="499"/>
      <c r="K799" s="471"/>
    </row>
    <row r="800" spans="1:12" s="204" customFormat="1" ht="15.75" x14ac:dyDescent="0.25">
      <c r="A800" s="31" t="s">
        <v>274</v>
      </c>
      <c r="B800" s="460">
        <v>906</v>
      </c>
      <c r="C800" s="462" t="s">
        <v>264</v>
      </c>
      <c r="D800" s="462" t="s">
        <v>215</v>
      </c>
      <c r="E800" s="462" t="s">
        <v>1521</v>
      </c>
      <c r="F800" s="462" t="s">
        <v>275</v>
      </c>
      <c r="G800" s="27">
        <f>17677.27+4071.2+2069.13-80</f>
        <v>23737.600000000002</v>
      </c>
      <c r="H800" s="518"/>
      <c r="I800" s="471"/>
      <c r="J800" s="499"/>
      <c r="K800" s="471"/>
    </row>
    <row r="801" spans="1:12" s="204" customFormat="1" ht="36" customHeight="1" x14ac:dyDescent="0.25">
      <c r="A801" s="464" t="s">
        <v>900</v>
      </c>
      <c r="B801" s="461">
        <v>906</v>
      </c>
      <c r="C801" s="465" t="s">
        <v>264</v>
      </c>
      <c r="D801" s="465" t="s">
        <v>215</v>
      </c>
      <c r="E801" s="465" t="s">
        <v>1237</v>
      </c>
      <c r="F801" s="465"/>
      <c r="G801" s="44">
        <f>G805+G808+G802</f>
        <v>2243</v>
      </c>
      <c r="H801" s="518"/>
      <c r="I801" s="471"/>
      <c r="J801" s="499"/>
      <c r="K801" s="471"/>
    </row>
    <row r="802" spans="1:12" s="204" customFormat="1" ht="91.15" customHeight="1" x14ac:dyDescent="0.25">
      <c r="A802" s="31" t="s">
        <v>293</v>
      </c>
      <c r="B802" s="460">
        <v>906</v>
      </c>
      <c r="C802" s="462" t="s">
        <v>264</v>
      </c>
      <c r="D802" s="462" t="s">
        <v>215</v>
      </c>
      <c r="E802" s="462" t="s">
        <v>1401</v>
      </c>
      <c r="F802" s="462"/>
      <c r="G802" s="27">
        <f>G803</f>
        <v>1400</v>
      </c>
      <c r="H802" s="518"/>
      <c r="I802" s="471"/>
      <c r="J802" s="499"/>
      <c r="K802" s="471"/>
    </row>
    <row r="803" spans="1:12" s="204" customFormat="1" ht="36" customHeight="1" x14ac:dyDescent="0.25">
      <c r="A803" s="466" t="s">
        <v>272</v>
      </c>
      <c r="B803" s="460">
        <v>906</v>
      </c>
      <c r="C803" s="462" t="s">
        <v>264</v>
      </c>
      <c r="D803" s="462" t="s">
        <v>215</v>
      </c>
      <c r="E803" s="462" t="s">
        <v>1401</v>
      </c>
      <c r="F803" s="462" t="s">
        <v>273</v>
      </c>
      <c r="G803" s="27">
        <f>G804</f>
        <v>1400</v>
      </c>
      <c r="H803" s="518"/>
      <c r="I803" s="471"/>
      <c r="J803" s="499"/>
      <c r="K803" s="471"/>
    </row>
    <row r="804" spans="1:12" s="204" customFormat="1" ht="23.1" customHeight="1" x14ac:dyDescent="0.25">
      <c r="A804" s="466" t="s">
        <v>274</v>
      </c>
      <c r="B804" s="460">
        <v>906</v>
      </c>
      <c r="C804" s="462" t="s">
        <v>264</v>
      </c>
      <c r="D804" s="462" t="s">
        <v>215</v>
      </c>
      <c r="E804" s="462" t="s">
        <v>1401</v>
      </c>
      <c r="F804" s="462" t="s">
        <v>275</v>
      </c>
      <c r="G804" s="27">
        <v>1400</v>
      </c>
      <c r="H804" s="518"/>
      <c r="I804" s="471"/>
      <c r="J804" s="499"/>
      <c r="K804" s="471"/>
    </row>
    <row r="805" spans="1:12" s="204" customFormat="1" ht="60.75" customHeight="1" x14ac:dyDescent="0.25">
      <c r="A805" s="31" t="s">
        <v>289</v>
      </c>
      <c r="B805" s="460">
        <v>906</v>
      </c>
      <c r="C805" s="462" t="s">
        <v>264</v>
      </c>
      <c r="D805" s="462" t="s">
        <v>215</v>
      </c>
      <c r="E805" s="462" t="s">
        <v>1238</v>
      </c>
      <c r="F805" s="462"/>
      <c r="G805" s="27">
        <f>G806</f>
        <v>179</v>
      </c>
      <c r="H805" s="518"/>
      <c r="I805" s="471"/>
      <c r="J805" s="499"/>
      <c r="K805" s="471"/>
    </row>
    <row r="806" spans="1:12" s="204" customFormat="1" ht="31.5" x14ac:dyDescent="0.25">
      <c r="A806" s="466" t="s">
        <v>272</v>
      </c>
      <c r="B806" s="460">
        <v>906</v>
      </c>
      <c r="C806" s="462" t="s">
        <v>264</v>
      </c>
      <c r="D806" s="462" t="s">
        <v>215</v>
      </c>
      <c r="E806" s="462" t="s">
        <v>1238</v>
      </c>
      <c r="F806" s="462" t="s">
        <v>273</v>
      </c>
      <c r="G806" s="27">
        <f>G807</f>
        <v>179</v>
      </c>
      <c r="H806" s="518"/>
      <c r="I806" s="471"/>
      <c r="J806" s="499"/>
      <c r="K806" s="471"/>
    </row>
    <row r="807" spans="1:12" s="204" customFormat="1" ht="15.75" x14ac:dyDescent="0.25">
      <c r="A807" s="466" t="s">
        <v>274</v>
      </c>
      <c r="B807" s="460">
        <v>906</v>
      </c>
      <c r="C807" s="462" t="s">
        <v>264</v>
      </c>
      <c r="D807" s="462" t="s">
        <v>215</v>
      </c>
      <c r="E807" s="462" t="s">
        <v>1238</v>
      </c>
      <c r="F807" s="462" t="s">
        <v>275</v>
      </c>
      <c r="G807" s="27">
        <v>179</v>
      </c>
      <c r="H807" s="518"/>
      <c r="I807" s="471"/>
      <c r="J807" s="499"/>
      <c r="K807" s="471"/>
    </row>
    <row r="808" spans="1:12" s="204" customFormat="1" ht="63" x14ac:dyDescent="0.25">
      <c r="A808" s="31" t="s">
        <v>291</v>
      </c>
      <c r="B808" s="460">
        <v>906</v>
      </c>
      <c r="C808" s="462" t="s">
        <v>264</v>
      </c>
      <c r="D808" s="462" t="s">
        <v>215</v>
      </c>
      <c r="E808" s="462" t="s">
        <v>1239</v>
      </c>
      <c r="F808" s="462"/>
      <c r="G808" s="27">
        <f>G809</f>
        <v>664</v>
      </c>
      <c r="H808" s="518"/>
      <c r="I808" s="471"/>
      <c r="J808" s="499"/>
      <c r="K808" s="471"/>
    </row>
    <row r="809" spans="1:12" s="204" customFormat="1" ht="31.5" x14ac:dyDescent="0.25">
      <c r="A809" s="466" t="s">
        <v>272</v>
      </c>
      <c r="B809" s="460">
        <v>906</v>
      </c>
      <c r="C809" s="462" t="s">
        <v>264</v>
      </c>
      <c r="D809" s="462" t="s">
        <v>215</v>
      </c>
      <c r="E809" s="462" t="s">
        <v>1239</v>
      </c>
      <c r="F809" s="462" t="s">
        <v>273</v>
      </c>
      <c r="G809" s="27">
        <f>G810</f>
        <v>664</v>
      </c>
      <c r="H809" s="518"/>
      <c r="I809" s="471"/>
      <c r="J809" s="499"/>
      <c r="K809" s="471"/>
    </row>
    <row r="810" spans="1:12" s="204" customFormat="1" ht="15.75" x14ac:dyDescent="0.25">
      <c r="A810" s="466" t="s">
        <v>274</v>
      </c>
      <c r="B810" s="460">
        <v>906</v>
      </c>
      <c r="C810" s="462" t="s">
        <v>264</v>
      </c>
      <c r="D810" s="462" t="s">
        <v>215</v>
      </c>
      <c r="E810" s="462" t="s">
        <v>1239</v>
      </c>
      <c r="F810" s="462" t="s">
        <v>275</v>
      </c>
      <c r="G810" s="27">
        <f>549.46+0.04+114.5</f>
        <v>664</v>
      </c>
      <c r="H810" s="518"/>
      <c r="I810" s="471"/>
      <c r="J810" s="499"/>
      <c r="K810" s="471"/>
    </row>
    <row r="811" spans="1:12" s="204" customFormat="1" ht="30.75" hidden="1" customHeight="1" x14ac:dyDescent="0.25">
      <c r="A811" s="464" t="s">
        <v>1297</v>
      </c>
      <c r="B811" s="461">
        <v>906</v>
      </c>
      <c r="C811" s="465" t="s">
        <v>264</v>
      </c>
      <c r="D811" s="465" t="s">
        <v>215</v>
      </c>
      <c r="E811" s="465" t="s">
        <v>1242</v>
      </c>
      <c r="F811" s="465"/>
      <c r="G811" s="44">
        <f>G812</f>
        <v>0</v>
      </c>
      <c r="H811" s="518"/>
      <c r="I811" s="471"/>
      <c r="J811" s="499"/>
      <c r="K811" s="471"/>
    </row>
    <row r="812" spans="1:12" ht="31.5" hidden="1" x14ac:dyDescent="0.25">
      <c r="A812" s="45" t="s">
        <v>766</v>
      </c>
      <c r="B812" s="460">
        <v>906</v>
      </c>
      <c r="C812" s="462" t="s">
        <v>264</v>
      </c>
      <c r="D812" s="462" t="s">
        <v>215</v>
      </c>
      <c r="E812" s="462" t="s">
        <v>1337</v>
      </c>
      <c r="F812" s="462"/>
      <c r="G812" s="27">
        <f>G813</f>
        <v>0</v>
      </c>
      <c r="H812" s="518"/>
      <c r="I812" s="471"/>
      <c r="J812" s="499"/>
      <c r="K812" s="471"/>
      <c r="L812" s="204"/>
    </row>
    <row r="813" spans="1:12" ht="31.5" hidden="1" x14ac:dyDescent="0.25">
      <c r="A813" s="31" t="s">
        <v>272</v>
      </c>
      <c r="B813" s="460">
        <v>906</v>
      </c>
      <c r="C813" s="462" t="s">
        <v>264</v>
      </c>
      <c r="D813" s="462" t="s">
        <v>215</v>
      </c>
      <c r="E813" s="462" t="s">
        <v>1337</v>
      </c>
      <c r="F813" s="462" t="s">
        <v>273</v>
      </c>
      <c r="G813" s="27">
        <f>G814</f>
        <v>0</v>
      </c>
      <c r="H813" s="518"/>
      <c r="I813" s="471"/>
      <c r="J813" s="499"/>
      <c r="K813" s="471"/>
      <c r="L813" s="204"/>
    </row>
    <row r="814" spans="1:12" ht="15.75" hidden="1" x14ac:dyDescent="0.25">
      <c r="A814" s="31" t="s">
        <v>274</v>
      </c>
      <c r="B814" s="460">
        <v>906</v>
      </c>
      <c r="C814" s="462" t="s">
        <v>264</v>
      </c>
      <c r="D814" s="462" t="s">
        <v>215</v>
      </c>
      <c r="E814" s="462" t="s">
        <v>1337</v>
      </c>
      <c r="F814" s="462" t="s">
        <v>275</v>
      </c>
      <c r="G814" s="27">
        <v>0</v>
      </c>
      <c r="H814" s="518"/>
      <c r="I814" s="471"/>
      <c r="J814" s="499"/>
      <c r="K814" s="471"/>
      <c r="L814" s="204"/>
    </row>
    <row r="815" spans="1:12" s="204" customFormat="1" ht="31.5" x14ac:dyDescent="0.25">
      <c r="A815" s="218" t="s">
        <v>948</v>
      </c>
      <c r="B815" s="461">
        <v>906</v>
      </c>
      <c r="C815" s="465" t="s">
        <v>264</v>
      </c>
      <c r="D815" s="465" t="s">
        <v>215</v>
      </c>
      <c r="E815" s="465" t="s">
        <v>1245</v>
      </c>
      <c r="F815" s="465"/>
      <c r="G815" s="44">
        <f>G816</f>
        <v>1100</v>
      </c>
      <c r="H815" s="518"/>
      <c r="I815" s="471"/>
      <c r="J815" s="499"/>
      <c r="K815" s="471"/>
    </row>
    <row r="816" spans="1:12" ht="37.5" customHeight="1" x14ac:dyDescent="0.25">
      <c r="A816" s="45" t="s">
        <v>764</v>
      </c>
      <c r="B816" s="460">
        <v>906</v>
      </c>
      <c r="C816" s="462" t="s">
        <v>264</v>
      </c>
      <c r="D816" s="462" t="s">
        <v>215</v>
      </c>
      <c r="E816" s="462" t="s">
        <v>1246</v>
      </c>
      <c r="F816" s="462"/>
      <c r="G816" s="27">
        <f>G817</f>
        <v>1100</v>
      </c>
      <c r="H816" s="518"/>
      <c r="I816" s="471"/>
      <c r="J816" s="499"/>
      <c r="K816" s="471"/>
      <c r="L816" s="204"/>
    </row>
    <row r="817" spans="1:12" ht="32.25" customHeight="1" x14ac:dyDescent="0.25">
      <c r="A817" s="466" t="s">
        <v>272</v>
      </c>
      <c r="B817" s="460">
        <v>906</v>
      </c>
      <c r="C817" s="462" t="s">
        <v>264</v>
      </c>
      <c r="D817" s="462" t="s">
        <v>215</v>
      </c>
      <c r="E817" s="462" t="s">
        <v>1246</v>
      </c>
      <c r="F817" s="462" t="s">
        <v>273</v>
      </c>
      <c r="G817" s="27">
        <f>G818</f>
        <v>1100</v>
      </c>
      <c r="H817" s="518"/>
      <c r="I817" s="471"/>
      <c r="J817" s="499"/>
      <c r="K817" s="471"/>
      <c r="L817" s="204"/>
    </row>
    <row r="818" spans="1:12" ht="15.75" x14ac:dyDescent="0.25">
      <c r="A818" s="31" t="s">
        <v>274</v>
      </c>
      <c r="B818" s="460">
        <v>906</v>
      </c>
      <c r="C818" s="462" t="s">
        <v>264</v>
      </c>
      <c r="D818" s="462" t="s">
        <v>215</v>
      </c>
      <c r="E818" s="462" t="s">
        <v>1246</v>
      </c>
      <c r="F818" s="462" t="s">
        <v>275</v>
      </c>
      <c r="G818" s="27">
        <f>1564-164-300</f>
        <v>1100</v>
      </c>
      <c r="H818" s="518"/>
      <c r="I818" s="471"/>
      <c r="J818" s="499"/>
      <c r="K818" s="471"/>
      <c r="L818" s="204"/>
    </row>
    <row r="819" spans="1:12" s="204" customFormat="1" ht="47.25" x14ac:dyDescent="0.25">
      <c r="A819" s="34" t="s">
        <v>1748</v>
      </c>
      <c r="B819" s="461">
        <v>906</v>
      </c>
      <c r="C819" s="465" t="s">
        <v>264</v>
      </c>
      <c r="D819" s="465" t="s">
        <v>215</v>
      </c>
      <c r="E819" s="465" t="s">
        <v>1749</v>
      </c>
      <c r="F819" s="465"/>
      <c r="G819" s="44">
        <f>G820</f>
        <v>324.92500000000001</v>
      </c>
      <c r="H819" s="518"/>
      <c r="I819" s="471"/>
      <c r="J819" s="499"/>
      <c r="K819" s="471"/>
    </row>
    <row r="820" spans="1:12" s="204" customFormat="1" ht="31.5" x14ac:dyDescent="0.25">
      <c r="A820" s="31" t="s">
        <v>1766</v>
      </c>
      <c r="B820" s="460">
        <v>906</v>
      </c>
      <c r="C820" s="462" t="s">
        <v>264</v>
      </c>
      <c r="D820" s="462" t="s">
        <v>215</v>
      </c>
      <c r="E820" s="462" t="s">
        <v>1750</v>
      </c>
      <c r="F820" s="462"/>
      <c r="G820" s="27">
        <f>G821</f>
        <v>324.92500000000001</v>
      </c>
      <c r="H820" s="518"/>
      <c r="I820" s="471"/>
      <c r="J820" s="499"/>
      <c r="K820" s="471"/>
    </row>
    <row r="821" spans="1:12" s="204" customFormat="1" ht="31.5" x14ac:dyDescent="0.25">
      <c r="A821" s="466" t="s">
        <v>272</v>
      </c>
      <c r="B821" s="460">
        <v>906</v>
      </c>
      <c r="C821" s="462" t="s">
        <v>264</v>
      </c>
      <c r="D821" s="462" t="s">
        <v>215</v>
      </c>
      <c r="E821" s="462" t="s">
        <v>1750</v>
      </c>
      <c r="F821" s="462" t="s">
        <v>273</v>
      </c>
      <c r="G821" s="27">
        <f>G822</f>
        <v>324.92500000000001</v>
      </c>
      <c r="H821" s="518"/>
      <c r="I821" s="471"/>
      <c r="J821" s="499"/>
      <c r="K821" s="471"/>
    </row>
    <row r="822" spans="1:12" s="204" customFormat="1" ht="25.9" customHeight="1" x14ac:dyDescent="0.25">
      <c r="A822" s="31" t="s">
        <v>1751</v>
      </c>
      <c r="B822" s="460">
        <v>906</v>
      </c>
      <c r="C822" s="462" t="s">
        <v>264</v>
      </c>
      <c r="D822" s="462" t="s">
        <v>215</v>
      </c>
      <c r="E822" s="462" t="s">
        <v>1750</v>
      </c>
      <c r="F822" s="462" t="s">
        <v>1752</v>
      </c>
      <c r="G822" s="27">
        <v>324.92500000000001</v>
      </c>
      <c r="H822" s="518"/>
      <c r="I822" s="471"/>
      <c r="J822" s="499"/>
      <c r="K822" s="471"/>
    </row>
    <row r="823" spans="1:12" ht="54.75" customHeight="1" x14ac:dyDescent="0.25">
      <c r="A823" s="470" t="s">
        <v>1352</v>
      </c>
      <c r="B823" s="461">
        <v>906</v>
      </c>
      <c r="C823" s="465" t="s">
        <v>264</v>
      </c>
      <c r="D823" s="465" t="s">
        <v>215</v>
      </c>
      <c r="E823" s="465" t="s">
        <v>705</v>
      </c>
      <c r="F823" s="474"/>
      <c r="G823" s="44">
        <f>G825</f>
        <v>296.3</v>
      </c>
      <c r="H823" s="518"/>
      <c r="I823" s="471"/>
      <c r="J823" s="499"/>
      <c r="K823" s="471"/>
      <c r="L823" s="204"/>
    </row>
    <row r="824" spans="1:12" s="204" customFormat="1" ht="54.75" customHeight="1" x14ac:dyDescent="0.25">
      <c r="A824" s="470" t="s">
        <v>890</v>
      </c>
      <c r="B824" s="461">
        <v>906</v>
      </c>
      <c r="C824" s="465" t="s">
        <v>264</v>
      </c>
      <c r="D824" s="465" t="s">
        <v>942</v>
      </c>
      <c r="E824" s="465" t="s">
        <v>888</v>
      </c>
      <c r="F824" s="474"/>
      <c r="G824" s="44">
        <f>G825</f>
        <v>296.3</v>
      </c>
      <c r="H824" s="518"/>
      <c r="I824" s="471"/>
      <c r="J824" s="499"/>
      <c r="K824" s="471"/>
    </row>
    <row r="825" spans="1:12" ht="38.25" customHeight="1" x14ac:dyDescent="0.25">
      <c r="A825" s="98" t="s">
        <v>780</v>
      </c>
      <c r="B825" s="460">
        <v>906</v>
      </c>
      <c r="C825" s="462" t="s">
        <v>264</v>
      </c>
      <c r="D825" s="462" t="s">
        <v>215</v>
      </c>
      <c r="E825" s="462" t="s">
        <v>936</v>
      </c>
      <c r="F825" s="468"/>
      <c r="G825" s="27">
        <f>G826</f>
        <v>296.3</v>
      </c>
      <c r="H825" s="518"/>
      <c r="I825" s="471"/>
      <c r="J825" s="499"/>
      <c r="K825" s="471"/>
      <c r="L825" s="204"/>
    </row>
    <row r="826" spans="1:12" ht="34.5" customHeight="1" x14ac:dyDescent="0.25">
      <c r="A826" s="29" t="s">
        <v>272</v>
      </c>
      <c r="B826" s="460">
        <v>906</v>
      </c>
      <c r="C826" s="462" t="s">
        <v>264</v>
      </c>
      <c r="D826" s="462" t="s">
        <v>215</v>
      </c>
      <c r="E826" s="462" t="s">
        <v>936</v>
      </c>
      <c r="F826" s="468" t="s">
        <v>273</v>
      </c>
      <c r="G826" s="27">
        <f>G827</f>
        <v>296.3</v>
      </c>
      <c r="H826" s="518"/>
      <c r="I826" s="471"/>
      <c r="J826" s="499"/>
      <c r="K826" s="471"/>
      <c r="L826" s="204"/>
    </row>
    <row r="827" spans="1:12" ht="15.75" x14ac:dyDescent="0.25">
      <c r="A827" s="182" t="s">
        <v>274</v>
      </c>
      <c r="B827" s="460">
        <v>906</v>
      </c>
      <c r="C827" s="462" t="s">
        <v>264</v>
      </c>
      <c r="D827" s="462" t="s">
        <v>215</v>
      </c>
      <c r="E827" s="462" t="s">
        <v>936</v>
      </c>
      <c r="F827" s="468" t="s">
        <v>275</v>
      </c>
      <c r="G827" s="27">
        <f>291.1+5.2</f>
        <v>296.3</v>
      </c>
      <c r="H827" s="518"/>
      <c r="I827" s="471"/>
      <c r="J827" s="499"/>
      <c r="K827" s="471"/>
      <c r="L827" s="204"/>
    </row>
    <row r="828" spans="1:12" ht="21.2" customHeight="1" x14ac:dyDescent="0.25">
      <c r="A828" s="464" t="s">
        <v>466</v>
      </c>
      <c r="B828" s="461">
        <v>906</v>
      </c>
      <c r="C828" s="465" t="s">
        <v>264</v>
      </c>
      <c r="D828" s="465" t="s">
        <v>264</v>
      </c>
      <c r="E828" s="465"/>
      <c r="F828" s="465"/>
      <c r="G828" s="463">
        <f>G829</f>
        <v>6043.9000000000005</v>
      </c>
      <c r="H828" s="518"/>
      <c r="I828" s="471"/>
      <c r="J828" s="499"/>
      <c r="K828" s="471"/>
      <c r="L828" s="204"/>
    </row>
    <row r="829" spans="1:12" ht="31.5" x14ac:dyDescent="0.25">
      <c r="A829" s="464" t="s">
        <v>1369</v>
      </c>
      <c r="B829" s="461">
        <v>906</v>
      </c>
      <c r="C829" s="465" t="s">
        <v>264</v>
      </c>
      <c r="D829" s="465" t="s">
        <v>264</v>
      </c>
      <c r="E829" s="465" t="s">
        <v>406</v>
      </c>
      <c r="F829" s="465"/>
      <c r="G829" s="463">
        <f>G830</f>
        <v>6043.9000000000005</v>
      </c>
      <c r="H829" s="518"/>
      <c r="I829" s="471"/>
      <c r="J829" s="499"/>
      <c r="K829" s="471"/>
      <c r="L829" s="204"/>
    </row>
    <row r="830" spans="1:12" s="204" customFormat="1" ht="31.5" x14ac:dyDescent="0.25">
      <c r="A830" s="464" t="s">
        <v>943</v>
      </c>
      <c r="B830" s="461">
        <v>906</v>
      </c>
      <c r="C830" s="465" t="s">
        <v>264</v>
      </c>
      <c r="D830" s="465" t="s">
        <v>264</v>
      </c>
      <c r="E830" s="465" t="s">
        <v>1244</v>
      </c>
      <c r="F830" s="465"/>
      <c r="G830" s="463">
        <f>G831</f>
        <v>6043.9000000000005</v>
      </c>
      <c r="H830" s="518"/>
      <c r="I830" s="471"/>
      <c r="J830" s="499"/>
      <c r="K830" s="471"/>
    </row>
    <row r="831" spans="1:12" ht="31.5" x14ac:dyDescent="0.25">
      <c r="A831" s="31" t="s">
        <v>1062</v>
      </c>
      <c r="B831" s="460">
        <v>906</v>
      </c>
      <c r="C831" s="462" t="s">
        <v>264</v>
      </c>
      <c r="D831" s="462" t="s">
        <v>264</v>
      </c>
      <c r="E831" s="462" t="s">
        <v>1266</v>
      </c>
      <c r="F831" s="462"/>
      <c r="G831" s="467">
        <f t="shared" ref="G831:G832" si="2">G832</f>
        <v>6043.9000000000005</v>
      </c>
      <c r="H831" s="518"/>
      <c r="I831" s="471"/>
      <c r="J831" s="499"/>
      <c r="K831" s="471"/>
      <c r="L831" s="204"/>
    </row>
    <row r="832" spans="1:12" ht="36" customHeight="1" x14ac:dyDescent="0.25">
      <c r="A832" s="466" t="s">
        <v>272</v>
      </c>
      <c r="B832" s="460">
        <v>906</v>
      </c>
      <c r="C832" s="462" t="s">
        <v>264</v>
      </c>
      <c r="D832" s="462" t="s">
        <v>264</v>
      </c>
      <c r="E832" s="462" t="s">
        <v>1266</v>
      </c>
      <c r="F832" s="462" t="s">
        <v>273</v>
      </c>
      <c r="G832" s="467">
        <f t="shared" si="2"/>
        <v>6043.9000000000005</v>
      </c>
      <c r="H832" s="519"/>
      <c r="I832" s="162"/>
      <c r="J832" s="511"/>
      <c r="K832" s="471"/>
      <c r="L832" s="204"/>
    </row>
    <row r="833" spans="1:12" ht="15.75" x14ac:dyDescent="0.25">
      <c r="A833" s="466" t="s">
        <v>274</v>
      </c>
      <c r="B833" s="460">
        <v>906</v>
      </c>
      <c r="C833" s="462" t="s">
        <v>264</v>
      </c>
      <c r="D833" s="462" t="s">
        <v>264</v>
      </c>
      <c r="E833" s="462" t="s">
        <v>1266</v>
      </c>
      <c r="F833" s="462" t="s">
        <v>275</v>
      </c>
      <c r="G833" s="27">
        <f>3485+99-184+2161.1+404.7+63.47+8.35+22.38-16.1</f>
        <v>6043.9000000000005</v>
      </c>
      <c r="H833" s="518"/>
      <c r="I833" s="471"/>
      <c r="J833" s="499"/>
      <c r="K833" s="471"/>
      <c r="L833" s="204"/>
    </row>
    <row r="834" spans="1:12" ht="15.75" x14ac:dyDescent="0.25">
      <c r="A834" s="464" t="s">
        <v>295</v>
      </c>
      <c r="B834" s="461">
        <v>906</v>
      </c>
      <c r="C834" s="465" t="s">
        <v>264</v>
      </c>
      <c r="D834" s="465" t="s">
        <v>219</v>
      </c>
      <c r="E834" s="465"/>
      <c r="F834" s="465"/>
      <c r="G834" s="463">
        <f>G835+G848</f>
        <v>22740.641</v>
      </c>
      <c r="H834" s="518"/>
      <c r="I834" s="471"/>
      <c r="J834" s="499"/>
      <c r="K834" s="471"/>
      <c r="L834" s="204"/>
    </row>
    <row r="835" spans="1:12" ht="31.5" x14ac:dyDescent="0.25">
      <c r="A835" s="464" t="s">
        <v>917</v>
      </c>
      <c r="B835" s="461">
        <v>906</v>
      </c>
      <c r="C835" s="465" t="s">
        <v>264</v>
      </c>
      <c r="D835" s="465" t="s">
        <v>219</v>
      </c>
      <c r="E835" s="465" t="s">
        <v>858</v>
      </c>
      <c r="F835" s="465"/>
      <c r="G835" s="463">
        <f>G836</f>
        <v>6933.6795999999995</v>
      </c>
      <c r="H835" s="518"/>
      <c r="I835" s="471"/>
      <c r="J835" s="499"/>
      <c r="K835" s="471"/>
      <c r="L835" s="204"/>
    </row>
    <row r="836" spans="1:12" ht="15.75" x14ac:dyDescent="0.25">
      <c r="A836" s="464" t="s">
        <v>918</v>
      </c>
      <c r="B836" s="461">
        <v>906</v>
      </c>
      <c r="C836" s="465" t="s">
        <v>264</v>
      </c>
      <c r="D836" s="465" t="s">
        <v>219</v>
      </c>
      <c r="E836" s="465" t="s">
        <v>859</v>
      </c>
      <c r="F836" s="465"/>
      <c r="G836" s="463">
        <f>G837+G842+G845</f>
        <v>6933.6795999999995</v>
      </c>
      <c r="H836" s="518"/>
      <c r="I836" s="471"/>
      <c r="J836" s="499"/>
      <c r="K836" s="471"/>
      <c r="L836" s="204"/>
    </row>
    <row r="837" spans="1:12" ht="34.700000000000003" customHeight="1" x14ac:dyDescent="0.25">
      <c r="A837" s="466" t="s">
        <v>897</v>
      </c>
      <c r="B837" s="460">
        <v>906</v>
      </c>
      <c r="C837" s="462" t="s">
        <v>264</v>
      </c>
      <c r="D837" s="462" t="s">
        <v>219</v>
      </c>
      <c r="E837" s="462" t="s">
        <v>860</v>
      </c>
      <c r="F837" s="462"/>
      <c r="G837" s="467">
        <f>G838+G840</f>
        <v>6420.5999999999995</v>
      </c>
      <c r="H837" s="518"/>
      <c r="I837" s="471"/>
      <c r="J837" s="499"/>
      <c r="K837" s="471"/>
      <c r="L837" s="204"/>
    </row>
    <row r="838" spans="1:12" ht="72" customHeight="1" x14ac:dyDescent="0.25">
      <c r="A838" s="466" t="s">
        <v>127</v>
      </c>
      <c r="B838" s="460">
        <v>906</v>
      </c>
      <c r="C838" s="462" t="s">
        <v>264</v>
      </c>
      <c r="D838" s="462" t="s">
        <v>219</v>
      </c>
      <c r="E838" s="462" t="s">
        <v>860</v>
      </c>
      <c r="F838" s="462" t="s">
        <v>128</v>
      </c>
      <c r="G838" s="467">
        <f>G839</f>
        <v>6208.5999999999995</v>
      </c>
      <c r="H838" s="518"/>
      <c r="I838" s="471"/>
      <c r="J838" s="499"/>
      <c r="K838" s="471"/>
      <c r="L838" s="204"/>
    </row>
    <row r="839" spans="1:12" ht="31.5" x14ac:dyDescent="0.25">
      <c r="A839" s="466" t="s">
        <v>129</v>
      </c>
      <c r="B839" s="460">
        <v>906</v>
      </c>
      <c r="C839" s="462" t="s">
        <v>264</v>
      </c>
      <c r="D839" s="462" t="s">
        <v>219</v>
      </c>
      <c r="E839" s="462" t="s">
        <v>860</v>
      </c>
      <c r="F839" s="462" t="s">
        <v>130</v>
      </c>
      <c r="G839" s="27">
        <f>5710.7+354.9+143</f>
        <v>6208.5999999999995</v>
      </c>
      <c r="H839" s="518"/>
      <c r="I839" s="471"/>
      <c r="J839" s="499"/>
      <c r="K839" s="471"/>
      <c r="L839" s="204"/>
    </row>
    <row r="840" spans="1:12" ht="31.5" x14ac:dyDescent="0.25">
      <c r="A840" s="466" t="s">
        <v>131</v>
      </c>
      <c r="B840" s="460">
        <v>906</v>
      </c>
      <c r="C840" s="462" t="s">
        <v>264</v>
      </c>
      <c r="D840" s="462" t="s">
        <v>219</v>
      </c>
      <c r="E840" s="462" t="s">
        <v>860</v>
      </c>
      <c r="F840" s="462" t="s">
        <v>132</v>
      </c>
      <c r="G840" s="467">
        <f>G841</f>
        <v>212</v>
      </c>
      <c r="H840" s="518"/>
      <c r="I840" s="471"/>
      <c r="J840" s="499"/>
      <c r="K840" s="471"/>
      <c r="L840" s="204"/>
    </row>
    <row r="841" spans="1:12" ht="31.5" x14ac:dyDescent="0.25">
      <c r="A841" s="466" t="s">
        <v>133</v>
      </c>
      <c r="B841" s="460">
        <v>906</v>
      </c>
      <c r="C841" s="462" t="s">
        <v>264</v>
      </c>
      <c r="D841" s="462" t="s">
        <v>219</v>
      </c>
      <c r="E841" s="462" t="s">
        <v>860</v>
      </c>
      <c r="F841" s="462" t="s">
        <v>134</v>
      </c>
      <c r="G841" s="467">
        <v>212</v>
      </c>
      <c r="H841" s="518"/>
      <c r="I841" s="471"/>
      <c r="J841" s="499"/>
      <c r="K841" s="471"/>
      <c r="L841" s="204"/>
    </row>
    <row r="842" spans="1:12" s="204" customFormat="1" ht="31.5" x14ac:dyDescent="0.25">
      <c r="A842" s="466" t="s">
        <v>839</v>
      </c>
      <c r="B842" s="460">
        <v>906</v>
      </c>
      <c r="C842" s="462" t="s">
        <v>264</v>
      </c>
      <c r="D842" s="462" t="s">
        <v>219</v>
      </c>
      <c r="E842" s="462" t="s">
        <v>862</v>
      </c>
      <c r="F842" s="462"/>
      <c r="G842" s="467">
        <f>G843</f>
        <v>443.15</v>
      </c>
      <c r="H842" s="518"/>
      <c r="I842" s="471"/>
      <c r="J842" s="499"/>
      <c r="K842" s="471"/>
    </row>
    <row r="843" spans="1:12" s="204" customFormat="1" ht="63" x14ac:dyDescent="0.25">
      <c r="A843" s="466" t="s">
        <v>127</v>
      </c>
      <c r="B843" s="460">
        <v>906</v>
      </c>
      <c r="C843" s="462" t="s">
        <v>264</v>
      </c>
      <c r="D843" s="462" t="s">
        <v>219</v>
      </c>
      <c r="E843" s="462" t="s">
        <v>862</v>
      </c>
      <c r="F843" s="462" t="s">
        <v>128</v>
      </c>
      <c r="G843" s="467">
        <f>G844</f>
        <v>443.15</v>
      </c>
      <c r="H843" s="518"/>
      <c r="I843" s="471"/>
      <c r="J843" s="499"/>
      <c r="K843" s="471"/>
    </row>
    <row r="844" spans="1:12" s="204" customFormat="1" ht="31.5" x14ac:dyDescent="0.25">
      <c r="A844" s="466" t="s">
        <v>129</v>
      </c>
      <c r="B844" s="460">
        <v>906</v>
      </c>
      <c r="C844" s="462" t="s">
        <v>264</v>
      </c>
      <c r="D844" s="462" t="s">
        <v>219</v>
      </c>
      <c r="E844" s="462" t="s">
        <v>862</v>
      </c>
      <c r="F844" s="462" t="s">
        <v>130</v>
      </c>
      <c r="G844" s="467">
        <f>126+317.15</f>
        <v>443.15</v>
      </c>
      <c r="H844" s="518"/>
      <c r="I844" s="471"/>
      <c r="J844" s="499"/>
      <c r="K844" s="471"/>
    </row>
    <row r="845" spans="1:12" s="204" customFormat="1" ht="31.5" x14ac:dyDescent="0.25">
      <c r="A845" s="466" t="s">
        <v>1793</v>
      </c>
      <c r="B845" s="460">
        <v>906</v>
      </c>
      <c r="C845" s="462" t="s">
        <v>264</v>
      </c>
      <c r="D845" s="462" t="s">
        <v>219</v>
      </c>
      <c r="E845" s="462" t="s">
        <v>1794</v>
      </c>
      <c r="F845" s="462"/>
      <c r="G845" s="467">
        <f>G846</f>
        <v>69.929599999999994</v>
      </c>
      <c r="H845" s="518"/>
      <c r="I845" s="471"/>
      <c r="J845" s="499"/>
      <c r="K845" s="471"/>
    </row>
    <row r="846" spans="1:12" s="204" customFormat="1" ht="63" x14ac:dyDescent="0.25">
      <c r="A846" s="466" t="s">
        <v>127</v>
      </c>
      <c r="B846" s="460">
        <v>906</v>
      </c>
      <c r="C846" s="462" t="s">
        <v>264</v>
      </c>
      <c r="D846" s="462" t="s">
        <v>219</v>
      </c>
      <c r="E846" s="462" t="s">
        <v>1794</v>
      </c>
      <c r="F846" s="462" t="s">
        <v>128</v>
      </c>
      <c r="G846" s="467">
        <f>G847</f>
        <v>69.929599999999994</v>
      </c>
      <c r="H846" s="518"/>
      <c r="I846" s="471"/>
      <c r="J846" s="499"/>
      <c r="K846" s="471"/>
    </row>
    <row r="847" spans="1:12" s="204" customFormat="1" ht="31.5" x14ac:dyDescent="0.25">
      <c r="A847" s="466" t="s">
        <v>129</v>
      </c>
      <c r="B847" s="460">
        <v>906</v>
      </c>
      <c r="C847" s="462" t="s">
        <v>264</v>
      </c>
      <c r="D847" s="462" t="s">
        <v>219</v>
      </c>
      <c r="E847" s="462" t="s">
        <v>1794</v>
      </c>
      <c r="F847" s="462" t="s">
        <v>130</v>
      </c>
      <c r="G847" s="467">
        <v>69.929599999999994</v>
      </c>
      <c r="H847" s="518"/>
      <c r="I847" s="471"/>
      <c r="J847" s="499"/>
      <c r="K847" s="471"/>
    </row>
    <row r="848" spans="1:12" ht="15.75" x14ac:dyDescent="0.25">
      <c r="A848" s="464" t="s">
        <v>141</v>
      </c>
      <c r="B848" s="461">
        <v>906</v>
      </c>
      <c r="C848" s="465" t="s">
        <v>264</v>
      </c>
      <c r="D848" s="465" t="s">
        <v>219</v>
      </c>
      <c r="E848" s="465" t="s">
        <v>866</v>
      </c>
      <c r="F848" s="465"/>
      <c r="G848" s="463">
        <f>G849+G855</f>
        <v>15806.9614</v>
      </c>
      <c r="H848" s="518"/>
      <c r="I848" s="471"/>
      <c r="J848" s="499"/>
      <c r="K848" s="471"/>
      <c r="L848" s="204"/>
    </row>
    <row r="849" spans="1:12" s="204" customFormat="1" ht="31.5" x14ac:dyDescent="0.25">
      <c r="A849" s="464" t="s">
        <v>870</v>
      </c>
      <c r="B849" s="461">
        <v>906</v>
      </c>
      <c r="C849" s="465" t="s">
        <v>264</v>
      </c>
      <c r="D849" s="465" t="s">
        <v>219</v>
      </c>
      <c r="E849" s="465" t="s">
        <v>865</v>
      </c>
      <c r="F849" s="465"/>
      <c r="G849" s="463">
        <f>G850</f>
        <v>455.5</v>
      </c>
      <c r="H849" s="518"/>
      <c r="I849" s="471"/>
      <c r="J849" s="499"/>
      <c r="K849" s="471"/>
    </row>
    <row r="850" spans="1:12" ht="15.75" x14ac:dyDescent="0.25">
      <c r="A850" s="466" t="s">
        <v>478</v>
      </c>
      <c r="B850" s="460">
        <v>906</v>
      </c>
      <c r="C850" s="462" t="s">
        <v>264</v>
      </c>
      <c r="D850" s="462" t="s">
        <v>219</v>
      </c>
      <c r="E850" s="462" t="s">
        <v>944</v>
      </c>
      <c r="F850" s="462"/>
      <c r="G850" s="467">
        <f>G851+G853</f>
        <v>455.5</v>
      </c>
      <c r="H850" s="518"/>
      <c r="I850" s="471"/>
      <c r="J850" s="499"/>
      <c r="K850" s="471"/>
      <c r="L850" s="204"/>
    </row>
    <row r="851" spans="1:12" s="204" customFormat="1" ht="63" x14ac:dyDescent="0.25">
      <c r="A851" s="466" t="s">
        <v>127</v>
      </c>
      <c r="B851" s="460">
        <v>906</v>
      </c>
      <c r="C851" s="462" t="s">
        <v>264</v>
      </c>
      <c r="D851" s="462" t="s">
        <v>219</v>
      </c>
      <c r="E851" s="462" t="s">
        <v>944</v>
      </c>
      <c r="F851" s="462" t="s">
        <v>128</v>
      </c>
      <c r="G851" s="467">
        <f>G852</f>
        <v>66.509999999999991</v>
      </c>
      <c r="H851" s="518"/>
      <c r="I851" s="471"/>
      <c r="J851" s="499"/>
      <c r="K851" s="471"/>
    </row>
    <row r="852" spans="1:12" s="204" customFormat="1" ht="15.75" x14ac:dyDescent="0.25">
      <c r="A852" s="466" t="s">
        <v>342</v>
      </c>
      <c r="B852" s="460">
        <v>906</v>
      </c>
      <c r="C852" s="462" t="s">
        <v>264</v>
      </c>
      <c r="D852" s="462" t="s">
        <v>219</v>
      </c>
      <c r="E852" s="462" t="s">
        <v>944</v>
      </c>
      <c r="F852" s="462" t="s">
        <v>209</v>
      </c>
      <c r="G852" s="467">
        <f>573-506.49</f>
        <v>66.509999999999991</v>
      </c>
      <c r="H852" s="519"/>
      <c r="I852" s="472"/>
      <c r="J852" s="499"/>
      <c r="K852" s="471"/>
    </row>
    <row r="853" spans="1:12" ht="31.5" x14ac:dyDescent="0.25">
      <c r="A853" s="466" t="s">
        <v>131</v>
      </c>
      <c r="B853" s="460">
        <v>906</v>
      </c>
      <c r="C853" s="462" t="s">
        <v>264</v>
      </c>
      <c r="D853" s="462" t="s">
        <v>219</v>
      </c>
      <c r="E853" s="462" t="s">
        <v>944</v>
      </c>
      <c r="F853" s="462" t="s">
        <v>132</v>
      </c>
      <c r="G853" s="467">
        <f>G854</f>
        <v>388.99</v>
      </c>
      <c r="H853" s="518"/>
      <c r="I853" s="471"/>
      <c r="J853" s="499"/>
      <c r="K853" s="471"/>
      <c r="L853" s="204"/>
    </row>
    <row r="854" spans="1:12" ht="31.5" x14ac:dyDescent="0.25">
      <c r="A854" s="466" t="s">
        <v>133</v>
      </c>
      <c r="B854" s="460">
        <v>906</v>
      </c>
      <c r="C854" s="462" t="s">
        <v>264</v>
      </c>
      <c r="D854" s="462" t="s">
        <v>219</v>
      </c>
      <c r="E854" s="462" t="s">
        <v>944</v>
      </c>
      <c r="F854" s="462" t="s">
        <v>134</v>
      </c>
      <c r="G854" s="467">
        <f>600-300+506.49-417.5</f>
        <v>388.99</v>
      </c>
      <c r="H854" s="519"/>
      <c r="I854" s="471"/>
      <c r="J854" s="499"/>
      <c r="K854" s="471"/>
      <c r="L854" s="204"/>
    </row>
    <row r="855" spans="1:12" s="204" customFormat="1" ht="31.5" x14ac:dyDescent="0.25">
      <c r="A855" s="464" t="s">
        <v>929</v>
      </c>
      <c r="B855" s="461">
        <v>906</v>
      </c>
      <c r="C855" s="465" t="s">
        <v>264</v>
      </c>
      <c r="D855" s="465" t="s">
        <v>219</v>
      </c>
      <c r="E855" s="465" t="s">
        <v>914</v>
      </c>
      <c r="F855" s="465"/>
      <c r="G855" s="463">
        <f>G856+G863+G866</f>
        <v>15351.4614</v>
      </c>
      <c r="H855" s="518"/>
      <c r="I855" s="471"/>
      <c r="J855" s="499"/>
      <c r="K855" s="471"/>
    </row>
    <row r="856" spans="1:12" ht="31.5" x14ac:dyDescent="0.25">
      <c r="A856" s="466" t="s">
        <v>1087</v>
      </c>
      <c r="B856" s="460">
        <v>906</v>
      </c>
      <c r="C856" s="462" t="s">
        <v>264</v>
      </c>
      <c r="D856" s="462" t="s">
        <v>219</v>
      </c>
      <c r="E856" s="462" t="s">
        <v>915</v>
      </c>
      <c r="F856" s="462"/>
      <c r="G856" s="467">
        <f>G857+G859+G861</f>
        <v>14720.65</v>
      </c>
      <c r="H856" s="518"/>
      <c r="I856" s="471"/>
      <c r="J856" s="499"/>
      <c r="K856" s="471"/>
      <c r="L856" s="204"/>
    </row>
    <row r="857" spans="1:12" ht="61.5" customHeight="1" x14ac:dyDescent="0.25">
      <c r="A857" s="466" t="s">
        <v>127</v>
      </c>
      <c r="B857" s="460">
        <v>906</v>
      </c>
      <c r="C857" s="462" t="s">
        <v>264</v>
      </c>
      <c r="D857" s="462" t="s">
        <v>219</v>
      </c>
      <c r="E857" s="462" t="s">
        <v>915</v>
      </c>
      <c r="F857" s="462" t="s">
        <v>128</v>
      </c>
      <c r="G857" s="467">
        <f>G858</f>
        <v>13257.17</v>
      </c>
      <c r="H857" s="518"/>
      <c r="I857" s="471"/>
      <c r="J857" s="499"/>
      <c r="K857" s="471"/>
      <c r="L857" s="204"/>
    </row>
    <row r="858" spans="1:12" ht="15.75" x14ac:dyDescent="0.25">
      <c r="A858" s="466" t="s">
        <v>342</v>
      </c>
      <c r="B858" s="460">
        <v>906</v>
      </c>
      <c r="C858" s="462" t="s">
        <v>264</v>
      </c>
      <c r="D858" s="462" t="s">
        <v>219</v>
      </c>
      <c r="E858" s="462" t="s">
        <v>915</v>
      </c>
      <c r="F858" s="462" t="s">
        <v>209</v>
      </c>
      <c r="G858" s="27">
        <f>11885.1+12+22+6.25-12.48+965+379.3</f>
        <v>13257.17</v>
      </c>
      <c r="H858" s="519"/>
      <c r="I858" s="471"/>
      <c r="J858" s="499"/>
      <c r="K858" s="471"/>
      <c r="L858" s="204"/>
    </row>
    <row r="859" spans="1:12" ht="31.5" x14ac:dyDescent="0.25">
      <c r="A859" s="466" t="s">
        <v>131</v>
      </c>
      <c r="B859" s="460">
        <v>906</v>
      </c>
      <c r="C859" s="462" t="s">
        <v>264</v>
      </c>
      <c r="D859" s="462" t="s">
        <v>219</v>
      </c>
      <c r="E859" s="462" t="s">
        <v>915</v>
      </c>
      <c r="F859" s="462" t="s">
        <v>132</v>
      </c>
      <c r="G859" s="467">
        <f>G860</f>
        <v>1448.48</v>
      </c>
      <c r="H859" s="518"/>
      <c r="I859" s="471"/>
      <c r="J859" s="499"/>
      <c r="K859" s="471"/>
      <c r="L859" s="204"/>
    </row>
    <row r="860" spans="1:12" ht="33" customHeight="1" x14ac:dyDescent="0.25">
      <c r="A860" s="466" t="s">
        <v>133</v>
      </c>
      <c r="B860" s="460">
        <v>906</v>
      </c>
      <c r="C860" s="462" t="s">
        <v>264</v>
      </c>
      <c r="D860" s="462" t="s">
        <v>219</v>
      </c>
      <c r="E860" s="462" t="s">
        <v>915</v>
      </c>
      <c r="F860" s="462" t="s">
        <v>134</v>
      </c>
      <c r="G860" s="467">
        <f>1077+43+50+12.48+128+38+100</f>
        <v>1448.48</v>
      </c>
      <c r="H860" s="519"/>
      <c r="I860" s="471"/>
      <c r="J860" s="499"/>
      <c r="K860" s="471"/>
      <c r="L860" s="204"/>
    </row>
    <row r="861" spans="1:12" ht="15.75" x14ac:dyDescent="0.25">
      <c r="A861" s="466" t="s">
        <v>135</v>
      </c>
      <c r="B861" s="460">
        <v>906</v>
      </c>
      <c r="C861" s="462" t="s">
        <v>264</v>
      </c>
      <c r="D861" s="462" t="s">
        <v>219</v>
      </c>
      <c r="E861" s="462" t="s">
        <v>915</v>
      </c>
      <c r="F861" s="462" t="s">
        <v>145</v>
      </c>
      <c r="G861" s="467">
        <f>G862</f>
        <v>15</v>
      </c>
      <c r="H861" s="518"/>
      <c r="I861" s="471"/>
      <c r="J861" s="499"/>
      <c r="K861" s="471"/>
      <c r="L861" s="204"/>
    </row>
    <row r="862" spans="1:12" ht="15.75" x14ac:dyDescent="0.25">
      <c r="A862" s="466" t="s">
        <v>568</v>
      </c>
      <c r="B862" s="460">
        <v>906</v>
      </c>
      <c r="C862" s="462" t="s">
        <v>264</v>
      </c>
      <c r="D862" s="462" t="s">
        <v>219</v>
      </c>
      <c r="E862" s="462" t="s">
        <v>915</v>
      </c>
      <c r="F862" s="462" t="s">
        <v>138</v>
      </c>
      <c r="G862" s="467">
        <f>15.4-0.4</f>
        <v>15</v>
      </c>
      <c r="H862" s="518"/>
      <c r="I862" s="471"/>
      <c r="J862" s="499"/>
      <c r="K862" s="471"/>
      <c r="L862" s="204"/>
    </row>
    <row r="863" spans="1:12" s="204" customFormat="1" ht="31.5" x14ac:dyDescent="0.25">
      <c r="A863" s="466" t="s">
        <v>839</v>
      </c>
      <c r="B863" s="460">
        <v>906</v>
      </c>
      <c r="C863" s="462" t="s">
        <v>264</v>
      </c>
      <c r="D863" s="462" t="s">
        <v>219</v>
      </c>
      <c r="E863" s="462" t="s">
        <v>916</v>
      </c>
      <c r="F863" s="462"/>
      <c r="G863" s="467">
        <f>G864</f>
        <v>372.75</v>
      </c>
      <c r="H863" s="518"/>
      <c r="I863" s="471"/>
      <c r="J863" s="499"/>
      <c r="K863" s="471"/>
    </row>
    <row r="864" spans="1:12" s="204" customFormat="1" ht="63" x14ac:dyDescent="0.25">
      <c r="A864" s="466" t="s">
        <v>127</v>
      </c>
      <c r="B864" s="460">
        <v>906</v>
      </c>
      <c r="C864" s="462" t="s">
        <v>264</v>
      </c>
      <c r="D864" s="462" t="s">
        <v>219</v>
      </c>
      <c r="E864" s="462" t="s">
        <v>916</v>
      </c>
      <c r="F864" s="462" t="s">
        <v>128</v>
      </c>
      <c r="G864" s="467">
        <f>G865</f>
        <v>372.75</v>
      </c>
      <c r="H864" s="518"/>
      <c r="I864" s="471"/>
      <c r="J864" s="499"/>
      <c r="K864" s="471"/>
    </row>
    <row r="865" spans="1:12" s="204" customFormat="1" ht="15.75" x14ac:dyDescent="0.25">
      <c r="A865" s="466" t="s">
        <v>342</v>
      </c>
      <c r="B865" s="460">
        <v>906</v>
      </c>
      <c r="C865" s="462" t="s">
        <v>264</v>
      </c>
      <c r="D865" s="462" t="s">
        <v>219</v>
      </c>
      <c r="E865" s="462" t="s">
        <v>916</v>
      </c>
      <c r="F865" s="462" t="s">
        <v>209</v>
      </c>
      <c r="G865" s="467">
        <f>506-12-43-22-6.25-50</f>
        <v>372.75</v>
      </c>
      <c r="H865" s="519"/>
      <c r="I865" s="471"/>
      <c r="J865" s="499"/>
      <c r="K865" s="471"/>
    </row>
    <row r="866" spans="1:12" s="204" customFormat="1" ht="31.5" x14ac:dyDescent="0.25">
      <c r="A866" s="466" t="s">
        <v>1793</v>
      </c>
      <c r="B866" s="460">
        <v>906</v>
      </c>
      <c r="C866" s="462" t="s">
        <v>264</v>
      </c>
      <c r="D866" s="462" t="s">
        <v>219</v>
      </c>
      <c r="E866" s="462" t="s">
        <v>1797</v>
      </c>
      <c r="F866" s="462"/>
      <c r="G866" s="467">
        <f>G867</f>
        <v>258.06139999999999</v>
      </c>
      <c r="H866" s="521"/>
      <c r="I866" s="471"/>
      <c r="J866" s="499"/>
      <c r="K866" s="471"/>
    </row>
    <row r="867" spans="1:12" s="204" customFormat="1" ht="63" x14ac:dyDescent="0.25">
      <c r="A867" s="466" t="s">
        <v>127</v>
      </c>
      <c r="B867" s="460">
        <v>906</v>
      </c>
      <c r="C867" s="462" t="s">
        <v>264</v>
      </c>
      <c r="D867" s="462" t="s">
        <v>219</v>
      </c>
      <c r="E867" s="462" t="s">
        <v>1797</v>
      </c>
      <c r="F867" s="462" t="s">
        <v>128</v>
      </c>
      <c r="G867" s="467">
        <f>G868</f>
        <v>258.06139999999999</v>
      </c>
      <c r="H867" s="521"/>
      <c r="I867" s="471"/>
      <c r="J867" s="499"/>
      <c r="K867" s="471"/>
    </row>
    <row r="868" spans="1:12" s="204" customFormat="1" ht="15.75" x14ac:dyDescent="0.25">
      <c r="A868" s="466" t="s">
        <v>342</v>
      </c>
      <c r="B868" s="460">
        <v>906</v>
      </c>
      <c r="C868" s="462" t="s">
        <v>264</v>
      </c>
      <c r="D868" s="462" t="s">
        <v>219</v>
      </c>
      <c r="E868" s="462" t="s">
        <v>1797</v>
      </c>
      <c r="F868" s="462" t="s">
        <v>209</v>
      </c>
      <c r="G868" s="467">
        <v>258.06139999999999</v>
      </c>
      <c r="H868" s="521"/>
      <c r="I868" s="471"/>
      <c r="J868" s="499"/>
      <c r="K868" s="471"/>
    </row>
    <row r="869" spans="1:12" ht="36.75" customHeight="1" x14ac:dyDescent="0.25">
      <c r="A869" s="461" t="s">
        <v>480</v>
      </c>
      <c r="B869" s="461">
        <v>907</v>
      </c>
      <c r="C869" s="462"/>
      <c r="D869" s="462"/>
      <c r="E869" s="462"/>
      <c r="F869" s="462"/>
      <c r="G869" s="463">
        <f>G877+G870</f>
        <v>70582.803799999994</v>
      </c>
      <c r="H869" s="518"/>
      <c r="I869" s="113"/>
      <c r="J869" s="499"/>
      <c r="K869" s="471"/>
      <c r="L869" s="204"/>
    </row>
    <row r="870" spans="1:12" s="204" customFormat="1" ht="18.75" hidden="1" customHeight="1" x14ac:dyDescent="0.25">
      <c r="A870" s="464" t="s">
        <v>117</v>
      </c>
      <c r="B870" s="461">
        <v>907</v>
      </c>
      <c r="C870" s="465" t="s">
        <v>118</v>
      </c>
      <c r="D870" s="465"/>
      <c r="E870" s="465"/>
      <c r="F870" s="465"/>
      <c r="G870" s="463">
        <f t="shared" ref="G870:G871" si="3">G871</f>
        <v>0</v>
      </c>
      <c r="H870" s="518"/>
      <c r="I870" s="471"/>
      <c r="J870" s="499"/>
      <c r="K870" s="471"/>
    </row>
    <row r="871" spans="1:12" s="204" customFormat="1" ht="21.75" hidden="1" customHeight="1" x14ac:dyDescent="0.25">
      <c r="A871" s="34" t="s">
        <v>139</v>
      </c>
      <c r="B871" s="461">
        <v>907</v>
      </c>
      <c r="C871" s="465" t="s">
        <v>118</v>
      </c>
      <c r="D871" s="465" t="s">
        <v>140</v>
      </c>
      <c r="E871" s="465"/>
      <c r="F871" s="465"/>
      <c r="G871" s="463">
        <f t="shared" si="3"/>
        <v>0</v>
      </c>
      <c r="H871" s="518"/>
      <c r="I871" s="471"/>
      <c r="J871" s="499"/>
      <c r="K871" s="471"/>
    </row>
    <row r="872" spans="1:12" s="204" customFormat="1" ht="36.75" hidden="1" customHeight="1" x14ac:dyDescent="0.25">
      <c r="A872" s="464" t="s">
        <v>1370</v>
      </c>
      <c r="B872" s="461">
        <v>907</v>
      </c>
      <c r="C872" s="465" t="s">
        <v>118</v>
      </c>
      <c r="D872" s="465" t="s">
        <v>140</v>
      </c>
      <c r="E872" s="465" t="s">
        <v>335</v>
      </c>
      <c r="F872" s="465"/>
      <c r="G872" s="463">
        <f>G873</f>
        <v>0</v>
      </c>
      <c r="H872" s="518"/>
      <c r="I872" s="471"/>
      <c r="J872" s="499"/>
      <c r="K872" s="471"/>
    </row>
    <row r="873" spans="1:12" s="204" customFormat="1" ht="36.75" hidden="1" customHeight="1" x14ac:dyDescent="0.25">
      <c r="A873" s="212" t="s">
        <v>1052</v>
      </c>
      <c r="B873" s="461">
        <v>907</v>
      </c>
      <c r="C873" s="465" t="s">
        <v>118</v>
      </c>
      <c r="D873" s="465" t="s">
        <v>140</v>
      </c>
      <c r="E873" s="465" t="s">
        <v>1053</v>
      </c>
      <c r="F873" s="465"/>
      <c r="G873" s="463">
        <f>G874</f>
        <v>0</v>
      </c>
      <c r="H873" s="518"/>
      <c r="I873" s="471"/>
      <c r="J873" s="499"/>
      <c r="K873" s="471"/>
    </row>
    <row r="874" spans="1:12" s="204" customFormat="1" ht="29.85" hidden="1" customHeight="1" x14ac:dyDescent="0.25">
      <c r="A874" s="97" t="s">
        <v>336</v>
      </c>
      <c r="B874" s="460">
        <v>907</v>
      </c>
      <c r="C874" s="462" t="s">
        <v>118</v>
      </c>
      <c r="D874" s="462" t="s">
        <v>140</v>
      </c>
      <c r="E874" s="462" t="s">
        <v>1054</v>
      </c>
      <c r="F874" s="462"/>
      <c r="G874" s="467">
        <f>G875</f>
        <v>0</v>
      </c>
      <c r="H874" s="518"/>
      <c r="I874" s="471"/>
      <c r="J874" s="499"/>
      <c r="K874" s="471"/>
    </row>
    <row r="875" spans="1:12" s="204" customFormat="1" ht="29.85" hidden="1" customHeight="1" x14ac:dyDescent="0.25">
      <c r="A875" s="466" t="s">
        <v>131</v>
      </c>
      <c r="B875" s="460">
        <v>907</v>
      </c>
      <c r="C875" s="462" t="s">
        <v>118</v>
      </c>
      <c r="D875" s="462" t="s">
        <v>140</v>
      </c>
      <c r="E875" s="462" t="s">
        <v>1054</v>
      </c>
      <c r="F875" s="462" t="s">
        <v>132</v>
      </c>
      <c r="G875" s="467">
        <f>G876</f>
        <v>0</v>
      </c>
      <c r="H875" s="518"/>
      <c r="I875" s="471"/>
      <c r="J875" s="499"/>
      <c r="K875" s="471"/>
    </row>
    <row r="876" spans="1:12" s="204" customFormat="1" ht="36.75" hidden="1" customHeight="1" x14ac:dyDescent="0.25">
      <c r="A876" s="466" t="s">
        <v>133</v>
      </c>
      <c r="B876" s="460">
        <v>907</v>
      </c>
      <c r="C876" s="462" t="s">
        <v>118</v>
      </c>
      <c r="D876" s="462" t="s">
        <v>140</v>
      </c>
      <c r="E876" s="462" t="s">
        <v>1054</v>
      </c>
      <c r="F876" s="462" t="s">
        <v>134</v>
      </c>
      <c r="G876" s="467">
        <v>0</v>
      </c>
      <c r="H876" s="518"/>
      <c r="I876" s="471"/>
      <c r="J876" s="499"/>
      <c r="K876" s="471"/>
    </row>
    <row r="877" spans="1:12" ht="15.75" x14ac:dyDescent="0.25">
      <c r="A877" s="464" t="s">
        <v>490</v>
      </c>
      <c r="B877" s="461">
        <v>907</v>
      </c>
      <c r="C877" s="465" t="s">
        <v>491</v>
      </c>
      <c r="D877" s="462"/>
      <c r="E877" s="462"/>
      <c r="F877" s="462"/>
      <c r="G877" s="463">
        <f>G878+G924</f>
        <v>70582.803799999994</v>
      </c>
      <c r="H877" s="518"/>
      <c r="I877" s="471"/>
      <c r="J877" s="499"/>
      <c r="K877" s="471"/>
      <c r="L877" s="204"/>
    </row>
    <row r="878" spans="1:12" ht="15.75" x14ac:dyDescent="0.25">
      <c r="A878" s="464" t="s">
        <v>492</v>
      </c>
      <c r="B878" s="461">
        <v>907</v>
      </c>
      <c r="C878" s="465" t="s">
        <v>491</v>
      </c>
      <c r="D878" s="465" t="s">
        <v>118</v>
      </c>
      <c r="E878" s="462"/>
      <c r="F878" s="462"/>
      <c r="G878" s="463">
        <f>G879+G919</f>
        <v>56758.36</v>
      </c>
      <c r="H878" s="518"/>
      <c r="I878" s="471"/>
      <c r="J878" s="499"/>
      <c r="K878" s="471"/>
      <c r="L878" s="204"/>
    </row>
    <row r="879" spans="1:12" ht="31.5" x14ac:dyDescent="0.25">
      <c r="A879" s="464" t="s">
        <v>1371</v>
      </c>
      <c r="B879" s="461">
        <v>907</v>
      </c>
      <c r="C879" s="465" t="s">
        <v>491</v>
      </c>
      <c r="D879" s="465" t="s">
        <v>118</v>
      </c>
      <c r="E879" s="465" t="s">
        <v>482</v>
      </c>
      <c r="F879" s="465"/>
      <c r="G879" s="463">
        <f>G880+G887+G900+G907+G915+G911</f>
        <v>56216.06</v>
      </c>
      <c r="H879" s="518"/>
      <c r="I879" s="471"/>
      <c r="J879" s="499"/>
      <c r="K879" s="471"/>
      <c r="L879" s="204"/>
    </row>
    <row r="880" spans="1:12" ht="31.5" x14ac:dyDescent="0.25">
      <c r="A880" s="464" t="s">
        <v>937</v>
      </c>
      <c r="B880" s="461">
        <v>907</v>
      </c>
      <c r="C880" s="465" t="s">
        <v>491</v>
      </c>
      <c r="D880" s="465" t="s">
        <v>118</v>
      </c>
      <c r="E880" s="465" t="s">
        <v>1268</v>
      </c>
      <c r="F880" s="465"/>
      <c r="G880" s="463">
        <f>G881+G884</f>
        <v>47847.829999999994</v>
      </c>
      <c r="H880" s="518"/>
      <c r="I880" s="471"/>
      <c r="J880" s="499"/>
      <c r="K880" s="471"/>
      <c r="L880" s="204"/>
    </row>
    <row r="881" spans="1:12" ht="31.5" x14ac:dyDescent="0.25">
      <c r="A881" s="466" t="s">
        <v>495</v>
      </c>
      <c r="B881" s="460">
        <v>907</v>
      </c>
      <c r="C881" s="462" t="s">
        <v>491</v>
      </c>
      <c r="D881" s="462" t="s">
        <v>118</v>
      </c>
      <c r="E881" s="462" t="s">
        <v>1269</v>
      </c>
      <c r="F881" s="462"/>
      <c r="G881" s="467">
        <f>G882</f>
        <v>46925.63</v>
      </c>
      <c r="H881" s="518"/>
      <c r="I881" s="471"/>
      <c r="J881" s="499"/>
      <c r="K881" s="471"/>
      <c r="L881" s="204"/>
    </row>
    <row r="882" spans="1:12" ht="36" customHeight="1" x14ac:dyDescent="0.25">
      <c r="A882" s="466" t="s">
        <v>272</v>
      </c>
      <c r="B882" s="460">
        <v>907</v>
      </c>
      <c r="C882" s="462" t="s">
        <v>491</v>
      </c>
      <c r="D882" s="462" t="s">
        <v>118</v>
      </c>
      <c r="E882" s="462" t="s">
        <v>1269</v>
      </c>
      <c r="F882" s="462" t="s">
        <v>273</v>
      </c>
      <c r="G882" s="467">
        <f>G883</f>
        <v>46925.63</v>
      </c>
      <c r="H882" s="518"/>
      <c r="I882" s="471"/>
      <c r="J882" s="499"/>
      <c r="K882" s="471"/>
      <c r="L882" s="204"/>
    </row>
    <row r="883" spans="1:12" ht="15.75" x14ac:dyDescent="0.25">
      <c r="A883" s="466" t="s">
        <v>274</v>
      </c>
      <c r="B883" s="460">
        <v>907</v>
      </c>
      <c r="C883" s="462" t="s">
        <v>491</v>
      </c>
      <c r="D883" s="462" t="s">
        <v>118</v>
      </c>
      <c r="E883" s="462" t="s">
        <v>1269</v>
      </c>
      <c r="F883" s="462" t="s">
        <v>275</v>
      </c>
      <c r="G883" s="27">
        <f>47819.6+367.1+218.3-205.9-1000+500+1000+205.9+65.1+141.43-2860+102.7+458.9+112.5</f>
        <v>46925.63</v>
      </c>
      <c r="H883" s="519"/>
      <c r="I883" s="471"/>
      <c r="J883" s="499"/>
      <c r="K883" s="471"/>
      <c r="L883" s="204"/>
    </row>
    <row r="884" spans="1:12" s="204" customFormat="1" ht="47.25" x14ac:dyDescent="0.25">
      <c r="A884" s="466" t="s">
        <v>1776</v>
      </c>
      <c r="B884" s="460">
        <v>907</v>
      </c>
      <c r="C884" s="462" t="s">
        <v>491</v>
      </c>
      <c r="D884" s="462" t="s">
        <v>118</v>
      </c>
      <c r="E884" s="462" t="s">
        <v>1781</v>
      </c>
      <c r="F884" s="462"/>
      <c r="G884" s="27">
        <f>G885</f>
        <v>922.2</v>
      </c>
      <c r="H884" s="521"/>
      <c r="I884" s="471"/>
      <c r="J884" s="499"/>
      <c r="K884" s="471"/>
    </row>
    <row r="885" spans="1:12" s="204" customFormat="1" ht="31.5" x14ac:dyDescent="0.25">
      <c r="A885" s="466" t="s">
        <v>272</v>
      </c>
      <c r="B885" s="460">
        <v>907</v>
      </c>
      <c r="C885" s="462" t="s">
        <v>491</v>
      </c>
      <c r="D885" s="462" t="s">
        <v>118</v>
      </c>
      <c r="E885" s="462" t="s">
        <v>1781</v>
      </c>
      <c r="F885" s="462" t="s">
        <v>273</v>
      </c>
      <c r="G885" s="27">
        <f>G886</f>
        <v>922.2</v>
      </c>
      <c r="H885" s="521"/>
      <c r="I885" s="471"/>
      <c r="J885" s="499"/>
      <c r="K885" s="471"/>
    </row>
    <row r="886" spans="1:12" s="204" customFormat="1" ht="15.75" x14ac:dyDescent="0.25">
      <c r="A886" s="466" t="s">
        <v>274</v>
      </c>
      <c r="B886" s="460">
        <v>907</v>
      </c>
      <c r="C886" s="462" t="s">
        <v>491</v>
      </c>
      <c r="D886" s="462" t="s">
        <v>118</v>
      </c>
      <c r="E886" s="462" t="s">
        <v>1781</v>
      </c>
      <c r="F886" s="462" t="s">
        <v>275</v>
      </c>
      <c r="G886" s="27">
        <v>922.2</v>
      </c>
      <c r="H886" s="521"/>
      <c r="I886" s="471"/>
      <c r="J886" s="499"/>
      <c r="K886" s="471"/>
    </row>
    <row r="887" spans="1:12" s="204" customFormat="1" ht="15.75" x14ac:dyDescent="0.25">
      <c r="A887" s="464" t="s">
        <v>945</v>
      </c>
      <c r="B887" s="461">
        <v>907</v>
      </c>
      <c r="C887" s="465" t="s">
        <v>491</v>
      </c>
      <c r="D887" s="465" t="s">
        <v>118</v>
      </c>
      <c r="E887" s="465" t="s">
        <v>1270</v>
      </c>
      <c r="F887" s="465"/>
      <c r="G887" s="44">
        <f>G888+G891+G894+G897</f>
        <v>1211.5</v>
      </c>
      <c r="H887" s="518"/>
      <c r="I887" s="471"/>
      <c r="J887" s="499"/>
      <c r="K887" s="471"/>
    </row>
    <row r="888" spans="1:12" ht="31.7" customHeight="1" x14ac:dyDescent="0.25">
      <c r="A888" s="466" t="s">
        <v>278</v>
      </c>
      <c r="B888" s="460">
        <v>907</v>
      </c>
      <c r="C888" s="462" t="s">
        <v>491</v>
      </c>
      <c r="D888" s="462" t="s">
        <v>118</v>
      </c>
      <c r="E888" s="462" t="s">
        <v>1330</v>
      </c>
      <c r="F888" s="462"/>
      <c r="G888" s="467">
        <f>G889</f>
        <v>232.9</v>
      </c>
      <c r="H888" s="525"/>
      <c r="I888" s="471"/>
      <c r="J888" s="499"/>
      <c r="K888" s="471"/>
      <c r="L888" s="204"/>
    </row>
    <row r="889" spans="1:12" ht="31.7" customHeight="1" x14ac:dyDescent="0.25">
      <c r="A889" s="466" t="s">
        <v>272</v>
      </c>
      <c r="B889" s="460">
        <v>907</v>
      </c>
      <c r="C889" s="462" t="s">
        <v>491</v>
      </c>
      <c r="D889" s="462" t="s">
        <v>118</v>
      </c>
      <c r="E889" s="462" t="s">
        <v>1330</v>
      </c>
      <c r="F889" s="462" t="s">
        <v>273</v>
      </c>
      <c r="G889" s="467">
        <f>G890</f>
        <v>232.9</v>
      </c>
      <c r="H889" s="518"/>
      <c r="I889" s="471"/>
      <c r="J889" s="499"/>
      <c r="K889" s="471"/>
      <c r="L889" s="204"/>
    </row>
    <row r="890" spans="1:12" ht="15.6" customHeight="1" x14ac:dyDescent="0.25">
      <c r="A890" s="466" t="s">
        <v>274</v>
      </c>
      <c r="B890" s="460">
        <v>907</v>
      </c>
      <c r="C890" s="462" t="s">
        <v>491</v>
      </c>
      <c r="D890" s="462" t="s">
        <v>118</v>
      </c>
      <c r="E890" s="462" t="s">
        <v>1330</v>
      </c>
      <c r="F890" s="462" t="s">
        <v>275</v>
      </c>
      <c r="G890" s="467">
        <f>88+144.9+144.9-144.9</f>
        <v>232.9</v>
      </c>
      <c r="H890" s="519"/>
      <c r="I890" s="472"/>
      <c r="J890" s="499"/>
      <c r="K890" s="471"/>
      <c r="L890" s="204"/>
    </row>
    <row r="891" spans="1:12" ht="33" customHeight="1" x14ac:dyDescent="0.25">
      <c r="A891" s="466" t="s">
        <v>280</v>
      </c>
      <c r="B891" s="460">
        <v>907</v>
      </c>
      <c r="C891" s="462" t="s">
        <v>491</v>
      </c>
      <c r="D891" s="462" t="s">
        <v>118</v>
      </c>
      <c r="E891" s="462" t="s">
        <v>1331</v>
      </c>
      <c r="F891" s="462"/>
      <c r="G891" s="467">
        <f>G892</f>
        <v>642.6</v>
      </c>
      <c r="H891" s="518"/>
      <c r="I891" s="471"/>
      <c r="J891" s="499"/>
      <c r="K891" s="471"/>
      <c r="L891" s="204"/>
    </row>
    <row r="892" spans="1:12" ht="37.5" customHeight="1" x14ac:dyDescent="0.25">
      <c r="A892" s="466" t="s">
        <v>272</v>
      </c>
      <c r="B892" s="460">
        <v>907</v>
      </c>
      <c r="C892" s="462" t="s">
        <v>491</v>
      </c>
      <c r="D892" s="462" t="s">
        <v>118</v>
      </c>
      <c r="E892" s="462" t="s">
        <v>1331</v>
      </c>
      <c r="F892" s="462" t="s">
        <v>273</v>
      </c>
      <c r="G892" s="467">
        <f>G893</f>
        <v>642.6</v>
      </c>
      <c r="H892" s="518"/>
      <c r="I892" s="471"/>
      <c r="J892" s="499"/>
      <c r="K892" s="471"/>
      <c r="L892" s="204"/>
    </row>
    <row r="893" spans="1:12" ht="15.75" customHeight="1" x14ac:dyDescent="0.25">
      <c r="A893" s="466" t="s">
        <v>274</v>
      </c>
      <c r="B893" s="460">
        <v>907</v>
      </c>
      <c r="C893" s="462" t="s">
        <v>491</v>
      </c>
      <c r="D893" s="462" t="s">
        <v>118</v>
      </c>
      <c r="E893" s="462" t="s">
        <v>1331</v>
      </c>
      <c r="F893" s="462" t="s">
        <v>275</v>
      </c>
      <c r="G893" s="467">
        <f>700-57.4</f>
        <v>642.6</v>
      </c>
      <c r="H893" s="518"/>
      <c r="I893" s="471"/>
      <c r="J893" s="499"/>
      <c r="K893" s="471"/>
      <c r="L893" s="204"/>
    </row>
    <row r="894" spans="1:12" s="204" customFormat="1" ht="15.75" customHeight="1" x14ac:dyDescent="0.25">
      <c r="A894" s="466" t="s">
        <v>830</v>
      </c>
      <c r="B894" s="460">
        <v>907</v>
      </c>
      <c r="C894" s="462" t="s">
        <v>491</v>
      </c>
      <c r="D894" s="462" t="s">
        <v>118</v>
      </c>
      <c r="E894" s="462" t="s">
        <v>1271</v>
      </c>
      <c r="F894" s="462"/>
      <c r="G894" s="467">
        <f>G895</f>
        <v>36</v>
      </c>
      <c r="H894" s="518"/>
      <c r="I894" s="471"/>
      <c r="J894" s="499"/>
      <c r="K894" s="471"/>
    </row>
    <row r="895" spans="1:12" s="204" customFormat="1" ht="41.25" customHeight="1" x14ac:dyDescent="0.25">
      <c r="A895" s="466" t="s">
        <v>272</v>
      </c>
      <c r="B895" s="460">
        <v>907</v>
      </c>
      <c r="C895" s="462" t="s">
        <v>491</v>
      </c>
      <c r="D895" s="462" t="s">
        <v>118</v>
      </c>
      <c r="E895" s="462" t="s">
        <v>1271</v>
      </c>
      <c r="F895" s="462" t="s">
        <v>273</v>
      </c>
      <c r="G895" s="467">
        <f>G896</f>
        <v>36</v>
      </c>
      <c r="H895" s="518"/>
      <c r="I895" s="471"/>
      <c r="J895" s="499"/>
      <c r="K895" s="471"/>
    </row>
    <row r="896" spans="1:12" s="204" customFormat="1" ht="15.75" customHeight="1" x14ac:dyDescent="0.25">
      <c r="A896" s="466" t="s">
        <v>274</v>
      </c>
      <c r="B896" s="460">
        <v>907</v>
      </c>
      <c r="C896" s="462" t="s">
        <v>491</v>
      </c>
      <c r="D896" s="462" t="s">
        <v>118</v>
      </c>
      <c r="E896" s="462" t="s">
        <v>1271</v>
      </c>
      <c r="F896" s="462" t="s">
        <v>275</v>
      </c>
      <c r="G896" s="467">
        <v>36</v>
      </c>
      <c r="H896" s="518"/>
      <c r="I896" s="471"/>
      <c r="J896" s="499"/>
      <c r="K896" s="471"/>
    </row>
    <row r="897" spans="1:12" s="204" customFormat="1" ht="33.75" customHeight="1" x14ac:dyDescent="0.25">
      <c r="A897" s="466" t="s">
        <v>287</v>
      </c>
      <c r="B897" s="460">
        <v>907</v>
      </c>
      <c r="C897" s="462" t="s">
        <v>491</v>
      </c>
      <c r="D897" s="462" t="s">
        <v>118</v>
      </c>
      <c r="E897" s="462" t="s">
        <v>1713</v>
      </c>
      <c r="F897" s="462"/>
      <c r="G897" s="467">
        <f>G899</f>
        <v>300</v>
      </c>
      <c r="H897" s="518"/>
      <c r="I897" s="471"/>
      <c r="J897" s="499"/>
      <c r="K897" s="471"/>
    </row>
    <row r="898" spans="1:12" s="204" customFormat="1" ht="15.75" customHeight="1" x14ac:dyDescent="0.25">
      <c r="A898" s="466" t="s">
        <v>272</v>
      </c>
      <c r="B898" s="460">
        <v>907</v>
      </c>
      <c r="C898" s="462" t="s">
        <v>491</v>
      </c>
      <c r="D898" s="462" t="s">
        <v>118</v>
      </c>
      <c r="E898" s="462" t="s">
        <v>1713</v>
      </c>
      <c r="F898" s="462" t="s">
        <v>273</v>
      </c>
      <c r="G898" s="467">
        <f>G899</f>
        <v>300</v>
      </c>
      <c r="H898" s="518"/>
      <c r="I898" s="471"/>
      <c r="J898" s="499"/>
      <c r="K898" s="471"/>
    </row>
    <row r="899" spans="1:12" s="204" customFormat="1" ht="15.75" customHeight="1" x14ac:dyDescent="0.25">
      <c r="A899" s="466" t="s">
        <v>274</v>
      </c>
      <c r="B899" s="460">
        <v>907</v>
      </c>
      <c r="C899" s="462" t="s">
        <v>491</v>
      </c>
      <c r="D899" s="462" t="s">
        <v>118</v>
      </c>
      <c r="E899" s="462" t="s">
        <v>1713</v>
      </c>
      <c r="F899" s="462" t="s">
        <v>275</v>
      </c>
      <c r="G899" s="467">
        <v>300</v>
      </c>
      <c r="H899" s="518"/>
      <c r="I899" s="471"/>
      <c r="J899" s="499"/>
      <c r="K899" s="471"/>
    </row>
    <row r="900" spans="1:12" s="204" customFormat="1" ht="35.450000000000003" customHeight="1" x14ac:dyDescent="0.25">
      <c r="A900" s="464" t="s">
        <v>947</v>
      </c>
      <c r="B900" s="461">
        <v>907</v>
      </c>
      <c r="C900" s="465" t="s">
        <v>491</v>
      </c>
      <c r="D900" s="465" t="s">
        <v>118</v>
      </c>
      <c r="E900" s="465" t="s">
        <v>1272</v>
      </c>
      <c r="F900" s="465"/>
      <c r="G900" s="463">
        <f>G901+G904</f>
        <v>601.79999999999995</v>
      </c>
      <c r="H900" s="518"/>
      <c r="I900" s="471"/>
      <c r="J900" s="499"/>
      <c r="K900" s="471"/>
    </row>
    <row r="901" spans="1:12" ht="33.75" customHeight="1" x14ac:dyDescent="0.25">
      <c r="A901" s="466" t="s">
        <v>791</v>
      </c>
      <c r="B901" s="460">
        <v>907</v>
      </c>
      <c r="C901" s="462" t="s">
        <v>491</v>
      </c>
      <c r="D901" s="462" t="s">
        <v>118</v>
      </c>
      <c r="E901" s="462" t="s">
        <v>1310</v>
      </c>
      <c r="F901" s="462"/>
      <c r="G901" s="467">
        <f>G902</f>
        <v>74</v>
      </c>
      <c r="H901" s="518"/>
      <c r="I901" s="471"/>
      <c r="J901" s="499"/>
      <c r="K901" s="471"/>
      <c r="L901" s="204"/>
    </row>
    <row r="902" spans="1:12" ht="31.5" x14ac:dyDescent="0.25">
      <c r="A902" s="466" t="s">
        <v>272</v>
      </c>
      <c r="B902" s="460">
        <v>907</v>
      </c>
      <c r="C902" s="462" t="s">
        <v>491</v>
      </c>
      <c r="D902" s="462" t="s">
        <v>118</v>
      </c>
      <c r="E902" s="462" t="s">
        <v>1310</v>
      </c>
      <c r="F902" s="462" t="s">
        <v>273</v>
      </c>
      <c r="G902" s="467">
        <f>G903</f>
        <v>74</v>
      </c>
      <c r="H902" s="518"/>
      <c r="I902" s="471"/>
      <c r="J902" s="499"/>
      <c r="K902" s="471"/>
      <c r="L902" s="204"/>
    </row>
    <row r="903" spans="1:12" ht="15.75" customHeight="1" x14ac:dyDescent="0.25">
      <c r="A903" s="466" t="s">
        <v>274</v>
      </c>
      <c r="B903" s="460">
        <v>907</v>
      </c>
      <c r="C903" s="462" t="s">
        <v>491</v>
      </c>
      <c r="D903" s="462" t="s">
        <v>118</v>
      </c>
      <c r="E903" s="462" t="s">
        <v>1310</v>
      </c>
      <c r="F903" s="462" t="s">
        <v>275</v>
      </c>
      <c r="G903" s="467">
        <f>14.5+59.5</f>
        <v>74</v>
      </c>
      <c r="H903" s="518"/>
      <c r="I903" s="471"/>
      <c r="J903" s="499"/>
      <c r="K903" s="471"/>
      <c r="L903" s="204"/>
    </row>
    <row r="904" spans="1:12" ht="34.5" customHeight="1" x14ac:dyDescent="0.25">
      <c r="A904" s="45" t="s">
        <v>764</v>
      </c>
      <c r="B904" s="460">
        <v>907</v>
      </c>
      <c r="C904" s="462" t="s">
        <v>491</v>
      </c>
      <c r="D904" s="462" t="s">
        <v>118</v>
      </c>
      <c r="E904" s="462" t="s">
        <v>1273</v>
      </c>
      <c r="F904" s="462"/>
      <c r="G904" s="467">
        <f>G905</f>
        <v>527.79999999999995</v>
      </c>
      <c r="H904" s="518"/>
      <c r="I904" s="471"/>
      <c r="J904" s="499"/>
      <c r="K904" s="471"/>
      <c r="L904" s="204"/>
    </row>
    <row r="905" spans="1:12" ht="33" customHeight="1" x14ac:dyDescent="0.25">
      <c r="A905" s="31" t="s">
        <v>272</v>
      </c>
      <c r="B905" s="460">
        <v>907</v>
      </c>
      <c r="C905" s="462" t="s">
        <v>491</v>
      </c>
      <c r="D905" s="462" t="s">
        <v>118</v>
      </c>
      <c r="E905" s="462" t="s">
        <v>1273</v>
      </c>
      <c r="F905" s="462" t="s">
        <v>273</v>
      </c>
      <c r="G905" s="467">
        <f>G906</f>
        <v>527.79999999999995</v>
      </c>
      <c r="H905" s="518"/>
      <c r="I905" s="471"/>
      <c r="J905" s="499"/>
      <c r="K905" s="471"/>
      <c r="L905" s="204"/>
    </row>
    <row r="906" spans="1:12" ht="15.75" customHeight="1" x14ac:dyDescent="0.25">
      <c r="A906" s="31" t="s">
        <v>274</v>
      </c>
      <c r="B906" s="460">
        <v>907</v>
      </c>
      <c r="C906" s="462" t="s">
        <v>491</v>
      </c>
      <c r="D906" s="462" t="s">
        <v>118</v>
      </c>
      <c r="E906" s="462" t="s">
        <v>1273</v>
      </c>
      <c r="F906" s="462" t="s">
        <v>275</v>
      </c>
      <c r="G906" s="467">
        <f>1204-144.9+144.9-74-102.7-401.5-98</f>
        <v>527.79999999999995</v>
      </c>
      <c r="H906" s="519"/>
      <c r="I906" s="471"/>
      <c r="J906" s="499"/>
      <c r="K906" s="471"/>
      <c r="L906" s="204"/>
    </row>
    <row r="907" spans="1:12" s="204" customFormat="1" ht="40.700000000000003" customHeight="1" x14ac:dyDescent="0.25">
      <c r="A907" s="464" t="s">
        <v>900</v>
      </c>
      <c r="B907" s="461">
        <v>907</v>
      </c>
      <c r="C907" s="465" t="s">
        <v>491</v>
      </c>
      <c r="D907" s="465" t="s">
        <v>118</v>
      </c>
      <c r="E907" s="465" t="s">
        <v>1274</v>
      </c>
      <c r="F907" s="465"/>
      <c r="G907" s="463">
        <f>G908</f>
        <v>763.5</v>
      </c>
      <c r="H907" s="518"/>
      <c r="I907" s="471"/>
      <c r="J907" s="499"/>
      <c r="K907" s="471"/>
    </row>
    <row r="908" spans="1:12" s="204" customFormat="1" ht="78.75" x14ac:dyDescent="0.25">
      <c r="A908" s="31" t="s">
        <v>464</v>
      </c>
      <c r="B908" s="460">
        <v>907</v>
      </c>
      <c r="C908" s="462" t="s">
        <v>491</v>
      </c>
      <c r="D908" s="462" t="s">
        <v>118</v>
      </c>
      <c r="E908" s="462" t="s">
        <v>1413</v>
      </c>
      <c r="F908" s="462"/>
      <c r="G908" s="467">
        <f>G909</f>
        <v>763.5</v>
      </c>
      <c r="H908" s="518"/>
      <c r="I908" s="471"/>
      <c r="J908" s="499"/>
      <c r="K908" s="471"/>
    </row>
    <row r="909" spans="1:12" s="204" customFormat="1" ht="31.5" x14ac:dyDescent="0.25">
      <c r="A909" s="466" t="s">
        <v>272</v>
      </c>
      <c r="B909" s="460">
        <v>907</v>
      </c>
      <c r="C909" s="462" t="s">
        <v>491</v>
      </c>
      <c r="D909" s="462" t="s">
        <v>118</v>
      </c>
      <c r="E909" s="462" t="s">
        <v>1413</v>
      </c>
      <c r="F909" s="462" t="s">
        <v>273</v>
      </c>
      <c r="G909" s="467">
        <f>G910</f>
        <v>763.5</v>
      </c>
      <c r="H909" s="518"/>
      <c r="I909" s="471"/>
      <c r="J909" s="499"/>
      <c r="K909" s="471"/>
    </row>
    <row r="910" spans="1:12" s="204" customFormat="1" ht="15.75" x14ac:dyDescent="0.25">
      <c r="A910" s="466" t="s">
        <v>274</v>
      </c>
      <c r="B910" s="460">
        <v>907</v>
      </c>
      <c r="C910" s="462" t="s">
        <v>491</v>
      </c>
      <c r="D910" s="462" t="s">
        <v>118</v>
      </c>
      <c r="E910" s="462" t="s">
        <v>1413</v>
      </c>
      <c r="F910" s="462" t="s">
        <v>275</v>
      </c>
      <c r="G910" s="467">
        <f>935.54-122.04-50</f>
        <v>763.5</v>
      </c>
      <c r="H910" s="518"/>
      <c r="I910" s="471"/>
      <c r="J910" s="499"/>
      <c r="K910" s="471"/>
    </row>
    <row r="911" spans="1:12" s="204" customFormat="1" ht="47.25" customHeight="1" x14ac:dyDescent="0.25">
      <c r="A911" s="464" t="s">
        <v>1692</v>
      </c>
      <c r="B911" s="461">
        <v>907</v>
      </c>
      <c r="C911" s="465" t="s">
        <v>491</v>
      </c>
      <c r="D911" s="465" t="s">
        <v>118</v>
      </c>
      <c r="E911" s="465" t="s">
        <v>1690</v>
      </c>
      <c r="F911" s="465"/>
      <c r="G911" s="463">
        <f>G912</f>
        <v>5022.2</v>
      </c>
      <c r="H911" s="518"/>
      <c r="I911" s="471"/>
      <c r="J911" s="499"/>
      <c r="K911" s="471"/>
    </row>
    <row r="912" spans="1:12" s="204" customFormat="1" ht="31.5" x14ac:dyDescent="0.25">
      <c r="A912" s="31" t="s">
        <v>1693</v>
      </c>
      <c r="B912" s="460">
        <v>907</v>
      </c>
      <c r="C912" s="462" t="s">
        <v>491</v>
      </c>
      <c r="D912" s="462" t="s">
        <v>118</v>
      </c>
      <c r="E912" s="462" t="s">
        <v>1691</v>
      </c>
      <c r="F912" s="462"/>
      <c r="G912" s="467">
        <f>G913</f>
        <v>5022.2</v>
      </c>
      <c r="H912" s="518"/>
      <c r="I912" s="471"/>
      <c r="J912" s="499"/>
      <c r="K912" s="471"/>
    </row>
    <row r="913" spans="1:13" s="204" customFormat="1" ht="31.5" x14ac:dyDescent="0.25">
      <c r="A913" s="466" t="s">
        <v>272</v>
      </c>
      <c r="B913" s="460">
        <v>907</v>
      </c>
      <c r="C913" s="462" t="s">
        <v>491</v>
      </c>
      <c r="D913" s="462" t="s">
        <v>118</v>
      </c>
      <c r="E913" s="462" t="s">
        <v>1691</v>
      </c>
      <c r="F913" s="462" t="s">
        <v>273</v>
      </c>
      <c r="G913" s="467">
        <f>G914</f>
        <v>5022.2</v>
      </c>
      <c r="H913" s="518"/>
      <c r="I913" s="105"/>
      <c r="J913" s="499"/>
      <c r="K913" s="471"/>
    </row>
    <row r="914" spans="1:13" s="204" customFormat="1" ht="15.75" x14ac:dyDescent="0.25">
      <c r="A914" s="466" t="s">
        <v>274</v>
      </c>
      <c r="B914" s="460">
        <v>907</v>
      </c>
      <c r="C914" s="462" t="s">
        <v>491</v>
      </c>
      <c r="D914" s="462" t="s">
        <v>118</v>
      </c>
      <c r="E914" s="462" t="s">
        <v>1691</v>
      </c>
      <c r="F914" s="462" t="s">
        <v>275</v>
      </c>
      <c r="G914" s="467">
        <f>4816.3+205.9</f>
        <v>5022.2</v>
      </c>
      <c r="H914" s="519"/>
      <c r="I914" s="472"/>
      <c r="J914" s="499"/>
      <c r="K914" s="471"/>
    </row>
    <row r="915" spans="1:13" s="204" customFormat="1" ht="47.25" x14ac:dyDescent="0.25">
      <c r="A915" s="464" t="s">
        <v>1339</v>
      </c>
      <c r="B915" s="461">
        <v>907</v>
      </c>
      <c r="C915" s="465" t="s">
        <v>491</v>
      </c>
      <c r="D915" s="465" t="s">
        <v>118</v>
      </c>
      <c r="E915" s="465" t="s">
        <v>1275</v>
      </c>
      <c r="F915" s="465"/>
      <c r="G915" s="463">
        <f>G916</f>
        <v>769.23</v>
      </c>
      <c r="H915" s="518"/>
      <c r="I915" s="471"/>
      <c r="J915" s="499"/>
      <c r="K915" s="471"/>
    </row>
    <row r="916" spans="1:13" s="206" customFormat="1" ht="47.25" x14ac:dyDescent="0.25">
      <c r="A916" s="466" t="s">
        <v>1198</v>
      </c>
      <c r="B916" s="460">
        <v>907</v>
      </c>
      <c r="C916" s="462" t="s">
        <v>491</v>
      </c>
      <c r="D916" s="462" t="s">
        <v>118</v>
      </c>
      <c r="E916" s="462" t="s">
        <v>1332</v>
      </c>
      <c r="F916" s="462"/>
      <c r="G916" s="467">
        <f>G917</f>
        <v>769.23</v>
      </c>
      <c r="H916" s="518"/>
      <c r="I916" s="127"/>
      <c r="J916" s="502"/>
      <c r="K916" s="127"/>
    </row>
    <row r="917" spans="1:13" s="206" customFormat="1" ht="31.5" x14ac:dyDescent="0.25">
      <c r="A917" s="466" t="s">
        <v>272</v>
      </c>
      <c r="B917" s="460">
        <v>907</v>
      </c>
      <c r="C917" s="462" t="s">
        <v>491</v>
      </c>
      <c r="D917" s="462" t="s">
        <v>118</v>
      </c>
      <c r="E917" s="462" t="s">
        <v>1332</v>
      </c>
      <c r="F917" s="462" t="s">
        <v>273</v>
      </c>
      <c r="G917" s="467">
        <f>G918</f>
        <v>769.23</v>
      </c>
      <c r="H917" s="518"/>
      <c r="I917" s="127"/>
      <c r="J917" s="502"/>
      <c r="K917" s="127"/>
    </row>
    <row r="918" spans="1:13" s="206" customFormat="1" ht="15.75" x14ac:dyDescent="0.25">
      <c r="A918" s="466" t="s">
        <v>274</v>
      </c>
      <c r="B918" s="460">
        <v>907</v>
      </c>
      <c r="C918" s="462" t="s">
        <v>491</v>
      </c>
      <c r="D918" s="462" t="s">
        <v>118</v>
      </c>
      <c r="E918" s="462" t="s">
        <v>1332</v>
      </c>
      <c r="F918" s="462" t="s">
        <v>275</v>
      </c>
      <c r="G918" s="467">
        <f>700+63+6.23</f>
        <v>769.23</v>
      </c>
      <c r="H918" s="518"/>
      <c r="I918" s="127"/>
      <c r="J918" s="502"/>
      <c r="K918" s="127"/>
      <c r="M918" s="127"/>
    </row>
    <row r="919" spans="1:13" ht="47.25" x14ac:dyDescent="0.25">
      <c r="A919" s="470" t="s">
        <v>1352</v>
      </c>
      <c r="B919" s="461">
        <v>907</v>
      </c>
      <c r="C919" s="465" t="s">
        <v>491</v>
      </c>
      <c r="D919" s="465" t="s">
        <v>118</v>
      </c>
      <c r="E919" s="465" t="s">
        <v>705</v>
      </c>
      <c r="F919" s="474"/>
      <c r="G919" s="463">
        <f>G920</f>
        <v>542.29999999999995</v>
      </c>
      <c r="H919" s="518"/>
      <c r="I919" s="471"/>
      <c r="J919" s="499"/>
      <c r="K919" s="471"/>
      <c r="L919" s="204"/>
    </row>
    <row r="920" spans="1:13" s="204" customFormat="1" ht="47.25" x14ac:dyDescent="0.25">
      <c r="A920" s="470" t="s">
        <v>890</v>
      </c>
      <c r="B920" s="461">
        <v>907</v>
      </c>
      <c r="C920" s="465" t="s">
        <v>491</v>
      </c>
      <c r="D920" s="465" t="s">
        <v>118</v>
      </c>
      <c r="E920" s="465" t="s">
        <v>888</v>
      </c>
      <c r="F920" s="474"/>
      <c r="G920" s="463">
        <f>G921</f>
        <v>542.29999999999995</v>
      </c>
      <c r="H920" s="518"/>
      <c r="I920" s="471"/>
      <c r="J920" s="499"/>
      <c r="K920" s="471"/>
    </row>
    <row r="921" spans="1:13" ht="39.200000000000003" customHeight="1" x14ac:dyDescent="0.25">
      <c r="A921" s="98" t="s">
        <v>780</v>
      </c>
      <c r="B921" s="460">
        <v>907</v>
      </c>
      <c r="C921" s="462" t="s">
        <v>491</v>
      </c>
      <c r="D921" s="462" t="s">
        <v>118</v>
      </c>
      <c r="E921" s="462" t="s">
        <v>936</v>
      </c>
      <c r="F921" s="468"/>
      <c r="G921" s="467">
        <f>G922</f>
        <v>542.29999999999995</v>
      </c>
      <c r="H921" s="518"/>
      <c r="I921" s="471"/>
      <c r="J921" s="499"/>
      <c r="K921" s="471"/>
      <c r="L921" s="204"/>
    </row>
    <row r="922" spans="1:13" ht="31.5" x14ac:dyDescent="0.25">
      <c r="A922" s="29" t="s">
        <v>272</v>
      </c>
      <c r="B922" s="460">
        <v>907</v>
      </c>
      <c r="C922" s="462" t="s">
        <v>491</v>
      </c>
      <c r="D922" s="462" t="s">
        <v>118</v>
      </c>
      <c r="E922" s="462" t="s">
        <v>936</v>
      </c>
      <c r="F922" s="468" t="s">
        <v>273</v>
      </c>
      <c r="G922" s="467">
        <f>G923</f>
        <v>542.29999999999995</v>
      </c>
      <c r="H922" s="518"/>
      <c r="I922" s="471"/>
      <c r="J922" s="499"/>
      <c r="K922" s="471"/>
      <c r="L922" s="204"/>
    </row>
    <row r="923" spans="1:13" ht="15.75" x14ac:dyDescent="0.25">
      <c r="A923" s="182" t="s">
        <v>274</v>
      </c>
      <c r="B923" s="460">
        <v>907</v>
      </c>
      <c r="C923" s="462" t="s">
        <v>491</v>
      </c>
      <c r="D923" s="462" t="s">
        <v>118</v>
      </c>
      <c r="E923" s="462" t="s">
        <v>936</v>
      </c>
      <c r="F923" s="468" t="s">
        <v>275</v>
      </c>
      <c r="G923" s="467">
        <f>556.8-14.5</f>
        <v>542.29999999999995</v>
      </c>
      <c r="H923" s="518"/>
      <c r="I923" s="471"/>
      <c r="J923" s="499"/>
      <c r="K923" s="471"/>
      <c r="L923" s="204"/>
    </row>
    <row r="924" spans="1:13" ht="19.5" customHeight="1" x14ac:dyDescent="0.25">
      <c r="A924" s="464" t="s">
        <v>500</v>
      </c>
      <c r="B924" s="461">
        <v>907</v>
      </c>
      <c r="C924" s="465" t="s">
        <v>491</v>
      </c>
      <c r="D924" s="465" t="s">
        <v>234</v>
      </c>
      <c r="E924" s="465"/>
      <c r="F924" s="465"/>
      <c r="G924" s="463">
        <f>G925+G936+G951</f>
        <v>13824.443800000001</v>
      </c>
      <c r="H924" s="518"/>
      <c r="I924" s="471"/>
      <c r="J924" s="499"/>
      <c r="K924" s="471"/>
      <c r="L924" s="204"/>
    </row>
    <row r="925" spans="1:13" ht="31.5" x14ac:dyDescent="0.25">
      <c r="A925" s="464" t="s">
        <v>917</v>
      </c>
      <c r="B925" s="461">
        <v>907</v>
      </c>
      <c r="C925" s="465" t="s">
        <v>491</v>
      </c>
      <c r="D925" s="465" t="s">
        <v>234</v>
      </c>
      <c r="E925" s="465" t="s">
        <v>858</v>
      </c>
      <c r="F925" s="465"/>
      <c r="G925" s="463">
        <f>G926</f>
        <v>5171.1103000000003</v>
      </c>
      <c r="H925" s="518"/>
      <c r="I925" s="471"/>
      <c r="J925" s="499"/>
      <c r="K925" s="471"/>
      <c r="L925" s="204"/>
    </row>
    <row r="926" spans="1:13" ht="15.75" x14ac:dyDescent="0.25">
      <c r="A926" s="464" t="s">
        <v>918</v>
      </c>
      <c r="B926" s="461">
        <v>907</v>
      </c>
      <c r="C926" s="465" t="s">
        <v>491</v>
      </c>
      <c r="D926" s="465" t="s">
        <v>234</v>
      </c>
      <c r="E926" s="465" t="s">
        <v>859</v>
      </c>
      <c r="F926" s="465"/>
      <c r="G926" s="463">
        <f>G927+G930+G933</f>
        <v>5171.1103000000003</v>
      </c>
      <c r="H926" s="518"/>
      <c r="I926" s="471"/>
      <c r="J926" s="499"/>
      <c r="K926" s="471"/>
      <c r="L926" s="204"/>
    </row>
    <row r="927" spans="1:13" ht="28.15" customHeight="1" x14ac:dyDescent="0.25">
      <c r="A927" s="466" t="s">
        <v>897</v>
      </c>
      <c r="B927" s="460">
        <v>907</v>
      </c>
      <c r="C927" s="462" t="s">
        <v>491</v>
      </c>
      <c r="D927" s="462" t="s">
        <v>234</v>
      </c>
      <c r="E927" s="462" t="s">
        <v>860</v>
      </c>
      <c r="F927" s="462"/>
      <c r="G927" s="467">
        <f>G928</f>
        <v>5047.05</v>
      </c>
      <c r="H927" s="518"/>
      <c r="I927" s="471"/>
      <c r="J927" s="499"/>
      <c r="K927" s="471"/>
      <c r="L927" s="204"/>
    </row>
    <row r="928" spans="1:13" ht="64.5" customHeight="1" x14ac:dyDescent="0.25">
      <c r="A928" s="466" t="s">
        <v>127</v>
      </c>
      <c r="B928" s="460">
        <v>907</v>
      </c>
      <c r="C928" s="462" t="s">
        <v>491</v>
      </c>
      <c r="D928" s="462" t="s">
        <v>234</v>
      </c>
      <c r="E928" s="462" t="s">
        <v>860</v>
      </c>
      <c r="F928" s="462" t="s">
        <v>128</v>
      </c>
      <c r="G928" s="467">
        <f>G929</f>
        <v>5047.05</v>
      </c>
      <c r="H928" s="518"/>
      <c r="I928" s="471"/>
      <c r="J928" s="499"/>
      <c r="K928" s="471"/>
      <c r="L928" s="204"/>
    </row>
    <row r="929" spans="1:12" ht="31.5" x14ac:dyDescent="0.25">
      <c r="A929" s="466" t="s">
        <v>129</v>
      </c>
      <c r="B929" s="460">
        <v>907</v>
      </c>
      <c r="C929" s="462" t="s">
        <v>491</v>
      </c>
      <c r="D929" s="462" t="s">
        <v>234</v>
      </c>
      <c r="E929" s="462" t="s">
        <v>860</v>
      </c>
      <c r="F929" s="462" t="s">
        <v>130</v>
      </c>
      <c r="G929" s="27">
        <f>4888.5+6+52+34.85+10+53+2.7</f>
        <v>5047.05</v>
      </c>
      <c r="H929" s="527"/>
      <c r="I929" s="471"/>
      <c r="J929" s="499"/>
      <c r="K929" s="471"/>
      <c r="L929" s="204"/>
    </row>
    <row r="930" spans="1:12" s="204" customFormat="1" ht="36.75" customHeight="1" x14ac:dyDescent="0.25">
      <c r="A930" s="466" t="s">
        <v>839</v>
      </c>
      <c r="B930" s="460">
        <v>907</v>
      </c>
      <c r="C930" s="462" t="s">
        <v>491</v>
      </c>
      <c r="D930" s="462" t="s">
        <v>234</v>
      </c>
      <c r="E930" s="462" t="s">
        <v>862</v>
      </c>
      <c r="F930" s="462"/>
      <c r="G930" s="467">
        <f>G931</f>
        <v>21.250000000000014</v>
      </c>
      <c r="H930" s="518"/>
      <c r="I930" s="471"/>
      <c r="J930" s="499"/>
      <c r="K930" s="471"/>
    </row>
    <row r="931" spans="1:12" s="204" customFormat="1" ht="47.25" customHeight="1" x14ac:dyDescent="0.25">
      <c r="A931" s="466" t="s">
        <v>127</v>
      </c>
      <c r="B931" s="460">
        <v>907</v>
      </c>
      <c r="C931" s="462" t="s">
        <v>491</v>
      </c>
      <c r="D931" s="462" t="s">
        <v>234</v>
      </c>
      <c r="E931" s="462" t="s">
        <v>862</v>
      </c>
      <c r="F931" s="462" t="s">
        <v>128</v>
      </c>
      <c r="G931" s="467">
        <f>G932</f>
        <v>21.250000000000014</v>
      </c>
      <c r="H931" s="518"/>
      <c r="I931" s="471"/>
      <c r="J931" s="499"/>
      <c r="K931" s="471"/>
    </row>
    <row r="932" spans="1:12" s="204" customFormat="1" ht="34.5" customHeight="1" x14ac:dyDescent="0.25">
      <c r="A932" s="466" t="s">
        <v>129</v>
      </c>
      <c r="B932" s="460">
        <v>907</v>
      </c>
      <c r="C932" s="462" t="s">
        <v>491</v>
      </c>
      <c r="D932" s="462" t="s">
        <v>234</v>
      </c>
      <c r="E932" s="462" t="s">
        <v>862</v>
      </c>
      <c r="F932" s="462" t="s">
        <v>130</v>
      </c>
      <c r="G932" s="467">
        <f>84+252-52-16-34.85-10-166.1-35.8</f>
        <v>21.250000000000014</v>
      </c>
      <c r="H932" s="527"/>
      <c r="I932" s="471"/>
      <c r="J932" s="499"/>
      <c r="K932" s="471"/>
    </row>
    <row r="933" spans="1:12" s="204" customFormat="1" ht="34.5" customHeight="1" x14ac:dyDescent="0.25">
      <c r="A933" s="466" t="s">
        <v>1793</v>
      </c>
      <c r="B933" s="460">
        <v>907</v>
      </c>
      <c r="C933" s="462" t="s">
        <v>491</v>
      </c>
      <c r="D933" s="462" t="s">
        <v>234</v>
      </c>
      <c r="E933" s="462" t="s">
        <v>1794</v>
      </c>
      <c r="F933" s="462"/>
      <c r="G933" s="467">
        <f>G934</f>
        <v>102.8103</v>
      </c>
      <c r="H933" s="527"/>
      <c r="I933" s="471"/>
      <c r="J933" s="499"/>
      <c r="K933" s="471"/>
    </row>
    <row r="934" spans="1:12" s="204" customFormat="1" ht="72" customHeight="1" x14ac:dyDescent="0.25">
      <c r="A934" s="466" t="s">
        <v>127</v>
      </c>
      <c r="B934" s="460">
        <v>907</v>
      </c>
      <c r="C934" s="462" t="s">
        <v>491</v>
      </c>
      <c r="D934" s="462" t="s">
        <v>234</v>
      </c>
      <c r="E934" s="462" t="s">
        <v>1794</v>
      </c>
      <c r="F934" s="462" t="s">
        <v>128</v>
      </c>
      <c r="G934" s="467">
        <f>G935</f>
        <v>102.8103</v>
      </c>
      <c r="H934" s="527"/>
      <c r="I934" s="471"/>
      <c r="J934" s="499"/>
      <c r="K934" s="471"/>
    </row>
    <row r="935" spans="1:12" s="204" customFormat="1" ht="31.5" x14ac:dyDescent="0.25">
      <c r="A935" s="466" t="s">
        <v>129</v>
      </c>
      <c r="B935" s="460">
        <v>907</v>
      </c>
      <c r="C935" s="462" t="s">
        <v>491</v>
      </c>
      <c r="D935" s="462" t="s">
        <v>234</v>
      </c>
      <c r="E935" s="462" t="s">
        <v>1794</v>
      </c>
      <c r="F935" s="462" t="s">
        <v>130</v>
      </c>
      <c r="G935" s="467">
        <v>102.8103</v>
      </c>
      <c r="H935" s="527"/>
      <c r="I935" s="471"/>
      <c r="J935" s="499"/>
      <c r="K935" s="471"/>
    </row>
    <row r="936" spans="1:12" ht="15.75" x14ac:dyDescent="0.25">
      <c r="A936" s="464" t="s">
        <v>141</v>
      </c>
      <c r="B936" s="461">
        <v>907</v>
      </c>
      <c r="C936" s="465" t="s">
        <v>491</v>
      </c>
      <c r="D936" s="465" t="s">
        <v>234</v>
      </c>
      <c r="E936" s="465" t="s">
        <v>866</v>
      </c>
      <c r="F936" s="465"/>
      <c r="G936" s="463">
        <f>G937</f>
        <v>6171.6334999999999</v>
      </c>
      <c r="H936" s="518"/>
      <c r="I936" s="471"/>
      <c r="J936" s="499"/>
      <c r="K936" s="471"/>
      <c r="L936" s="204"/>
    </row>
    <row r="937" spans="1:12" s="204" customFormat="1" ht="31.5" x14ac:dyDescent="0.25">
      <c r="A937" s="464" t="s">
        <v>929</v>
      </c>
      <c r="B937" s="461">
        <v>907</v>
      </c>
      <c r="C937" s="465" t="s">
        <v>491</v>
      </c>
      <c r="D937" s="465" t="s">
        <v>234</v>
      </c>
      <c r="E937" s="465" t="s">
        <v>914</v>
      </c>
      <c r="F937" s="465"/>
      <c r="G937" s="463">
        <f>G938+G945+G948</f>
        <v>6171.6334999999999</v>
      </c>
      <c r="H937" s="518"/>
      <c r="I937" s="471"/>
      <c r="J937" s="499"/>
      <c r="K937" s="471"/>
    </row>
    <row r="938" spans="1:12" ht="31.5" x14ac:dyDescent="0.25">
      <c r="A938" s="466" t="s">
        <v>903</v>
      </c>
      <c r="B938" s="460">
        <v>907</v>
      </c>
      <c r="C938" s="462" t="s">
        <v>491</v>
      </c>
      <c r="D938" s="462" t="s">
        <v>234</v>
      </c>
      <c r="E938" s="462" t="s">
        <v>915</v>
      </c>
      <c r="F938" s="462"/>
      <c r="G938" s="467">
        <f>G939+G941+G943</f>
        <v>5843.6139999999996</v>
      </c>
      <c r="H938" s="518"/>
      <c r="I938" s="471"/>
      <c r="J938" s="499"/>
      <c r="K938" s="471"/>
      <c r="L938" s="204"/>
    </row>
    <row r="939" spans="1:12" ht="72.75" customHeight="1" x14ac:dyDescent="0.25">
      <c r="A939" s="466" t="s">
        <v>127</v>
      </c>
      <c r="B939" s="460">
        <v>907</v>
      </c>
      <c r="C939" s="462" t="s">
        <v>491</v>
      </c>
      <c r="D939" s="462" t="s">
        <v>234</v>
      </c>
      <c r="E939" s="462" t="s">
        <v>915</v>
      </c>
      <c r="F939" s="462" t="s">
        <v>128</v>
      </c>
      <c r="G939" s="467">
        <f>G940</f>
        <v>5465.8</v>
      </c>
      <c r="H939" s="518"/>
      <c r="I939" s="471"/>
      <c r="J939" s="499"/>
      <c r="K939" s="471"/>
      <c r="L939" s="204"/>
    </row>
    <row r="940" spans="1:12" ht="25.5" customHeight="1" x14ac:dyDescent="0.25">
      <c r="A940" s="466" t="s">
        <v>342</v>
      </c>
      <c r="B940" s="460">
        <v>907</v>
      </c>
      <c r="C940" s="462" t="s">
        <v>491</v>
      </c>
      <c r="D940" s="462" t="s">
        <v>234</v>
      </c>
      <c r="E940" s="462" t="s">
        <v>915</v>
      </c>
      <c r="F940" s="462" t="s">
        <v>209</v>
      </c>
      <c r="G940" s="27">
        <f>4695.4-6+483.7+146.5+19.6+93.5+35.8-2.7</f>
        <v>5465.8</v>
      </c>
      <c r="H940" s="518"/>
      <c r="I940" s="471"/>
      <c r="J940" s="499"/>
      <c r="K940" s="471"/>
      <c r="L940" s="204"/>
    </row>
    <row r="941" spans="1:12" ht="31.5" x14ac:dyDescent="0.25">
      <c r="A941" s="466" t="s">
        <v>131</v>
      </c>
      <c r="B941" s="460">
        <v>907</v>
      </c>
      <c r="C941" s="462" t="s">
        <v>491</v>
      </c>
      <c r="D941" s="462" t="s">
        <v>234</v>
      </c>
      <c r="E941" s="462" t="s">
        <v>915</v>
      </c>
      <c r="F941" s="462" t="s">
        <v>132</v>
      </c>
      <c r="G941" s="467">
        <f>G942</f>
        <v>350.66400000000004</v>
      </c>
      <c r="H941" s="518"/>
      <c r="I941" s="471"/>
      <c r="J941" s="499"/>
      <c r="K941" s="471"/>
      <c r="L941" s="204"/>
    </row>
    <row r="942" spans="1:12" ht="31.5" x14ac:dyDescent="0.25">
      <c r="A942" s="466" t="s">
        <v>133</v>
      </c>
      <c r="B942" s="460">
        <v>907</v>
      </c>
      <c r="C942" s="462" t="s">
        <v>491</v>
      </c>
      <c r="D942" s="462" t="s">
        <v>234</v>
      </c>
      <c r="E942" s="462" t="s">
        <v>915</v>
      </c>
      <c r="F942" s="462" t="s">
        <v>134</v>
      </c>
      <c r="G942" s="27">
        <f>343.3-16.486+23.85</f>
        <v>350.66400000000004</v>
      </c>
      <c r="H942" s="519"/>
      <c r="I942" s="471"/>
      <c r="J942" s="499"/>
      <c r="K942" s="471"/>
      <c r="L942" s="204"/>
    </row>
    <row r="943" spans="1:12" ht="15.75" x14ac:dyDescent="0.25">
      <c r="A943" s="466" t="s">
        <v>135</v>
      </c>
      <c r="B943" s="460">
        <v>907</v>
      </c>
      <c r="C943" s="462" t="s">
        <v>491</v>
      </c>
      <c r="D943" s="462" t="s">
        <v>234</v>
      </c>
      <c r="E943" s="462" t="s">
        <v>915</v>
      </c>
      <c r="F943" s="462" t="s">
        <v>145</v>
      </c>
      <c r="G943" s="467">
        <f>G944</f>
        <v>27.15</v>
      </c>
      <c r="H943" s="518"/>
      <c r="I943" s="471"/>
      <c r="J943" s="499"/>
      <c r="K943" s="471"/>
      <c r="L943" s="204"/>
    </row>
    <row r="944" spans="1:12" ht="15.75" x14ac:dyDescent="0.25">
      <c r="A944" s="466" t="s">
        <v>568</v>
      </c>
      <c r="B944" s="460">
        <v>907</v>
      </c>
      <c r="C944" s="462" t="s">
        <v>491</v>
      </c>
      <c r="D944" s="462" t="s">
        <v>234</v>
      </c>
      <c r="E944" s="462" t="s">
        <v>915</v>
      </c>
      <c r="F944" s="462" t="s">
        <v>138</v>
      </c>
      <c r="G944" s="467">
        <f>27.1+24.1-0.2-23.85</f>
        <v>27.15</v>
      </c>
      <c r="H944" s="518"/>
      <c r="I944" s="471"/>
      <c r="J944" s="499"/>
      <c r="K944" s="471"/>
      <c r="L944" s="204"/>
    </row>
    <row r="945" spans="1:12" s="204" customFormat="1" ht="31.5" x14ac:dyDescent="0.25">
      <c r="A945" s="466" t="s">
        <v>839</v>
      </c>
      <c r="B945" s="460">
        <v>907</v>
      </c>
      <c r="C945" s="462" t="s">
        <v>491</v>
      </c>
      <c r="D945" s="462" t="s">
        <v>234</v>
      </c>
      <c r="E945" s="462" t="s">
        <v>916</v>
      </c>
      <c r="F945" s="462"/>
      <c r="G945" s="467">
        <f>G946</f>
        <v>247.48599999999999</v>
      </c>
      <c r="H945" s="518"/>
      <c r="I945" s="471"/>
      <c r="J945" s="499"/>
      <c r="K945" s="471"/>
    </row>
    <row r="946" spans="1:12" s="204" customFormat="1" ht="63" x14ac:dyDescent="0.25">
      <c r="A946" s="466" t="s">
        <v>127</v>
      </c>
      <c r="B946" s="460">
        <v>907</v>
      </c>
      <c r="C946" s="462" t="s">
        <v>491</v>
      </c>
      <c r="D946" s="462" t="s">
        <v>234</v>
      </c>
      <c r="E946" s="462" t="s">
        <v>916</v>
      </c>
      <c r="F946" s="462" t="s">
        <v>128</v>
      </c>
      <c r="G946" s="467">
        <f>G947</f>
        <v>247.48599999999999</v>
      </c>
      <c r="H946" s="518"/>
      <c r="I946" s="471"/>
      <c r="J946" s="499"/>
      <c r="K946" s="471"/>
    </row>
    <row r="947" spans="1:12" s="204" customFormat="1" ht="15.75" x14ac:dyDescent="0.25">
      <c r="A947" s="466" t="s">
        <v>342</v>
      </c>
      <c r="B947" s="460">
        <v>907</v>
      </c>
      <c r="C947" s="462" t="s">
        <v>491</v>
      </c>
      <c r="D947" s="462" t="s">
        <v>234</v>
      </c>
      <c r="E947" s="462" t="s">
        <v>916</v>
      </c>
      <c r="F947" s="462" t="s">
        <v>209</v>
      </c>
      <c r="G947" s="467">
        <f>215+16.486+16</f>
        <v>247.48599999999999</v>
      </c>
      <c r="H947" s="519"/>
      <c r="I947" s="471"/>
      <c r="J947" s="499"/>
      <c r="K947" s="471"/>
    </row>
    <row r="948" spans="1:12" s="204" customFormat="1" ht="31.5" x14ac:dyDescent="0.25">
      <c r="A948" s="466" t="s">
        <v>1793</v>
      </c>
      <c r="B948" s="460">
        <v>907</v>
      </c>
      <c r="C948" s="462" t="s">
        <v>491</v>
      </c>
      <c r="D948" s="462" t="s">
        <v>234</v>
      </c>
      <c r="E948" s="462" t="s">
        <v>1797</v>
      </c>
      <c r="F948" s="462"/>
      <c r="G948" s="467">
        <f>G949</f>
        <v>80.533500000000004</v>
      </c>
      <c r="H948" s="521"/>
      <c r="I948" s="471"/>
      <c r="J948" s="499"/>
      <c r="K948" s="471"/>
    </row>
    <row r="949" spans="1:12" s="204" customFormat="1" ht="63" x14ac:dyDescent="0.25">
      <c r="A949" s="466" t="s">
        <v>127</v>
      </c>
      <c r="B949" s="460">
        <v>907</v>
      </c>
      <c r="C949" s="462" t="s">
        <v>491</v>
      </c>
      <c r="D949" s="462" t="s">
        <v>234</v>
      </c>
      <c r="E949" s="462" t="s">
        <v>1797</v>
      </c>
      <c r="F949" s="462" t="s">
        <v>128</v>
      </c>
      <c r="G949" s="467">
        <f>G950</f>
        <v>80.533500000000004</v>
      </c>
      <c r="H949" s="521"/>
      <c r="I949" s="471"/>
      <c r="J949" s="499"/>
      <c r="K949" s="471"/>
    </row>
    <row r="950" spans="1:12" s="204" customFormat="1" ht="15.75" x14ac:dyDescent="0.25">
      <c r="A950" s="466" t="s">
        <v>342</v>
      </c>
      <c r="B950" s="460">
        <v>907</v>
      </c>
      <c r="C950" s="462" t="s">
        <v>491</v>
      </c>
      <c r="D950" s="462" t="s">
        <v>234</v>
      </c>
      <c r="E950" s="462" t="s">
        <v>1797</v>
      </c>
      <c r="F950" s="462" t="s">
        <v>209</v>
      </c>
      <c r="G950" s="467">
        <v>80.533500000000004</v>
      </c>
      <c r="H950" s="521"/>
      <c r="I950" s="471"/>
      <c r="J950" s="499"/>
      <c r="K950" s="471"/>
    </row>
    <row r="951" spans="1:12" s="204" customFormat="1" ht="31.5" x14ac:dyDescent="0.25">
      <c r="A951" s="470" t="s">
        <v>1371</v>
      </c>
      <c r="B951" s="461">
        <v>907</v>
      </c>
      <c r="C951" s="465" t="s">
        <v>491</v>
      </c>
      <c r="D951" s="465" t="s">
        <v>234</v>
      </c>
      <c r="E951" s="7" t="s">
        <v>482</v>
      </c>
      <c r="F951" s="465"/>
      <c r="G951" s="463">
        <f>G952</f>
        <v>2481.6999999999998</v>
      </c>
      <c r="H951" s="518"/>
      <c r="I951" s="471"/>
      <c r="J951" s="499"/>
      <c r="K951" s="471"/>
    </row>
    <row r="952" spans="1:12" s="204" customFormat="1" ht="31.5" x14ac:dyDescent="0.25">
      <c r="A952" s="58" t="s">
        <v>951</v>
      </c>
      <c r="B952" s="461">
        <v>907</v>
      </c>
      <c r="C952" s="465" t="s">
        <v>491</v>
      </c>
      <c r="D952" s="465" t="s">
        <v>234</v>
      </c>
      <c r="E952" s="7" t="s">
        <v>1276</v>
      </c>
      <c r="F952" s="465"/>
      <c r="G952" s="463">
        <f>G953</f>
        <v>2481.6999999999998</v>
      </c>
      <c r="H952" s="518"/>
      <c r="I952" s="471"/>
      <c r="J952" s="499"/>
      <c r="K952" s="471"/>
    </row>
    <row r="953" spans="1:12" s="204" customFormat="1" ht="15.75" x14ac:dyDescent="0.25">
      <c r="A953" s="29" t="s">
        <v>952</v>
      </c>
      <c r="B953" s="460">
        <v>907</v>
      </c>
      <c r="C953" s="462" t="s">
        <v>491</v>
      </c>
      <c r="D953" s="462" t="s">
        <v>234</v>
      </c>
      <c r="E953" s="469" t="s">
        <v>1277</v>
      </c>
      <c r="F953" s="462"/>
      <c r="G953" s="467">
        <f>G954+G956</f>
        <v>2481.6999999999998</v>
      </c>
      <c r="H953" s="518"/>
      <c r="I953" s="471"/>
      <c r="J953" s="499"/>
      <c r="K953" s="471"/>
    </row>
    <row r="954" spans="1:12" s="204" customFormat="1" ht="63" x14ac:dyDescent="0.25">
      <c r="A954" s="466" t="s">
        <v>127</v>
      </c>
      <c r="B954" s="460">
        <v>907</v>
      </c>
      <c r="C954" s="462" t="s">
        <v>491</v>
      </c>
      <c r="D954" s="462" t="s">
        <v>234</v>
      </c>
      <c r="E954" s="469" t="s">
        <v>1277</v>
      </c>
      <c r="F954" s="462" t="s">
        <v>128</v>
      </c>
      <c r="G954" s="467">
        <f>G955</f>
        <v>1577.9</v>
      </c>
      <c r="H954" s="518"/>
      <c r="I954" s="471"/>
      <c r="J954" s="499"/>
      <c r="K954" s="471"/>
    </row>
    <row r="955" spans="1:12" s="204" customFormat="1" ht="15.75" x14ac:dyDescent="0.25">
      <c r="A955" s="466" t="s">
        <v>342</v>
      </c>
      <c r="B955" s="460">
        <v>907</v>
      </c>
      <c r="C955" s="462" t="s">
        <v>491</v>
      </c>
      <c r="D955" s="462" t="s">
        <v>234</v>
      </c>
      <c r="E955" s="469" t="s">
        <v>1277</v>
      </c>
      <c r="F955" s="462" t="s">
        <v>209</v>
      </c>
      <c r="G955" s="467">
        <f>2200-218.3-403.8</f>
        <v>1577.9</v>
      </c>
      <c r="H955" s="518"/>
      <c r="I955" s="471"/>
      <c r="J955" s="499"/>
      <c r="K955" s="471"/>
    </row>
    <row r="956" spans="1:12" s="204" customFormat="1" ht="31.5" x14ac:dyDescent="0.25">
      <c r="A956" s="29" t="s">
        <v>131</v>
      </c>
      <c r="B956" s="460">
        <v>907</v>
      </c>
      <c r="C956" s="462" t="s">
        <v>491</v>
      </c>
      <c r="D956" s="462" t="s">
        <v>234</v>
      </c>
      <c r="E956" s="469" t="s">
        <v>1277</v>
      </c>
      <c r="F956" s="462" t="s">
        <v>132</v>
      </c>
      <c r="G956" s="467">
        <f>G957</f>
        <v>903.8</v>
      </c>
      <c r="H956" s="518"/>
      <c r="I956" s="471"/>
      <c r="J956" s="499"/>
      <c r="K956" s="471"/>
    </row>
    <row r="957" spans="1:12" s="204" customFormat="1" ht="31.5" x14ac:dyDescent="0.25">
      <c r="A957" s="29" t="s">
        <v>133</v>
      </c>
      <c r="B957" s="460">
        <v>907</v>
      </c>
      <c r="C957" s="462" t="s">
        <v>491</v>
      </c>
      <c r="D957" s="462" t="s">
        <v>234</v>
      </c>
      <c r="E957" s="469" t="s">
        <v>1277</v>
      </c>
      <c r="F957" s="462" t="s">
        <v>134</v>
      </c>
      <c r="G957" s="467">
        <f>500+403.8</f>
        <v>903.8</v>
      </c>
      <c r="H957" s="518"/>
      <c r="I957" s="471"/>
      <c r="J957" s="499"/>
      <c r="K957" s="471"/>
    </row>
    <row r="958" spans="1:12" ht="31.5" x14ac:dyDescent="0.25">
      <c r="A958" s="461" t="s">
        <v>504</v>
      </c>
      <c r="B958" s="461">
        <v>908</v>
      </c>
      <c r="C958" s="462"/>
      <c r="D958" s="462"/>
      <c r="E958" s="462"/>
      <c r="F958" s="462"/>
      <c r="G958" s="463">
        <f>G979+G986+G1007+G1205+G959</f>
        <v>261847.65067999999</v>
      </c>
      <c r="H958" s="518"/>
      <c r="I958" s="471"/>
      <c r="J958" s="499"/>
      <c r="K958" s="471"/>
      <c r="L958" s="204"/>
    </row>
    <row r="959" spans="1:12" ht="15.75" x14ac:dyDescent="0.25">
      <c r="A959" s="34" t="s">
        <v>117</v>
      </c>
      <c r="B959" s="461">
        <v>908</v>
      </c>
      <c r="C959" s="465" t="s">
        <v>118</v>
      </c>
      <c r="D959" s="462"/>
      <c r="E959" s="462"/>
      <c r="F959" s="462"/>
      <c r="G959" s="463">
        <f>G960</f>
        <v>52712.478999999992</v>
      </c>
      <c r="H959" s="518"/>
      <c r="I959" s="471"/>
      <c r="J959" s="499"/>
      <c r="K959" s="471"/>
      <c r="L959" s="204"/>
    </row>
    <row r="960" spans="1:12" ht="15.75" x14ac:dyDescent="0.25">
      <c r="A960" s="34" t="s">
        <v>139</v>
      </c>
      <c r="B960" s="461">
        <v>908</v>
      </c>
      <c r="C960" s="465" t="s">
        <v>118</v>
      </c>
      <c r="D960" s="465" t="s">
        <v>140</v>
      </c>
      <c r="E960" s="462"/>
      <c r="F960" s="462"/>
      <c r="G960" s="463">
        <f>G961</f>
        <v>52712.478999999992</v>
      </c>
      <c r="H960" s="518"/>
      <c r="I960" s="471"/>
      <c r="J960" s="499"/>
      <c r="K960" s="471"/>
      <c r="L960" s="204"/>
    </row>
    <row r="961" spans="1:12" ht="21.2" customHeight="1" x14ac:dyDescent="0.25">
      <c r="A961" s="464" t="s">
        <v>141</v>
      </c>
      <c r="B961" s="461">
        <v>908</v>
      </c>
      <c r="C961" s="465" t="s">
        <v>118</v>
      </c>
      <c r="D961" s="465" t="s">
        <v>140</v>
      </c>
      <c r="E961" s="465" t="s">
        <v>866</v>
      </c>
      <c r="F961" s="465"/>
      <c r="G961" s="44">
        <f>G962</f>
        <v>52712.478999999992</v>
      </c>
      <c r="H961" s="518"/>
      <c r="I961" s="471"/>
      <c r="J961" s="499"/>
      <c r="K961" s="471"/>
      <c r="L961" s="204"/>
    </row>
    <row r="962" spans="1:12" ht="15.75" x14ac:dyDescent="0.25">
      <c r="A962" s="464" t="s">
        <v>954</v>
      </c>
      <c r="B962" s="461">
        <v>908</v>
      </c>
      <c r="C962" s="465" t="s">
        <v>118</v>
      </c>
      <c r="D962" s="465" t="s">
        <v>140</v>
      </c>
      <c r="E962" s="465" t="s">
        <v>953</v>
      </c>
      <c r="F962" s="465"/>
      <c r="G962" s="44">
        <f>G966+G963+G976</f>
        <v>52712.478999999992</v>
      </c>
      <c r="H962" s="518"/>
      <c r="I962" s="471"/>
      <c r="J962" s="499"/>
      <c r="K962" s="471"/>
      <c r="L962" s="204"/>
    </row>
    <row r="963" spans="1:12" s="204" customFormat="1" ht="31.5" x14ac:dyDescent="0.25">
      <c r="A963" s="466" t="s">
        <v>839</v>
      </c>
      <c r="B963" s="460">
        <v>908</v>
      </c>
      <c r="C963" s="462" t="s">
        <v>118</v>
      </c>
      <c r="D963" s="462" t="s">
        <v>140</v>
      </c>
      <c r="E963" s="462" t="s">
        <v>956</v>
      </c>
      <c r="F963" s="462"/>
      <c r="G963" s="467">
        <f>G964</f>
        <v>522.5</v>
      </c>
      <c r="H963" s="518"/>
      <c r="I963" s="471"/>
      <c r="J963" s="499"/>
      <c r="K963" s="471"/>
    </row>
    <row r="964" spans="1:12" s="204" customFormat="1" ht="63" x14ac:dyDescent="0.25">
      <c r="A964" s="466" t="s">
        <v>127</v>
      </c>
      <c r="B964" s="460">
        <v>908</v>
      </c>
      <c r="C964" s="462" t="s">
        <v>118</v>
      </c>
      <c r="D964" s="462" t="s">
        <v>140</v>
      </c>
      <c r="E964" s="462" t="s">
        <v>956</v>
      </c>
      <c r="F964" s="462" t="s">
        <v>128</v>
      </c>
      <c r="G964" s="467">
        <f>G965</f>
        <v>522.5</v>
      </c>
      <c r="H964" s="518"/>
      <c r="I964" s="471"/>
      <c r="J964" s="499"/>
      <c r="K964" s="471"/>
    </row>
    <row r="965" spans="1:12" s="204" customFormat="1" ht="31.5" x14ac:dyDescent="0.25">
      <c r="A965" s="466" t="s">
        <v>129</v>
      </c>
      <c r="B965" s="460">
        <v>908</v>
      </c>
      <c r="C965" s="462" t="s">
        <v>118</v>
      </c>
      <c r="D965" s="462" t="s">
        <v>140</v>
      </c>
      <c r="E965" s="462" t="s">
        <v>956</v>
      </c>
      <c r="F965" s="462" t="s">
        <v>209</v>
      </c>
      <c r="G965" s="467">
        <f>1072-500-49.5</f>
        <v>522.5</v>
      </c>
      <c r="H965" s="518"/>
      <c r="I965" s="471"/>
      <c r="J965" s="499"/>
      <c r="K965" s="471"/>
    </row>
    <row r="966" spans="1:12" s="204" customFormat="1" ht="15.75" x14ac:dyDescent="0.25">
      <c r="A966" s="466" t="s">
        <v>801</v>
      </c>
      <c r="B966" s="460">
        <v>908</v>
      </c>
      <c r="C966" s="462" t="s">
        <v>118</v>
      </c>
      <c r="D966" s="462" t="s">
        <v>140</v>
      </c>
      <c r="E966" s="462" t="s">
        <v>955</v>
      </c>
      <c r="F966" s="462"/>
      <c r="G966" s="27">
        <f>G967+G969+G973+G971</f>
        <v>51363.028999999995</v>
      </c>
      <c r="H966" s="518"/>
      <c r="I966" s="471"/>
      <c r="J966" s="499"/>
      <c r="K966" s="471"/>
    </row>
    <row r="967" spans="1:12" ht="74.25" customHeight="1" x14ac:dyDescent="0.25">
      <c r="A967" s="466" t="s">
        <v>127</v>
      </c>
      <c r="B967" s="460">
        <v>908</v>
      </c>
      <c r="C967" s="462" t="s">
        <v>118</v>
      </c>
      <c r="D967" s="462" t="s">
        <v>140</v>
      </c>
      <c r="E967" s="462" t="s">
        <v>955</v>
      </c>
      <c r="F967" s="462" t="s">
        <v>128</v>
      </c>
      <c r="G967" s="27">
        <f>G968</f>
        <v>35232.398999999998</v>
      </c>
      <c r="H967" s="518"/>
      <c r="I967" s="471"/>
      <c r="J967" s="499"/>
      <c r="K967" s="471"/>
      <c r="L967" s="204"/>
    </row>
    <row r="968" spans="1:12" ht="15.75" x14ac:dyDescent="0.25">
      <c r="A968" s="46" t="s">
        <v>342</v>
      </c>
      <c r="B968" s="460">
        <v>908</v>
      </c>
      <c r="C968" s="462" t="s">
        <v>118</v>
      </c>
      <c r="D968" s="462" t="s">
        <v>140</v>
      </c>
      <c r="E968" s="462" t="s">
        <v>955</v>
      </c>
      <c r="F968" s="462" t="s">
        <v>209</v>
      </c>
      <c r="G968" s="27">
        <f>32825.8-1300+632.4-800-136+72.5+700+2350.399-46.8+956.4-482.3+460</f>
        <v>35232.398999999998</v>
      </c>
      <c r="H968" s="519"/>
      <c r="I968" s="471"/>
      <c r="J968" s="499"/>
      <c r="K968" s="499"/>
      <c r="L968" s="204"/>
    </row>
    <row r="969" spans="1:12" ht="31.5" x14ac:dyDescent="0.25">
      <c r="A969" s="466" t="s">
        <v>131</v>
      </c>
      <c r="B969" s="460">
        <v>908</v>
      </c>
      <c r="C969" s="462" t="s">
        <v>118</v>
      </c>
      <c r="D969" s="462" t="s">
        <v>140</v>
      </c>
      <c r="E969" s="462" t="s">
        <v>955</v>
      </c>
      <c r="F969" s="462" t="s">
        <v>132</v>
      </c>
      <c r="G969" s="27">
        <f>G970</f>
        <v>15566.430000000002</v>
      </c>
      <c r="H969" s="518"/>
      <c r="I969" s="471"/>
      <c r="J969" s="499"/>
      <c r="K969" s="471"/>
      <c r="L969" s="204"/>
    </row>
    <row r="970" spans="1:12" ht="31.5" x14ac:dyDescent="0.25">
      <c r="A970" s="466" t="s">
        <v>133</v>
      </c>
      <c r="B970" s="460">
        <v>908</v>
      </c>
      <c r="C970" s="462" t="s">
        <v>118</v>
      </c>
      <c r="D970" s="462" t="s">
        <v>140</v>
      </c>
      <c r="E970" s="462" t="s">
        <v>955</v>
      </c>
      <c r="F970" s="462" t="s">
        <v>134</v>
      </c>
      <c r="G970" s="27">
        <f>6896.3+67+1526.83+3571.3-600+1300+123-506+142.6+41.5+50+247.8+2370-631.8+130+10+536+100+288.5-55-164.8+126.2+51.4-98.4+44</f>
        <v>15566.430000000002</v>
      </c>
      <c r="H970" s="519"/>
      <c r="I970" s="162"/>
      <c r="J970" s="507"/>
      <c r="K970" s="471"/>
      <c r="L970" s="504"/>
    </row>
    <row r="971" spans="1:12" s="204" customFormat="1" ht="15.75" x14ac:dyDescent="0.25">
      <c r="A971" s="466" t="s">
        <v>248</v>
      </c>
      <c r="B971" s="460">
        <v>908</v>
      </c>
      <c r="C971" s="462" t="s">
        <v>118</v>
      </c>
      <c r="D971" s="462" t="s">
        <v>140</v>
      </c>
      <c r="E971" s="462" t="s">
        <v>955</v>
      </c>
      <c r="F971" s="462" t="s">
        <v>249</v>
      </c>
      <c r="G971" s="27">
        <f>G972</f>
        <v>11</v>
      </c>
      <c r="H971" s="521"/>
      <c r="I971" s="478"/>
      <c r="J971" s="507"/>
      <c r="K971" s="471"/>
      <c r="L971" s="545"/>
    </row>
    <row r="972" spans="1:12" s="204" customFormat="1" ht="31.5" x14ac:dyDescent="0.25">
      <c r="A972" s="466" t="s">
        <v>250</v>
      </c>
      <c r="B972" s="460">
        <v>908</v>
      </c>
      <c r="C972" s="462" t="s">
        <v>118</v>
      </c>
      <c r="D972" s="462" t="s">
        <v>140</v>
      </c>
      <c r="E972" s="462" t="s">
        <v>955</v>
      </c>
      <c r="F972" s="462" t="s">
        <v>251</v>
      </c>
      <c r="G972" s="27">
        <v>11</v>
      </c>
      <c r="H972" s="521"/>
      <c r="I972" s="478"/>
      <c r="J972" s="507"/>
      <c r="K972" s="471"/>
      <c r="L972" s="545"/>
    </row>
    <row r="973" spans="1:12" ht="15.75" x14ac:dyDescent="0.25">
      <c r="A973" s="466" t="s">
        <v>135</v>
      </c>
      <c r="B973" s="460">
        <v>908</v>
      </c>
      <c r="C973" s="462" t="s">
        <v>118</v>
      </c>
      <c r="D973" s="462" t="s">
        <v>140</v>
      </c>
      <c r="E973" s="462" t="s">
        <v>955</v>
      </c>
      <c r="F973" s="462" t="s">
        <v>145</v>
      </c>
      <c r="G973" s="27">
        <f>G975+G974</f>
        <v>553.19999999999993</v>
      </c>
      <c r="H973" s="518"/>
      <c r="I973" s="471"/>
      <c r="J973" s="507"/>
      <c r="K973" s="471"/>
      <c r="L973" s="443"/>
    </row>
    <row r="974" spans="1:12" s="204" customFormat="1" ht="15.75" x14ac:dyDescent="0.25">
      <c r="A974" s="466" t="s">
        <v>146</v>
      </c>
      <c r="B974" s="460">
        <v>908</v>
      </c>
      <c r="C974" s="462" t="s">
        <v>118</v>
      </c>
      <c r="D974" s="462" t="s">
        <v>140</v>
      </c>
      <c r="E974" s="462" t="s">
        <v>955</v>
      </c>
      <c r="F974" s="462" t="s">
        <v>147</v>
      </c>
      <c r="G974" s="27">
        <v>10</v>
      </c>
      <c r="H974" s="518"/>
      <c r="I974" s="471"/>
      <c r="J974" s="507"/>
      <c r="K974" s="471"/>
      <c r="L974" s="443"/>
    </row>
    <row r="975" spans="1:12" ht="15.75" x14ac:dyDescent="0.25">
      <c r="A975" s="466" t="s">
        <v>704</v>
      </c>
      <c r="B975" s="460">
        <v>908</v>
      </c>
      <c r="C975" s="462" t="s">
        <v>118</v>
      </c>
      <c r="D975" s="462" t="s">
        <v>140</v>
      </c>
      <c r="E975" s="462" t="s">
        <v>955</v>
      </c>
      <c r="F975" s="462" t="s">
        <v>138</v>
      </c>
      <c r="G975" s="27">
        <f>421+112.8+1.9-2.5+10</f>
        <v>543.19999999999993</v>
      </c>
      <c r="H975" s="518"/>
      <c r="I975" s="471"/>
      <c r="J975" s="507"/>
      <c r="K975" s="471"/>
      <c r="L975" s="443"/>
    </row>
    <row r="976" spans="1:12" s="204" customFormat="1" ht="47.25" x14ac:dyDescent="0.25">
      <c r="A976" s="466" t="s">
        <v>1776</v>
      </c>
      <c r="B976" s="460">
        <v>908</v>
      </c>
      <c r="C976" s="462" t="s">
        <v>118</v>
      </c>
      <c r="D976" s="462" t="s">
        <v>140</v>
      </c>
      <c r="E976" s="462" t="s">
        <v>1792</v>
      </c>
      <c r="F976" s="462"/>
      <c r="G976" s="27">
        <f>G977</f>
        <v>826.95</v>
      </c>
      <c r="H976" s="518"/>
      <c r="I976" s="471"/>
      <c r="J976" s="507"/>
      <c r="K976" s="471"/>
      <c r="L976" s="443"/>
    </row>
    <row r="977" spans="1:12" s="204" customFormat="1" ht="63" x14ac:dyDescent="0.25">
      <c r="A977" s="466" t="s">
        <v>127</v>
      </c>
      <c r="B977" s="460">
        <v>908</v>
      </c>
      <c r="C977" s="462" t="s">
        <v>118</v>
      </c>
      <c r="D977" s="462" t="s">
        <v>140</v>
      </c>
      <c r="E977" s="462" t="s">
        <v>1792</v>
      </c>
      <c r="F977" s="462" t="s">
        <v>128</v>
      </c>
      <c r="G977" s="27">
        <f>G978</f>
        <v>826.95</v>
      </c>
      <c r="H977" s="518"/>
      <c r="I977" s="471"/>
      <c r="J977" s="507"/>
      <c r="K977" s="471"/>
      <c r="L977" s="443"/>
    </row>
    <row r="978" spans="1:12" s="204" customFormat="1" ht="15.75" x14ac:dyDescent="0.25">
      <c r="A978" s="46" t="s">
        <v>342</v>
      </c>
      <c r="B978" s="460">
        <v>908</v>
      </c>
      <c r="C978" s="462" t="s">
        <v>118</v>
      </c>
      <c r="D978" s="462" t="s">
        <v>140</v>
      </c>
      <c r="E978" s="462" t="s">
        <v>1792</v>
      </c>
      <c r="F978" s="462" t="s">
        <v>209</v>
      </c>
      <c r="G978" s="27">
        <v>826.95</v>
      </c>
      <c r="H978" s="518"/>
      <c r="I978" s="471"/>
      <c r="J978" s="507"/>
      <c r="K978" s="471"/>
      <c r="L978" s="443"/>
    </row>
    <row r="979" spans="1:12" ht="31.5" hidden="1" x14ac:dyDescent="0.25">
      <c r="A979" s="464" t="s">
        <v>222</v>
      </c>
      <c r="B979" s="461">
        <v>908</v>
      </c>
      <c r="C979" s="465" t="s">
        <v>215</v>
      </c>
      <c r="D979" s="465"/>
      <c r="E979" s="465"/>
      <c r="F979" s="465"/>
      <c r="G979" s="463">
        <f t="shared" ref="G979:G984" si="4">G980</f>
        <v>0</v>
      </c>
      <c r="H979" s="518"/>
      <c r="I979" s="471"/>
      <c r="J979" s="507"/>
      <c r="K979" s="471"/>
      <c r="L979" s="444"/>
    </row>
    <row r="980" spans="1:12" ht="47.85" hidden="1" customHeight="1" x14ac:dyDescent="0.25">
      <c r="A980" s="464" t="s">
        <v>1356</v>
      </c>
      <c r="B980" s="461">
        <v>908</v>
      </c>
      <c r="C980" s="465" t="s">
        <v>215</v>
      </c>
      <c r="D980" s="465" t="s">
        <v>244</v>
      </c>
      <c r="E980" s="465"/>
      <c r="F980" s="465"/>
      <c r="G980" s="463">
        <f t="shared" si="4"/>
        <v>0</v>
      </c>
      <c r="H980" s="518"/>
      <c r="I980" s="471"/>
      <c r="J980" s="499"/>
      <c r="K980" s="471"/>
      <c r="L980" s="204"/>
    </row>
    <row r="981" spans="1:12" ht="21.75" hidden="1" customHeight="1" x14ac:dyDescent="0.25">
      <c r="A981" s="464" t="s">
        <v>141</v>
      </c>
      <c r="B981" s="461">
        <v>908</v>
      </c>
      <c r="C981" s="465" t="s">
        <v>215</v>
      </c>
      <c r="D981" s="465" t="s">
        <v>244</v>
      </c>
      <c r="E981" s="465" t="s">
        <v>866</v>
      </c>
      <c r="F981" s="465"/>
      <c r="G981" s="463">
        <f t="shared" si="4"/>
        <v>0</v>
      </c>
      <c r="H981" s="518"/>
      <c r="I981" s="471"/>
      <c r="J981" s="499"/>
      <c r="K981" s="471"/>
      <c r="L981" s="204"/>
    </row>
    <row r="982" spans="1:12" ht="31.5" hidden="1" x14ac:dyDescent="0.25">
      <c r="A982" s="464" t="s">
        <v>870</v>
      </c>
      <c r="B982" s="461">
        <v>908</v>
      </c>
      <c r="C982" s="465" t="s">
        <v>215</v>
      </c>
      <c r="D982" s="465" t="s">
        <v>244</v>
      </c>
      <c r="E982" s="465" t="s">
        <v>865</v>
      </c>
      <c r="F982" s="465"/>
      <c r="G982" s="463">
        <f t="shared" si="4"/>
        <v>0</v>
      </c>
      <c r="H982" s="518"/>
      <c r="I982" s="471"/>
      <c r="J982" s="499"/>
      <c r="K982" s="471"/>
      <c r="L982" s="204"/>
    </row>
    <row r="983" spans="1:12" ht="15.75" hidden="1" x14ac:dyDescent="0.25">
      <c r="A983" s="466" t="s">
        <v>230</v>
      </c>
      <c r="B983" s="460">
        <v>908</v>
      </c>
      <c r="C983" s="462" t="s">
        <v>215</v>
      </c>
      <c r="D983" s="462" t="s">
        <v>244</v>
      </c>
      <c r="E983" s="462" t="s">
        <v>876</v>
      </c>
      <c r="F983" s="462"/>
      <c r="G983" s="467">
        <f t="shared" si="4"/>
        <v>0</v>
      </c>
      <c r="H983" s="518"/>
      <c r="I983" s="471"/>
      <c r="J983" s="499"/>
      <c r="K983" s="471"/>
      <c r="L983" s="204"/>
    </row>
    <row r="984" spans="1:12" ht="31.5" hidden="1" x14ac:dyDescent="0.25">
      <c r="A984" s="466" t="s">
        <v>131</v>
      </c>
      <c r="B984" s="460">
        <v>908</v>
      </c>
      <c r="C984" s="462" t="s">
        <v>215</v>
      </c>
      <c r="D984" s="462" t="s">
        <v>244</v>
      </c>
      <c r="E984" s="462" t="s">
        <v>876</v>
      </c>
      <c r="F984" s="462" t="s">
        <v>132</v>
      </c>
      <c r="G984" s="467">
        <f t="shared" si="4"/>
        <v>0</v>
      </c>
      <c r="H984" s="518"/>
      <c r="I984" s="471"/>
      <c r="J984" s="499"/>
      <c r="K984" s="471"/>
      <c r="L984" s="204"/>
    </row>
    <row r="985" spans="1:12" ht="31.5" hidden="1" x14ac:dyDescent="0.25">
      <c r="A985" s="466" t="s">
        <v>133</v>
      </c>
      <c r="B985" s="460">
        <v>908</v>
      </c>
      <c r="C985" s="462" t="s">
        <v>215</v>
      </c>
      <c r="D985" s="462" t="s">
        <v>244</v>
      </c>
      <c r="E985" s="462" t="s">
        <v>876</v>
      </c>
      <c r="F985" s="462" t="s">
        <v>134</v>
      </c>
      <c r="G985" s="467">
        <f>107-31.7-30.1-1.2-44</f>
        <v>0</v>
      </c>
      <c r="H985" s="519"/>
      <c r="I985" s="471"/>
      <c r="J985" s="499"/>
      <c r="K985" s="471"/>
      <c r="L985" s="204"/>
    </row>
    <row r="986" spans="1:12" ht="15.75" x14ac:dyDescent="0.25">
      <c r="A986" s="464" t="s">
        <v>232</v>
      </c>
      <c r="B986" s="461">
        <v>908</v>
      </c>
      <c r="C986" s="465" t="s">
        <v>150</v>
      </c>
      <c r="D986" s="465"/>
      <c r="E986" s="465"/>
      <c r="F986" s="465"/>
      <c r="G986" s="463">
        <f>G987+G993</f>
        <v>8102.5</v>
      </c>
      <c r="H986" s="518"/>
      <c r="I986" s="471"/>
      <c r="J986" s="499"/>
      <c r="K986" s="471"/>
      <c r="L986" s="204"/>
    </row>
    <row r="987" spans="1:12" ht="15.75" x14ac:dyDescent="0.25">
      <c r="A987" s="464" t="s">
        <v>505</v>
      </c>
      <c r="B987" s="461">
        <v>908</v>
      </c>
      <c r="C987" s="465" t="s">
        <v>150</v>
      </c>
      <c r="D987" s="465" t="s">
        <v>299</v>
      </c>
      <c r="E987" s="465"/>
      <c r="F987" s="465"/>
      <c r="G987" s="463">
        <f>G988</f>
        <v>3258</v>
      </c>
      <c r="H987" s="518"/>
      <c r="I987" s="471"/>
      <c r="J987" s="499"/>
      <c r="K987" s="471"/>
      <c r="L987" s="204"/>
    </row>
    <row r="988" spans="1:12" ht="15.75" x14ac:dyDescent="0.25">
      <c r="A988" s="464" t="s">
        <v>141</v>
      </c>
      <c r="B988" s="461">
        <v>908</v>
      </c>
      <c r="C988" s="465" t="s">
        <v>150</v>
      </c>
      <c r="D988" s="465" t="s">
        <v>299</v>
      </c>
      <c r="E988" s="465" t="s">
        <v>866</v>
      </c>
      <c r="F988" s="465"/>
      <c r="G988" s="463">
        <f>G989</f>
        <v>3258</v>
      </c>
      <c r="H988" s="518"/>
      <c r="I988" s="471"/>
      <c r="J988" s="499"/>
      <c r="K988" s="471"/>
      <c r="L988" s="204"/>
    </row>
    <row r="989" spans="1:12" ht="31.5" x14ac:dyDescent="0.25">
      <c r="A989" s="464" t="s">
        <v>870</v>
      </c>
      <c r="B989" s="461">
        <v>908</v>
      </c>
      <c r="C989" s="465" t="s">
        <v>150</v>
      </c>
      <c r="D989" s="465" t="s">
        <v>299</v>
      </c>
      <c r="E989" s="465" t="s">
        <v>865</v>
      </c>
      <c r="F989" s="465"/>
      <c r="G989" s="463">
        <f>G990</f>
        <v>3258</v>
      </c>
      <c r="H989" s="518"/>
      <c r="I989" s="471"/>
      <c r="J989" s="499"/>
      <c r="K989" s="471"/>
      <c r="L989" s="204"/>
    </row>
    <row r="990" spans="1:12" ht="18" customHeight="1" x14ac:dyDescent="0.25">
      <c r="A990" s="466" t="s">
        <v>506</v>
      </c>
      <c r="B990" s="460">
        <v>908</v>
      </c>
      <c r="C990" s="462" t="s">
        <v>150</v>
      </c>
      <c r="D990" s="462" t="s">
        <v>299</v>
      </c>
      <c r="E990" s="462" t="s">
        <v>957</v>
      </c>
      <c r="F990" s="462"/>
      <c r="G990" s="467">
        <f>G991</f>
        <v>3258</v>
      </c>
      <c r="H990" s="518"/>
      <c r="I990" s="471"/>
      <c r="J990" s="499"/>
      <c r="K990" s="471"/>
      <c r="L990" s="204"/>
    </row>
    <row r="991" spans="1:12" ht="31.5" x14ac:dyDescent="0.25">
      <c r="A991" s="466" t="s">
        <v>131</v>
      </c>
      <c r="B991" s="460">
        <v>908</v>
      </c>
      <c r="C991" s="462" t="s">
        <v>150</v>
      </c>
      <c r="D991" s="462" t="s">
        <v>299</v>
      </c>
      <c r="E991" s="462" t="s">
        <v>957</v>
      </c>
      <c r="F991" s="462" t="s">
        <v>132</v>
      </c>
      <c r="G991" s="467">
        <f>G992</f>
        <v>3258</v>
      </c>
      <c r="H991" s="518"/>
      <c r="I991" s="471"/>
      <c r="J991" s="499"/>
      <c r="K991" s="471"/>
      <c r="L991" s="204"/>
    </row>
    <row r="992" spans="1:12" ht="31.5" x14ac:dyDescent="0.25">
      <c r="A992" s="466" t="s">
        <v>133</v>
      </c>
      <c r="B992" s="460">
        <v>908</v>
      </c>
      <c r="C992" s="462" t="s">
        <v>150</v>
      </c>
      <c r="D992" s="462" t="s">
        <v>299</v>
      </c>
      <c r="E992" s="462" t="s">
        <v>957</v>
      </c>
      <c r="F992" s="462" t="s">
        <v>134</v>
      </c>
      <c r="G992" s="467">
        <v>3258</v>
      </c>
      <c r="H992" s="518"/>
      <c r="I992" s="471"/>
      <c r="J992" s="499"/>
      <c r="K992" s="471"/>
      <c r="L992" s="204"/>
    </row>
    <row r="993" spans="1:12" ht="15.75" x14ac:dyDescent="0.25">
      <c r="A993" s="464" t="s">
        <v>508</v>
      </c>
      <c r="B993" s="461">
        <v>908</v>
      </c>
      <c r="C993" s="465" t="s">
        <v>150</v>
      </c>
      <c r="D993" s="465" t="s">
        <v>219</v>
      </c>
      <c r="E993" s="462"/>
      <c r="F993" s="465"/>
      <c r="G993" s="463">
        <f>G994</f>
        <v>4844.5</v>
      </c>
      <c r="H993" s="518"/>
      <c r="I993" s="471"/>
      <c r="J993" s="499"/>
      <c r="K993" s="471"/>
      <c r="L993" s="204"/>
    </row>
    <row r="994" spans="1:12" ht="36.75" customHeight="1" x14ac:dyDescent="0.25">
      <c r="A994" s="34" t="s">
        <v>1372</v>
      </c>
      <c r="B994" s="461">
        <v>908</v>
      </c>
      <c r="C994" s="465" t="s">
        <v>150</v>
      </c>
      <c r="D994" s="465" t="s">
        <v>219</v>
      </c>
      <c r="E994" s="465" t="s">
        <v>510</v>
      </c>
      <c r="F994" s="465"/>
      <c r="G994" s="463">
        <f>G1000+G995</f>
        <v>4844.5</v>
      </c>
      <c r="H994" s="518"/>
      <c r="I994" s="471"/>
      <c r="J994" s="499"/>
      <c r="K994" s="471"/>
      <c r="L994" s="204"/>
    </row>
    <row r="995" spans="1:12" s="204" customFormat="1" ht="31.5" hidden="1" x14ac:dyDescent="0.25">
      <c r="A995" s="34" t="s">
        <v>999</v>
      </c>
      <c r="B995" s="461">
        <v>908</v>
      </c>
      <c r="C995" s="465" t="s">
        <v>150</v>
      </c>
      <c r="D995" s="465" t="s">
        <v>219</v>
      </c>
      <c r="E995" s="7" t="s">
        <v>958</v>
      </c>
      <c r="F995" s="465"/>
      <c r="G995" s="463">
        <f>G996</f>
        <v>0</v>
      </c>
      <c r="H995" s="518"/>
      <c r="I995" s="471"/>
      <c r="J995" s="499"/>
      <c r="K995" s="471"/>
    </row>
    <row r="996" spans="1:12" s="204" customFormat="1" ht="15.75" hidden="1" x14ac:dyDescent="0.25">
      <c r="A996" s="29" t="s">
        <v>1001</v>
      </c>
      <c r="B996" s="460">
        <v>908</v>
      </c>
      <c r="C996" s="462" t="s">
        <v>150</v>
      </c>
      <c r="D996" s="462" t="s">
        <v>219</v>
      </c>
      <c r="E996" s="469" t="s">
        <v>1000</v>
      </c>
      <c r="F996" s="462"/>
      <c r="G996" s="467">
        <f>G997</f>
        <v>0</v>
      </c>
      <c r="H996" s="518"/>
      <c r="I996" s="471"/>
      <c r="J996" s="499"/>
      <c r="K996" s="471"/>
    </row>
    <row r="997" spans="1:12" s="204" customFormat="1" ht="31.5" hidden="1" x14ac:dyDescent="0.25">
      <c r="A997" s="466" t="s">
        <v>131</v>
      </c>
      <c r="B997" s="460">
        <v>908</v>
      </c>
      <c r="C997" s="462" t="s">
        <v>150</v>
      </c>
      <c r="D997" s="462" t="s">
        <v>219</v>
      </c>
      <c r="E997" s="469" t="s">
        <v>1000</v>
      </c>
      <c r="F997" s="462" t="s">
        <v>132</v>
      </c>
      <c r="G997" s="467">
        <f>G998</f>
        <v>0</v>
      </c>
      <c r="H997" s="518"/>
      <c r="I997" s="471"/>
      <c r="J997" s="499"/>
      <c r="K997" s="471"/>
    </row>
    <row r="998" spans="1:12" s="204" customFormat="1" ht="31.5" hidden="1" x14ac:dyDescent="0.25">
      <c r="A998" s="466" t="s">
        <v>133</v>
      </c>
      <c r="B998" s="460">
        <v>908</v>
      </c>
      <c r="C998" s="462" t="s">
        <v>150</v>
      </c>
      <c r="D998" s="462" t="s">
        <v>219</v>
      </c>
      <c r="E998" s="469" t="s">
        <v>1000</v>
      </c>
      <c r="F998" s="462" t="s">
        <v>134</v>
      </c>
      <c r="G998" s="467">
        <v>0</v>
      </c>
      <c r="H998" s="518"/>
      <c r="I998" s="471"/>
      <c r="J998" s="499"/>
      <c r="K998" s="471"/>
    </row>
    <row r="999" spans="1:12" s="204" customFormat="1" ht="31.5" x14ac:dyDescent="0.25">
      <c r="A999" s="34" t="s">
        <v>1063</v>
      </c>
      <c r="B999" s="461">
        <v>908</v>
      </c>
      <c r="C999" s="465" t="s">
        <v>150</v>
      </c>
      <c r="D999" s="465" t="s">
        <v>219</v>
      </c>
      <c r="E999" s="465" t="s">
        <v>959</v>
      </c>
      <c r="F999" s="465"/>
      <c r="G999" s="463">
        <f>G1000</f>
        <v>4844.5</v>
      </c>
      <c r="H999" s="518"/>
      <c r="I999" s="471"/>
      <c r="J999" s="499"/>
      <c r="K999" s="471"/>
    </row>
    <row r="1000" spans="1:12" ht="15.75" x14ac:dyDescent="0.25">
      <c r="A1000" s="29" t="s">
        <v>511</v>
      </c>
      <c r="B1000" s="460">
        <v>908</v>
      </c>
      <c r="C1000" s="462" t="s">
        <v>150</v>
      </c>
      <c r="D1000" s="462" t="s">
        <v>219</v>
      </c>
      <c r="E1000" s="469" t="s">
        <v>1002</v>
      </c>
      <c r="F1000" s="462"/>
      <c r="G1000" s="467">
        <f>G1003+G1005+G1001</f>
        <v>4844.5</v>
      </c>
      <c r="H1000" s="518"/>
      <c r="I1000" s="471"/>
      <c r="J1000" s="499"/>
      <c r="K1000" s="471"/>
      <c r="L1000" s="204"/>
    </row>
    <row r="1001" spans="1:12" s="204" customFormat="1" ht="63" x14ac:dyDescent="0.25">
      <c r="A1001" s="466" t="s">
        <v>127</v>
      </c>
      <c r="B1001" s="460">
        <v>908</v>
      </c>
      <c r="C1001" s="462" t="s">
        <v>150</v>
      </c>
      <c r="D1001" s="462" t="s">
        <v>219</v>
      </c>
      <c r="E1001" s="469" t="s">
        <v>1002</v>
      </c>
      <c r="F1001" s="462" t="s">
        <v>128</v>
      </c>
      <c r="G1001" s="467">
        <f>G1002</f>
        <v>2367.8000000000002</v>
      </c>
      <c r="H1001" s="518"/>
      <c r="I1001" s="471"/>
      <c r="J1001" s="499"/>
      <c r="K1001" s="471"/>
    </row>
    <row r="1002" spans="1:12" s="204" customFormat="1" ht="15.75" x14ac:dyDescent="0.25">
      <c r="A1002" s="466" t="s">
        <v>342</v>
      </c>
      <c r="B1002" s="460">
        <v>908</v>
      </c>
      <c r="C1002" s="462" t="s">
        <v>150</v>
      </c>
      <c r="D1002" s="462" t="s">
        <v>219</v>
      </c>
      <c r="E1002" s="469" t="s">
        <v>1002</v>
      </c>
      <c r="F1002" s="462" t="s">
        <v>209</v>
      </c>
      <c r="G1002" s="467">
        <f>1807+400+160.8</f>
        <v>2367.8000000000002</v>
      </c>
      <c r="H1002" s="518"/>
      <c r="I1002" s="471"/>
      <c r="J1002" s="499"/>
      <c r="K1002" s="471"/>
    </row>
    <row r="1003" spans="1:12" ht="31.5" x14ac:dyDescent="0.25">
      <c r="A1003" s="466" t="s">
        <v>131</v>
      </c>
      <c r="B1003" s="460">
        <v>908</v>
      </c>
      <c r="C1003" s="462" t="s">
        <v>150</v>
      </c>
      <c r="D1003" s="462" t="s">
        <v>219</v>
      </c>
      <c r="E1003" s="469" t="s">
        <v>1002</v>
      </c>
      <c r="F1003" s="462" t="s">
        <v>132</v>
      </c>
      <c r="G1003" s="467">
        <f>G1004</f>
        <v>2476.7000000000003</v>
      </c>
      <c r="H1003" s="518"/>
      <c r="I1003" s="471"/>
      <c r="J1003" s="499"/>
      <c r="K1003" s="471"/>
      <c r="L1003" s="204"/>
    </row>
    <row r="1004" spans="1:12" ht="31.5" x14ac:dyDescent="0.25">
      <c r="A1004" s="466" t="s">
        <v>133</v>
      </c>
      <c r="B1004" s="460">
        <v>908</v>
      </c>
      <c r="C1004" s="462" t="s">
        <v>150</v>
      </c>
      <c r="D1004" s="462" t="s">
        <v>219</v>
      </c>
      <c r="E1004" s="469" t="s">
        <v>1002</v>
      </c>
      <c r="F1004" s="462" t="s">
        <v>134</v>
      </c>
      <c r="G1004" s="467">
        <f>3600-1807-410.6-205.4-665+600+200+70+653.9+653.9+16-431.1+187.1+631.8-125-5-106.6-187.1-190.3-2.9</f>
        <v>2476.7000000000003</v>
      </c>
      <c r="H1004" s="527"/>
      <c r="I1004" s="471"/>
      <c r="J1004" s="499"/>
      <c r="K1004" s="471"/>
      <c r="L1004" s="204"/>
    </row>
    <row r="1005" spans="1:12" ht="15.75" hidden="1" x14ac:dyDescent="0.25">
      <c r="A1005" s="466" t="s">
        <v>135</v>
      </c>
      <c r="B1005" s="460">
        <v>908</v>
      </c>
      <c r="C1005" s="462" t="s">
        <v>150</v>
      </c>
      <c r="D1005" s="462" t="s">
        <v>219</v>
      </c>
      <c r="E1005" s="469" t="s">
        <v>1002</v>
      </c>
      <c r="F1005" s="462" t="s">
        <v>145</v>
      </c>
      <c r="G1005" s="467">
        <f>G1006</f>
        <v>0</v>
      </c>
      <c r="H1005" s="518"/>
      <c r="I1005" s="471"/>
      <c r="J1005" s="499"/>
      <c r="K1005" s="471"/>
      <c r="L1005" s="204"/>
    </row>
    <row r="1006" spans="1:12" ht="15.75" hidden="1" x14ac:dyDescent="0.25">
      <c r="A1006" s="466" t="s">
        <v>568</v>
      </c>
      <c r="B1006" s="460">
        <v>908</v>
      </c>
      <c r="C1006" s="462" t="s">
        <v>150</v>
      </c>
      <c r="D1006" s="462" t="s">
        <v>219</v>
      </c>
      <c r="E1006" s="469" t="s">
        <v>1002</v>
      </c>
      <c r="F1006" s="462" t="s">
        <v>138</v>
      </c>
      <c r="G1006" s="467">
        <v>0</v>
      </c>
      <c r="H1006" s="518"/>
      <c r="I1006" s="471"/>
      <c r="J1006" s="499"/>
      <c r="K1006" s="471"/>
      <c r="L1006" s="204"/>
    </row>
    <row r="1007" spans="1:12" ht="15.75" x14ac:dyDescent="0.25">
      <c r="A1007" s="464" t="s">
        <v>390</v>
      </c>
      <c r="B1007" s="461">
        <v>908</v>
      </c>
      <c r="C1007" s="465" t="s">
        <v>234</v>
      </c>
      <c r="D1007" s="465"/>
      <c r="E1007" s="465"/>
      <c r="F1007" s="465"/>
      <c r="G1007" s="463">
        <f>G1008+G1025+G1094+G1156</f>
        <v>201032.67168</v>
      </c>
      <c r="H1007" s="518"/>
      <c r="I1007" s="471"/>
      <c r="J1007" s="499"/>
      <c r="K1007" s="471"/>
      <c r="L1007" s="204"/>
    </row>
    <row r="1008" spans="1:12" ht="15.75" x14ac:dyDescent="0.25">
      <c r="A1008" s="464" t="s">
        <v>391</v>
      </c>
      <c r="B1008" s="461">
        <v>908</v>
      </c>
      <c r="C1008" s="465" t="s">
        <v>234</v>
      </c>
      <c r="D1008" s="465" t="s">
        <v>118</v>
      </c>
      <c r="E1008" s="465"/>
      <c r="F1008" s="465"/>
      <c r="G1008" s="463">
        <f>G1009</f>
        <v>23523.803469999999</v>
      </c>
      <c r="H1008" s="518"/>
      <c r="I1008" s="471"/>
      <c r="J1008" s="499"/>
      <c r="K1008" s="471"/>
      <c r="L1008" s="204"/>
    </row>
    <row r="1009" spans="1:12" ht="15.75" x14ac:dyDescent="0.25">
      <c r="A1009" s="464" t="s">
        <v>141</v>
      </c>
      <c r="B1009" s="461">
        <v>908</v>
      </c>
      <c r="C1009" s="465" t="s">
        <v>234</v>
      </c>
      <c r="D1009" s="465" t="s">
        <v>118</v>
      </c>
      <c r="E1009" s="465" t="s">
        <v>866</v>
      </c>
      <c r="F1009" s="465"/>
      <c r="G1009" s="463">
        <f>G1010</f>
        <v>23523.803469999999</v>
      </c>
      <c r="H1009" s="518"/>
      <c r="I1009" s="471"/>
      <c r="J1009" s="499"/>
      <c r="K1009" s="471"/>
      <c r="L1009" s="204"/>
    </row>
    <row r="1010" spans="1:12" ht="31.5" x14ac:dyDescent="0.25">
      <c r="A1010" s="464" t="s">
        <v>870</v>
      </c>
      <c r="B1010" s="461">
        <v>908</v>
      </c>
      <c r="C1010" s="465" t="s">
        <v>234</v>
      </c>
      <c r="D1010" s="465" t="s">
        <v>118</v>
      </c>
      <c r="E1010" s="465" t="s">
        <v>865</v>
      </c>
      <c r="F1010" s="465"/>
      <c r="G1010" s="463">
        <f>G1019+G1016+G1011+G1022</f>
        <v>23523.803469999999</v>
      </c>
      <c r="H1010" s="518"/>
      <c r="I1010" s="471"/>
      <c r="J1010" s="499"/>
      <c r="K1010" s="471"/>
      <c r="L1010" s="204"/>
    </row>
    <row r="1011" spans="1:12" ht="15.75" x14ac:dyDescent="0.25">
      <c r="A1011" s="466" t="s">
        <v>515</v>
      </c>
      <c r="B1011" s="460">
        <v>908</v>
      </c>
      <c r="C1011" s="462" t="s">
        <v>774</v>
      </c>
      <c r="D1011" s="462" t="s">
        <v>118</v>
      </c>
      <c r="E1011" s="462" t="s">
        <v>960</v>
      </c>
      <c r="F1011" s="465"/>
      <c r="G1011" s="467">
        <f>G1014+G1012</f>
        <v>883.40000000000009</v>
      </c>
      <c r="H1011" s="518"/>
      <c r="I1011" s="471"/>
      <c r="J1011" s="499"/>
      <c r="K1011" s="471"/>
      <c r="L1011" s="204"/>
    </row>
    <row r="1012" spans="1:12" s="204" customFormat="1" ht="31.5" x14ac:dyDescent="0.25">
      <c r="A1012" s="466" t="s">
        <v>131</v>
      </c>
      <c r="B1012" s="460">
        <v>908</v>
      </c>
      <c r="C1012" s="462" t="s">
        <v>234</v>
      </c>
      <c r="D1012" s="462" t="s">
        <v>118</v>
      </c>
      <c r="E1012" s="462" t="s">
        <v>960</v>
      </c>
      <c r="F1012" s="462" t="s">
        <v>132</v>
      </c>
      <c r="G1012" s="467">
        <f>G1013</f>
        <v>883.40000000000009</v>
      </c>
      <c r="H1012" s="518"/>
      <c r="I1012" s="471"/>
      <c r="J1012" s="499"/>
      <c r="K1012" s="471"/>
    </row>
    <row r="1013" spans="1:12" s="204" customFormat="1" ht="31.5" x14ac:dyDescent="0.25">
      <c r="A1013" s="466" t="s">
        <v>133</v>
      </c>
      <c r="B1013" s="460">
        <v>908</v>
      </c>
      <c r="C1013" s="462" t="s">
        <v>234</v>
      </c>
      <c r="D1013" s="462" t="s">
        <v>118</v>
      </c>
      <c r="E1013" s="462" t="s">
        <v>960</v>
      </c>
      <c r="F1013" s="462" t="s">
        <v>134</v>
      </c>
      <c r="G1013" s="467">
        <f>75+30+75+264+196.2+357.2-111.6-47.4-5+50</f>
        <v>883.40000000000009</v>
      </c>
      <c r="H1013" s="519"/>
      <c r="I1013" s="471"/>
      <c r="J1013" s="499"/>
      <c r="K1013" s="471"/>
    </row>
    <row r="1014" spans="1:12" ht="15.75" hidden="1" x14ac:dyDescent="0.25">
      <c r="A1014" s="466" t="s">
        <v>135</v>
      </c>
      <c r="B1014" s="460">
        <v>908</v>
      </c>
      <c r="C1014" s="462" t="s">
        <v>234</v>
      </c>
      <c r="D1014" s="462" t="s">
        <v>118</v>
      </c>
      <c r="E1014" s="462" t="s">
        <v>960</v>
      </c>
      <c r="F1014" s="462" t="s">
        <v>145</v>
      </c>
      <c r="G1014" s="467">
        <f>G1015</f>
        <v>0</v>
      </c>
      <c r="H1014" s="518"/>
      <c r="I1014" s="471"/>
      <c r="J1014" s="499"/>
      <c r="K1014" s="471"/>
      <c r="L1014" s="204"/>
    </row>
    <row r="1015" spans="1:12" ht="48.75" hidden="1" customHeight="1" x14ac:dyDescent="0.25">
      <c r="A1015" s="466" t="s">
        <v>184</v>
      </c>
      <c r="B1015" s="460">
        <v>908</v>
      </c>
      <c r="C1015" s="462" t="s">
        <v>234</v>
      </c>
      <c r="D1015" s="462" t="s">
        <v>118</v>
      </c>
      <c r="E1015" s="462" t="s">
        <v>960</v>
      </c>
      <c r="F1015" s="462" t="s">
        <v>160</v>
      </c>
      <c r="G1015" s="467"/>
      <c r="H1015" s="518"/>
      <c r="I1015" s="471"/>
      <c r="J1015" s="499"/>
      <c r="K1015" s="471"/>
      <c r="L1015" s="204"/>
    </row>
    <row r="1016" spans="1:12" ht="31.5" x14ac:dyDescent="0.25">
      <c r="A1016" s="29" t="s">
        <v>398</v>
      </c>
      <c r="B1016" s="460">
        <v>908</v>
      </c>
      <c r="C1016" s="462" t="s">
        <v>234</v>
      </c>
      <c r="D1016" s="462" t="s">
        <v>118</v>
      </c>
      <c r="E1016" s="462" t="s">
        <v>961</v>
      </c>
      <c r="F1016" s="465"/>
      <c r="G1016" s="467">
        <f>G1017</f>
        <v>4650</v>
      </c>
      <c r="H1016" s="518"/>
      <c r="I1016" s="471"/>
      <c r="J1016" s="499"/>
      <c r="K1016" s="471"/>
      <c r="L1016" s="204"/>
    </row>
    <row r="1017" spans="1:12" ht="31.5" x14ac:dyDescent="0.25">
      <c r="A1017" s="466" t="s">
        <v>131</v>
      </c>
      <c r="B1017" s="460">
        <v>908</v>
      </c>
      <c r="C1017" s="462" t="s">
        <v>234</v>
      </c>
      <c r="D1017" s="462" t="s">
        <v>118</v>
      </c>
      <c r="E1017" s="462" t="s">
        <v>961</v>
      </c>
      <c r="F1017" s="462" t="s">
        <v>132</v>
      </c>
      <c r="G1017" s="467">
        <f>G1018</f>
        <v>4650</v>
      </c>
      <c r="H1017" s="518"/>
      <c r="I1017" s="471"/>
      <c r="J1017" s="499"/>
      <c r="K1017" s="471"/>
      <c r="L1017" s="204"/>
    </row>
    <row r="1018" spans="1:12" ht="33" customHeight="1" x14ac:dyDescent="0.25">
      <c r="A1018" s="466" t="s">
        <v>133</v>
      </c>
      <c r="B1018" s="460">
        <v>908</v>
      </c>
      <c r="C1018" s="462" t="s">
        <v>234</v>
      </c>
      <c r="D1018" s="462" t="s">
        <v>118</v>
      </c>
      <c r="E1018" s="462" t="s">
        <v>961</v>
      </c>
      <c r="F1018" s="462" t="s">
        <v>134</v>
      </c>
      <c r="G1018" s="27">
        <v>4650</v>
      </c>
      <c r="H1018" s="518"/>
      <c r="I1018" s="471"/>
      <c r="J1018" s="499"/>
      <c r="K1018" s="471"/>
      <c r="L1018" s="204"/>
    </row>
    <row r="1019" spans="1:12" ht="31.5" x14ac:dyDescent="0.25">
      <c r="A1019" s="29" t="s">
        <v>932</v>
      </c>
      <c r="B1019" s="460">
        <v>908</v>
      </c>
      <c r="C1019" s="462" t="s">
        <v>234</v>
      </c>
      <c r="D1019" s="462" t="s">
        <v>118</v>
      </c>
      <c r="E1019" s="462" t="s">
        <v>962</v>
      </c>
      <c r="F1019" s="465"/>
      <c r="G1019" s="467">
        <f>G1020</f>
        <v>1141.3000000000002</v>
      </c>
      <c r="H1019" s="518"/>
      <c r="I1019" s="471"/>
      <c r="J1019" s="499"/>
      <c r="K1019" s="471"/>
      <c r="L1019" s="204"/>
    </row>
    <row r="1020" spans="1:12" ht="31.5" x14ac:dyDescent="0.25">
      <c r="A1020" s="466" t="s">
        <v>131</v>
      </c>
      <c r="B1020" s="460">
        <v>908</v>
      </c>
      <c r="C1020" s="462" t="s">
        <v>234</v>
      </c>
      <c r="D1020" s="462" t="s">
        <v>118</v>
      </c>
      <c r="E1020" s="462" t="s">
        <v>962</v>
      </c>
      <c r="F1020" s="462" t="s">
        <v>132</v>
      </c>
      <c r="G1020" s="467">
        <f>G1021</f>
        <v>1141.3000000000002</v>
      </c>
      <c r="H1020" s="518"/>
      <c r="I1020" s="471"/>
      <c r="J1020" s="499"/>
      <c r="K1020" s="471"/>
      <c r="L1020" s="204"/>
    </row>
    <row r="1021" spans="1:12" ht="33" customHeight="1" x14ac:dyDescent="0.25">
      <c r="A1021" s="466" t="s">
        <v>133</v>
      </c>
      <c r="B1021" s="460">
        <v>908</v>
      </c>
      <c r="C1021" s="462" t="s">
        <v>234</v>
      </c>
      <c r="D1021" s="462" t="s">
        <v>118</v>
      </c>
      <c r="E1021" s="462" t="s">
        <v>962</v>
      </c>
      <c r="F1021" s="462" t="s">
        <v>134</v>
      </c>
      <c r="G1021" s="467">
        <f>1140-395.8+397.1</f>
        <v>1141.3000000000002</v>
      </c>
      <c r="H1021" s="519"/>
      <c r="I1021" s="497"/>
      <c r="J1021" s="499"/>
      <c r="K1021" s="471"/>
      <c r="L1021" s="510"/>
    </row>
    <row r="1022" spans="1:12" s="204" customFormat="1" ht="33" customHeight="1" x14ac:dyDescent="0.25">
      <c r="A1022" s="466" t="s">
        <v>1626</v>
      </c>
      <c r="B1022" s="460">
        <v>908</v>
      </c>
      <c r="C1022" s="462" t="s">
        <v>234</v>
      </c>
      <c r="D1022" s="462" t="s">
        <v>118</v>
      </c>
      <c r="E1022" s="462" t="s">
        <v>1627</v>
      </c>
      <c r="F1022" s="462"/>
      <c r="G1022" s="467">
        <f>G1023</f>
        <v>16849.103469999998</v>
      </c>
      <c r="H1022" s="518"/>
      <c r="I1022" s="471"/>
      <c r="J1022" s="499"/>
      <c r="K1022" s="471"/>
    </row>
    <row r="1023" spans="1:12" s="204" customFormat="1" ht="33" customHeight="1" x14ac:dyDescent="0.25">
      <c r="A1023" s="466" t="s">
        <v>131</v>
      </c>
      <c r="B1023" s="460">
        <v>908</v>
      </c>
      <c r="C1023" s="462" t="s">
        <v>234</v>
      </c>
      <c r="D1023" s="462" t="s">
        <v>118</v>
      </c>
      <c r="E1023" s="462" t="s">
        <v>1627</v>
      </c>
      <c r="F1023" s="462" t="s">
        <v>132</v>
      </c>
      <c r="G1023" s="467">
        <f>G1024</f>
        <v>16849.103469999998</v>
      </c>
      <c r="H1023" s="518"/>
      <c r="I1023" s="471"/>
      <c r="J1023" s="499"/>
      <c r="K1023" s="471"/>
    </row>
    <row r="1024" spans="1:12" s="204" customFormat="1" ht="33" customHeight="1" x14ac:dyDescent="0.25">
      <c r="A1024" s="466" t="s">
        <v>133</v>
      </c>
      <c r="B1024" s="460">
        <v>908</v>
      </c>
      <c r="C1024" s="462" t="s">
        <v>234</v>
      </c>
      <c r="D1024" s="462" t="s">
        <v>118</v>
      </c>
      <c r="E1024" s="462" t="s">
        <v>1627</v>
      </c>
      <c r="F1024" s="462" t="s">
        <v>134</v>
      </c>
      <c r="G1024" s="467">
        <f>16158.4+690.8+700-700+0.1-0.19653</f>
        <v>16849.103469999998</v>
      </c>
      <c r="H1024" s="519"/>
      <c r="I1024" s="162"/>
      <c r="J1024" s="499"/>
      <c r="K1024" s="499"/>
    </row>
    <row r="1025" spans="1:15" ht="15.75" x14ac:dyDescent="0.25">
      <c r="A1025" s="464" t="s">
        <v>517</v>
      </c>
      <c r="B1025" s="461">
        <v>908</v>
      </c>
      <c r="C1025" s="465" t="s">
        <v>234</v>
      </c>
      <c r="D1025" s="465" t="s">
        <v>213</v>
      </c>
      <c r="E1025" s="465"/>
      <c r="F1025" s="465"/>
      <c r="G1025" s="463">
        <f>G1026+G1056+G1089</f>
        <v>92512.65241000001</v>
      </c>
      <c r="H1025" s="518"/>
      <c r="I1025" s="491"/>
      <c r="J1025" s="499"/>
      <c r="K1025" s="471"/>
      <c r="L1025" s="204"/>
    </row>
    <row r="1026" spans="1:15" s="204" customFormat="1" ht="15.75" x14ac:dyDescent="0.25">
      <c r="A1026" s="464" t="s">
        <v>141</v>
      </c>
      <c r="B1026" s="461">
        <v>908</v>
      </c>
      <c r="C1026" s="465" t="s">
        <v>234</v>
      </c>
      <c r="D1026" s="465" t="s">
        <v>213</v>
      </c>
      <c r="E1026" s="465" t="s">
        <v>866</v>
      </c>
      <c r="F1026" s="465"/>
      <c r="G1026" s="463">
        <f>G1027+G1039</f>
        <v>35452.059700000005</v>
      </c>
      <c r="H1026" s="518"/>
      <c r="I1026" s="471"/>
      <c r="J1026" s="499"/>
      <c r="K1026" s="471"/>
    </row>
    <row r="1027" spans="1:15" s="204" customFormat="1" ht="31.5" x14ac:dyDescent="0.25">
      <c r="A1027" s="464" t="s">
        <v>870</v>
      </c>
      <c r="B1027" s="461">
        <v>908</v>
      </c>
      <c r="C1027" s="465" t="s">
        <v>234</v>
      </c>
      <c r="D1027" s="465" t="s">
        <v>213</v>
      </c>
      <c r="E1027" s="465" t="s">
        <v>865</v>
      </c>
      <c r="F1027" s="465"/>
      <c r="G1027" s="463">
        <f>G1028+G1034</f>
        <v>30145.010000000002</v>
      </c>
      <c r="H1027" s="518"/>
      <c r="I1027" s="471"/>
      <c r="J1027" s="499"/>
      <c r="K1027" s="471"/>
    </row>
    <row r="1028" spans="1:15" s="204" customFormat="1" ht="15.75" x14ac:dyDescent="0.25">
      <c r="A1028" s="35" t="s">
        <v>537</v>
      </c>
      <c r="B1028" s="460">
        <v>908</v>
      </c>
      <c r="C1028" s="462" t="s">
        <v>234</v>
      </c>
      <c r="D1028" s="462" t="s">
        <v>213</v>
      </c>
      <c r="E1028" s="462" t="s">
        <v>979</v>
      </c>
      <c r="F1028" s="462"/>
      <c r="G1028" s="467">
        <f>G1029</f>
        <v>7029.3000000000029</v>
      </c>
      <c r="H1028" s="518"/>
      <c r="I1028" s="471"/>
      <c r="J1028" s="499"/>
      <c r="K1028" s="471"/>
    </row>
    <row r="1029" spans="1:15" s="204" customFormat="1" ht="31.5" x14ac:dyDescent="0.25">
      <c r="A1029" s="466" t="s">
        <v>131</v>
      </c>
      <c r="B1029" s="460">
        <v>908</v>
      </c>
      <c r="C1029" s="462" t="s">
        <v>234</v>
      </c>
      <c r="D1029" s="462" t="s">
        <v>213</v>
      </c>
      <c r="E1029" s="462" t="s">
        <v>979</v>
      </c>
      <c r="F1029" s="462" t="s">
        <v>132</v>
      </c>
      <c r="G1029" s="467">
        <f>G1030</f>
        <v>7029.3000000000029</v>
      </c>
      <c r="H1029" s="518"/>
      <c r="I1029" s="471"/>
      <c r="J1029" s="499"/>
      <c r="K1029" s="471"/>
    </row>
    <row r="1030" spans="1:15" s="204" customFormat="1" ht="31.5" x14ac:dyDescent="0.25">
      <c r="A1030" s="466" t="s">
        <v>133</v>
      </c>
      <c r="B1030" s="460">
        <v>908</v>
      </c>
      <c r="C1030" s="462" t="s">
        <v>234</v>
      </c>
      <c r="D1030" s="462" t="s">
        <v>213</v>
      </c>
      <c r="E1030" s="462" t="s">
        <v>979</v>
      </c>
      <c r="F1030" s="462" t="s">
        <v>134</v>
      </c>
      <c r="G1030" s="569">
        <f>300+590+3249+661-1515.1-130+1336-3943.5+16800+1336-148.5+144.9+2000+1000+4000+1500-177+92.95+232.05+14-3300-800-10922.9+60-141.5-111.2-838.4+3547-4258.5-3547</f>
        <v>7029.3000000000029</v>
      </c>
      <c r="H1030" s="519"/>
      <c r="I1030" s="162"/>
      <c r="J1030" s="499"/>
      <c r="K1030" s="507"/>
    </row>
    <row r="1031" spans="1:15" s="204" customFormat="1" ht="15.75" hidden="1" x14ac:dyDescent="0.25">
      <c r="A1031" s="466" t="s">
        <v>135</v>
      </c>
      <c r="B1031" s="460">
        <v>908</v>
      </c>
      <c r="C1031" s="462" t="s">
        <v>234</v>
      </c>
      <c r="D1031" s="462" t="s">
        <v>213</v>
      </c>
      <c r="E1031" s="462" t="s">
        <v>979</v>
      </c>
      <c r="F1031" s="462" t="s">
        <v>145</v>
      </c>
      <c r="G1031" s="569">
        <f>G1032+G1033</f>
        <v>0</v>
      </c>
      <c r="H1031" s="518"/>
      <c r="I1031" s="471"/>
      <c r="J1031" s="499"/>
      <c r="K1031" s="471"/>
    </row>
    <row r="1032" spans="1:15" s="204" customFormat="1" ht="47.25" hidden="1" x14ac:dyDescent="0.25">
      <c r="A1032" s="466" t="s">
        <v>184</v>
      </c>
      <c r="B1032" s="460">
        <v>908</v>
      </c>
      <c r="C1032" s="462" t="s">
        <v>234</v>
      </c>
      <c r="D1032" s="462" t="s">
        <v>213</v>
      </c>
      <c r="E1032" s="462" t="s">
        <v>979</v>
      </c>
      <c r="F1032" s="462" t="s">
        <v>160</v>
      </c>
      <c r="G1032" s="569">
        <v>0</v>
      </c>
      <c r="H1032" s="518"/>
      <c r="I1032" s="471"/>
      <c r="J1032" s="499"/>
      <c r="K1032" s="471"/>
    </row>
    <row r="1033" spans="1:15" s="204" customFormat="1" ht="15.75" hidden="1" x14ac:dyDescent="0.25">
      <c r="A1033" s="466" t="s">
        <v>146</v>
      </c>
      <c r="B1033" s="460">
        <v>908</v>
      </c>
      <c r="C1033" s="462" t="s">
        <v>234</v>
      </c>
      <c r="D1033" s="462" t="s">
        <v>213</v>
      </c>
      <c r="E1033" s="462" t="s">
        <v>979</v>
      </c>
      <c r="F1033" s="462" t="s">
        <v>147</v>
      </c>
      <c r="G1033" s="569">
        <v>0</v>
      </c>
      <c r="H1033" s="518"/>
      <c r="I1033" s="471"/>
      <c r="J1033" s="499"/>
      <c r="K1033" s="471"/>
    </row>
    <row r="1034" spans="1:15" s="204" customFormat="1" ht="31.5" x14ac:dyDescent="0.25">
      <c r="A1034" s="29" t="s">
        <v>932</v>
      </c>
      <c r="B1034" s="460">
        <v>908</v>
      </c>
      <c r="C1034" s="462" t="s">
        <v>234</v>
      </c>
      <c r="D1034" s="462" t="s">
        <v>213</v>
      </c>
      <c r="E1034" s="462" t="s">
        <v>962</v>
      </c>
      <c r="F1034" s="462"/>
      <c r="G1034" s="467">
        <f>G1037+G1035</f>
        <v>23115.71</v>
      </c>
      <c r="H1034" s="518"/>
      <c r="I1034" s="471"/>
      <c r="J1034" s="499"/>
      <c r="K1034" s="471"/>
    </row>
    <row r="1035" spans="1:15" s="204" customFormat="1" ht="31.5" x14ac:dyDescent="0.25">
      <c r="A1035" s="466" t="s">
        <v>131</v>
      </c>
      <c r="B1035" s="460">
        <v>908</v>
      </c>
      <c r="C1035" s="462" t="s">
        <v>234</v>
      </c>
      <c r="D1035" s="462" t="s">
        <v>213</v>
      </c>
      <c r="E1035" s="462" t="s">
        <v>962</v>
      </c>
      <c r="F1035" s="462" t="s">
        <v>132</v>
      </c>
      <c r="G1035" s="467">
        <f>G1036</f>
        <v>23065.71</v>
      </c>
      <c r="H1035" s="518"/>
      <c r="I1035" s="471"/>
      <c r="J1035" s="499"/>
      <c r="K1035" s="471"/>
    </row>
    <row r="1036" spans="1:15" s="204" customFormat="1" ht="31.5" x14ac:dyDescent="0.25">
      <c r="A1036" s="466" t="s">
        <v>133</v>
      </c>
      <c r="B1036" s="460">
        <v>908</v>
      </c>
      <c r="C1036" s="462" t="s">
        <v>234</v>
      </c>
      <c r="D1036" s="462" t="s">
        <v>213</v>
      </c>
      <c r="E1036" s="462" t="s">
        <v>962</v>
      </c>
      <c r="F1036" s="462" t="s">
        <v>134</v>
      </c>
      <c r="G1036" s="467">
        <f>10000-1000-2446.4+234.41+13242.4-5000+4745.3-50-450+3790</f>
        <v>23065.71</v>
      </c>
      <c r="H1036" s="519"/>
      <c r="I1036" s="471"/>
      <c r="J1036" s="499"/>
      <c r="K1036" s="471"/>
    </row>
    <row r="1037" spans="1:15" s="204" customFormat="1" ht="15.75" x14ac:dyDescent="0.25">
      <c r="A1037" s="466" t="s">
        <v>135</v>
      </c>
      <c r="B1037" s="460">
        <v>908</v>
      </c>
      <c r="C1037" s="462" t="s">
        <v>234</v>
      </c>
      <c r="D1037" s="462" t="s">
        <v>213</v>
      </c>
      <c r="E1037" s="462" t="s">
        <v>962</v>
      </c>
      <c r="F1037" s="462" t="s">
        <v>145</v>
      </c>
      <c r="G1037" s="467">
        <f>G1038</f>
        <v>50</v>
      </c>
      <c r="H1037" s="518"/>
      <c r="I1037" s="471"/>
      <c r="J1037" s="499"/>
      <c r="K1037" s="471"/>
    </row>
    <row r="1038" spans="1:15" ht="15.75" x14ac:dyDescent="0.25">
      <c r="A1038" s="466" t="s">
        <v>146</v>
      </c>
      <c r="B1038" s="460">
        <v>908</v>
      </c>
      <c r="C1038" s="462" t="s">
        <v>234</v>
      </c>
      <c r="D1038" s="462" t="s">
        <v>213</v>
      </c>
      <c r="E1038" s="462" t="s">
        <v>962</v>
      </c>
      <c r="F1038" s="462" t="s">
        <v>147</v>
      </c>
      <c r="G1038" s="467">
        <v>50</v>
      </c>
      <c r="H1038" s="518"/>
      <c r="I1038" s="471"/>
      <c r="J1038" s="499"/>
      <c r="K1038" s="471"/>
      <c r="L1038" s="204"/>
    </row>
    <row r="1039" spans="1:15" s="204" customFormat="1" ht="48.75" customHeight="1" x14ac:dyDescent="0.25">
      <c r="A1039" s="464" t="s">
        <v>1013</v>
      </c>
      <c r="B1039" s="461">
        <v>908</v>
      </c>
      <c r="C1039" s="465" t="s">
        <v>234</v>
      </c>
      <c r="D1039" s="465" t="s">
        <v>213</v>
      </c>
      <c r="E1039" s="465" t="s">
        <v>980</v>
      </c>
      <c r="F1039" s="465"/>
      <c r="G1039" s="463">
        <f>G1040+G1048+G1045+G1053</f>
        <v>5307.0497000000032</v>
      </c>
      <c r="H1039" s="518"/>
      <c r="I1039" s="471"/>
      <c r="J1039" s="499"/>
      <c r="K1039" s="471"/>
    </row>
    <row r="1040" spans="1:15" s="204" customFormat="1" ht="35.450000000000003" customHeight="1" x14ac:dyDescent="0.25">
      <c r="A1040" s="466" t="s">
        <v>827</v>
      </c>
      <c r="B1040" s="460">
        <v>908</v>
      </c>
      <c r="C1040" s="462" t="s">
        <v>234</v>
      </c>
      <c r="D1040" s="462" t="s">
        <v>213</v>
      </c>
      <c r="E1040" s="462" t="s">
        <v>981</v>
      </c>
      <c r="F1040" s="462"/>
      <c r="G1040" s="467">
        <f>G1041+G1043</f>
        <v>5307.0497000000032</v>
      </c>
      <c r="H1040" s="518"/>
      <c r="I1040" s="471"/>
      <c r="J1040" s="499"/>
      <c r="K1040" s="471"/>
      <c r="L1040" s="471"/>
      <c r="M1040" s="108"/>
      <c r="N1040" s="108"/>
      <c r="O1040" s="117"/>
    </row>
    <row r="1041" spans="1:15" s="204" customFormat="1" ht="34.5" customHeight="1" x14ac:dyDescent="0.25">
      <c r="A1041" s="466" t="s">
        <v>131</v>
      </c>
      <c r="B1041" s="460">
        <v>908</v>
      </c>
      <c r="C1041" s="462" t="s">
        <v>234</v>
      </c>
      <c r="D1041" s="462" t="s">
        <v>213</v>
      </c>
      <c r="E1041" s="462" t="s">
        <v>981</v>
      </c>
      <c r="F1041" s="462" t="s">
        <v>132</v>
      </c>
      <c r="G1041" s="467">
        <f>G1042</f>
        <v>5307.0497000000032</v>
      </c>
      <c r="H1041" s="518"/>
      <c r="I1041" s="471"/>
      <c r="J1041" s="499"/>
      <c r="K1041" s="471"/>
      <c r="L1041" s="471"/>
      <c r="M1041" s="108"/>
      <c r="N1041" s="108"/>
      <c r="O1041" s="117"/>
    </row>
    <row r="1042" spans="1:15" s="204" customFormat="1" ht="33" customHeight="1" x14ac:dyDescent="0.25">
      <c r="A1042" s="466" t="s">
        <v>133</v>
      </c>
      <c r="B1042" s="460">
        <v>908</v>
      </c>
      <c r="C1042" s="462" t="s">
        <v>234</v>
      </c>
      <c r="D1042" s="462" t="s">
        <v>213</v>
      </c>
      <c r="E1042" s="462" t="s">
        <v>981</v>
      </c>
      <c r="F1042" s="462" t="s">
        <v>134</v>
      </c>
      <c r="G1042" s="467">
        <f>44726.9+10922.9-50342.7503</f>
        <v>5307.0497000000032</v>
      </c>
      <c r="H1042" s="527"/>
      <c r="I1042" s="471"/>
      <c r="J1042" s="499"/>
      <c r="K1042" s="471"/>
      <c r="L1042" s="471"/>
      <c r="M1042" s="108"/>
      <c r="N1042" s="108"/>
      <c r="O1042" s="117"/>
    </row>
    <row r="1043" spans="1:15" s="204" customFormat="1" ht="20.25" hidden="1" customHeight="1" x14ac:dyDescent="0.25">
      <c r="A1043" s="466" t="s">
        <v>135</v>
      </c>
      <c r="B1043" s="460">
        <v>908</v>
      </c>
      <c r="C1043" s="462" t="s">
        <v>234</v>
      </c>
      <c r="D1043" s="462" t="s">
        <v>213</v>
      </c>
      <c r="E1043" s="462" t="s">
        <v>981</v>
      </c>
      <c r="F1043" s="462" t="s">
        <v>837</v>
      </c>
      <c r="G1043" s="467">
        <f>G1044</f>
        <v>0</v>
      </c>
      <c r="H1043" s="518"/>
      <c r="I1043" s="471"/>
      <c r="J1043" s="499"/>
      <c r="K1043" s="117"/>
      <c r="L1043" s="471"/>
      <c r="M1043" s="108"/>
      <c r="N1043" s="108"/>
      <c r="O1043" s="108"/>
    </row>
    <row r="1044" spans="1:15" s="204" customFormat="1" ht="20.25" hidden="1" customHeight="1" x14ac:dyDescent="0.25">
      <c r="A1044" s="466" t="s">
        <v>568</v>
      </c>
      <c r="B1044" s="460">
        <v>908</v>
      </c>
      <c r="C1044" s="462" t="s">
        <v>234</v>
      </c>
      <c r="D1044" s="462" t="s">
        <v>213</v>
      </c>
      <c r="E1044" s="462" t="s">
        <v>981</v>
      </c>
      <c r="F1044" s="462" t="s">
        <v>1070</v>
      </c>
      <c r="G1044" s="467">
        <v>0</v>
      </c>
      <c r="H1044" s="518"/>
      <c r="I1044" s="471"/>
      <c r="J1044" s="499"/>
      <c r="K1044" s="117"/>
      <c r="L1044" s="471"/>
      <c r="M1044" s="108"/>
      <c r="N1044" s="108"/>
      <c r="O1044" s="108"/>
    </row>
    <row r="1045" spans="1:15" s="204" customFormat="1" ht="47.25" hidden="1" customHeight="1" x14ac:dyDescent="0.25">
      <c r="A1045" s="466" t="s">
        <v>793</v>
      </c>
      <c r="B1045" s="460">
        <v>908</v>
      </c>
      <c r="C1045" s="462" t="s">
        <v>234</v>
      </c>
      <c r="D1045" s="462" t="s">
        <v>213</v>
      </c>
      <c r="E1045" s="462" t="s">
        <v>982</v>
      </c>
      <c r="F1045" s="462"/>
      <c r="G1045" s="467">
        <f>G1046</f>
        <v>0</v>
      </c>
      <c r="H1045" s="518"/>
      <c r="I1045" s="471"/>
      <c r="J1045" s="499"/>
      <c r="K1045" s="117"/>
      <c r="L1045" s="471"/>
      <c r="M1045" s="108"/>
      <c r="N1045" s="108"/>
      <c r="O1045" s="108"/>
    </row>
    <row r="1046" spans="1:15" s="204" customFormat="1" ht="33.75" hidden="1" customHeight="1" x14ac:dyDescent="0.25">
      <c r="A1046" s="466" t="s">
        <v>131</v>
      </c>
      <c r="B1046" s="460">
        <v>908</v>
      </c>
      <c r="C1046" s="462" t="s">
        <v>234</v>
      </c>
      <c r="D1046" s="462" t="s">
        <v>213</v>
      </c>
      <c r="E1046" s="462" t="s">
        <v>982</v>
      </c>
      <c r="F1046" s="462" t="s">
        <v>132</v>
      </c>
      <c r="G1046" s="467">
        <f>G1047</f>
        <v>0</v>
      </c>
      <c r="H1046" s="518"/>
      <c r="I1046" s="471"/>
      <c r="J1046" s="499"/>
      <c r="K1046" s="117"/>
      <c r="L1046" s="471"/>
      <c r="M1046" s="108"/>
      <c r="N1046" s="108"/>
      <c r="O1046" s="108"/>
    </row>
    <row r="1047" spans="1:15" s="204" customFormat="1" ht="32.25" hidden="1" customHeight="1" x14ac:dyDescent="0.25">
      <c r="A1047" s="466" t="s">
        <v>133</v>
      </c>
      <c r="B1047" s="460">
        <v>908</v>
      </c>
      <c r="C1047" s="462" t="s">
        <v>234</v>
      </c>
      <c r="D1047" s="462" t="s">
        <v>213</v>
      </c>
      <c r="E1047" s="462" t="s">
        <v>982</v>
      </c>
      <c r="F1047" s="462" t="s">
        <v>134</v>
      </c>
      <c r="G1047" s="467">
        <v>0</v>
      </c>
      <c r="H1047" s="518"/>
      <c r="I1047" s="471"/>
      <c r="J1047" s="499"/>
      <c r="K1047" s="117"/>
      <c r="L1047" s="471"/>
      <c r="M1047" s="108"/>
      <c r="N1047" s="108"/>
      <c r="O1047" s="108"/>
    </row>
    <row r="1048" spans="1:15" s="204" customFormat="1" ht="47.25" hidden="1" customHeight="1" x14ac:dyDescent="0.25">
      <c r="A1048" s="97" t="s">
        <v>833</v>
      </c>
      <c r="B1048" s="460">
        <v>908</v>
      </c>
      <c r="C1048" s="462" t="s">
        <v>234</v>
      </c>
      <c r="D1048" s="462" t="s">
        <v>213</v>
      </c>
      <c r="E1048" s="462" t="s">
        <v>983</v>
      </c>
      <c r="F1048" s="462"/>
      <c r="G1048" s="467">
        <f>G1049+G1051</f>
        <v>0</v>
      </c>
      <c r="H1048" s="518"/>
      <c r="I1048" s="471"/>
      <c r="J1048" s="499"/>
      <c r="K1048" s="117"/>
      <c r="L1048" s="471"/>
      <c r="M1048" s="108"/>
      <c r="N1048" s="108"/>
      <c r="O1048" s="108"/>
    </row>
    <row r="1049" spans="1:15" s="204" customFormat="1" ht="34.5" hidden="1" customHeight="1" x14ac:dyDescent="0.25">
      <c r="A1049" s="466" t="s">
        <v>838</v>
      </c>
      <c r="B1049" s="460">
        <v>908</v>
      </c>
      <c r="C1049" s="462" t="s">
        <v>234</v>
      </c>
      <c r="D1049" s="462" t="s">
        <v>213</v>
      </c>
      <c r="E1049" s="462" t="s">
        <v>983</v>
      </c>
      <c r="F1049" s="462" t="s">
        <v>837</v>
      </c>
      <c r="G1049" s="467">
        <f>G1050</f>
        <v>0</v>
      </c>
      <c r="H1049" s="518"/>
      <c r="I1049" s="471"/>
      <c r="J1049" s="499"/>
      <c r="K1049" s="117"/>
      <c r="L1049" s="471"/>
      <c r="M1049" s="108"/>
      <c r="N1049" s="108"/>
      <c r="O1049" s="108"/>
    </row>
    <row r="1050" spans="1:15" s="204" customFormat="1" ht="47.25" hidden="1" customHeight="1" x14ac:dyDescent="0.25">
      <c r="A1050" s="466" t="s">
        <v>1051</v>
      </c>
      <c r="B1050" s="460">
        <v>908</v>
      </c>
      <c r="C1050" s="462" t="s">
        <v>234</v>
      </c>
      <c r="D1050" s="462" t="s">
        <v>213</v>
      </c>
      <c r="E1050" s="462" t="s">
        <v>983</v>
      </c>
      <c r="F1050" s="462" t="s">
        <v>1070</v>
      </c>
      <c r="G1050" s="467">
        <v>0</v>
      </c>
      <c r="H1050" s="518"/>
      <c r="I1050" s="471"/>
      <c r="J1050" s="499"/>
      <c r="K1050" s="117"/>
      <c r="L1050" s="471"/>
      <c r="M1050" s="108"/>
      <c r="N1050" s="108"/>
      <c r="O1050" s="108"/>
    </row>
    <row r="1051" spans="1:15" s="204" customFormat="1" ht="17.45" hidden="1" customHeight="1" x14ac:dyDescent="0.25">
      <c r="A1051" s="466" t="s">
        <v>135</v>
      </c>
      <c r="B1051" s="460">
        <v>908</v>
      </c>
      <c r="C1051" s="462" t="s">
        <v>234</v>
      </c>
      <c r="D1051" s="462" t="s">
        <v>213</v>
      </c>
      <c r="E1051" s="462" t="s">
        <v>983</v>
      </c>
      <c r="F1051" s="462" t="s">
        <v>145</v>
      </c>
      <c r="G1051" s="467">
        <f>G1052</f>
        <v>0</v>
      </c>
      <c r="H1051" s="518"/>
      <c r="I1051" s="471"/>
      <c r="J1051" s="499"/>
      <c r="K1051" s="117"/>
      <c r="L1051" s="471"/>
      <c r="M1051" s="108"/>
      <c r="N1051" s="108"/>
      <c r="O1051" s="108"/>
    </row>
    <row r="1052" spans="1:15" s="204" customFormat="1" ht="18.75" hidden="1" customHeight="1" x14ac:dyDescent="0.25">
      <c r="A1052" s="466" t="s">
        <v>704</v>
      </c>
      <c r="B1052" s="460">
        <v>908</v>
      </c>
      <c r="C1052" s="462" t="s">
        <v>234</v>
      </c>
      <c r="D1052" s="462" t="s">
        <v>213</v>
      </c>
      <c r="E1052" s="462" t="s">
        <v>983</v>
      </c>
      <c r="F1052" s="462" t="s">
        <v>138</v>
      </c>
      <c r="G1052" s="467">
        <v>0</v>
      </c>
      <c r="H1052" s="518"/>
      <c r="I1052" s="471"/>
      <c r="J1052" s="499"/>
      <c r="K1052" s="117"/>
      <c r="L1052" s="471"/>
      <c r="M1052" s="108"/>
      <c r="N1052" s="108"/>
      <c r="O1052" s="108"/>
    </row>
    <row r="1053" spans="1:15" s="204" customFormat="1" ht="38.25" hidden="1" customHeight="1" x14ac:dyDescent="0.25">
      <c r="A1053" s="466" t="s">
        <v>1071</v>
      </c>
      <c r="B1053" s="460">
        <v>908</v>
      </c>
      <c r="C1053" s="462" t="s">
        <v>234</v>
      </c>
      <c r="D1053" s="462" t="s">
        <v>213</v>
      </c>
      <c r="E1053" s="462" t="s">
        <v>1072</v>
      </c>
      <c r="F1053" s="462"/>
      <c r="G1053" s="467">
        <f>G1054</f>
        <v>0</v>
      </c>
      <c r="H1053" s="518"/>
      <c r="I1053" s="471"/>
      <c r="J1053" s="499"/>
      <c r="K1053" s="117"/>
      <c r="L1053" s="471"/>
      <c r="M1053" s="108"/>
      <c r="N1053" s="108"/>
      <c r="O1053" s="108"/>
    </row>
    <row r="1054" spans="1:15" s="204" customFormat="1" ht="32.25" hidden="1" customHeight="1" x14ac:dyDescent="0.25">
      <c r="A1054" s="466" t="s">
        <v>131</v>
      </c>
      <c r="B1054" s="460">
        <v>908</v>
      </c>
      <c r="C1054" s="462" t="s">
        <v>234</v>
      </c>
      <c r="D1054" s="462" t="s">
        <v>213</v>
      </c>
      <c r="E1054" s="462" t="s">
        <v>1072</v>
      </c>
      <c r="F1054" s="462" t="s">
        <v>132</v>
      </c>
      <c r="G1054" s="467">
        <f>G1055</f>
        <v>0</v>
      </c>
      <c r="H1054" s="518"/>
      <c r="I1054" s="471"/>
      <c r="J1054" s="499"/>
      <c r="K1054" s="117"/>
      <c r="L1054" s="471"/>
      <c r="M1054" s="108"/>
      <c r="N1054" s="108"/>
      <c r="O1054" s="108"/>
    </row>
    <row r="1055" spans="1:15" s="204" customFormat="1" ht="35.450000000000003" hidden="1" customHeight="1" x14ac:dyDescent="0.25">
      <c r="A1055" s="466" t="s">
        <v>133</v>
      </c>
      <c r="B1055" s="460">
        <v>908</v>
      </c>
      <c r="C1055" s="462" t="s">
        <v>234</v>
      </c>
      <c r="D1055" s="462" t="s">
        <v>213</v>
      </c>
      <c r="E1055" s="462" t="s">
        <v>1072</v>
      </c>
      <c r="F1055" s="462" t="s">
        <v>134</v>
      </c>
      <c r="G1055" s="467">
        <v>0</v>
      </c>
      <c r="H1055" s="518"/>
      <c r="I1055" s="471"/>
      <c r="J1055" s="499"/>
      <c r="K1055" s="117"/>
      <c r="L1055" s="471"/>
      <c r="M1055" s="108"/>
      <c r="N1055" s="108"/>
      <c r="O1055" s="108"/>
    </row>
    <row r="1056" spans="1:15" s="204" customFormat="1" ht="47.25" customHeight="1" x14ac:dyDescent="0.25">
      <c r="A1056" s="464" t="s">
        <v>1543</v>
      </c>
      <c r="B1056" s="461">
        <v>908</v>
      </c>
      <c r="C1056" s="465" t="s">
        <v>234</v>
      </c>
      <c r="D1056" s="465" t="s">
        <v>213</v>
      </c>
      <c r="E1056" s="465" t="s">
        <v>518</v>
      </c>
      <c r="F1056" s="465"/>
      <c r="G1056" s="463">
        <f>G1057+G1061+G1065+G1069+G1081+G1077+G1085+G1073</f>
        <v>57060.592710000004</v>
      </c>
      <c r="H1056" s="518"/>
      <c r="I1056" s="471"/>
      <c r="J1056" s="499"/>
      <c r="K1056" s="117"/>
      <c r="L1056" s="471"/>
      <c r="M1056" s="108"/>
      <c r="N1056" s="108"/>
      <c r="O1056" s="117"/>
    </row>
    <row r="1057" spans="1:15" s="204" customFormat="1" ht="30.75" hidden="1" customHeight="1" x14ac:dyDescent="0.25">
      <c r="A1057" s="464" t="s">
        <v>963</v>
      </c>
      <c r="B1057" s="461">
        <v>908</v>
      </c>
      <c r="C1057" s="465" t="s">
        <v>234</v>
      </c>
      <c r="D1057" s="465" t="s">
        <v>213</v>
      </c>
      <c r="E1057" s="465" t="s">
        <v>965</v>
      </c>
      <c r="F1057" s="465"/>
      <c r="G1057" s="463">
        <f>G1058</f>
        <v>0</v>
      </c>
      <c r="H1057" s="518"/>
      <c r="I1057" s="471"/>
      <c r="J1057" s="499"/>
      <c r="K1057" s="117"/>
      <c r="L1057" s="471"/>
      <c r="M1057" s="108"/>
      <c r="N1057" s="108"/>
      <c r="O1057" s="108"/>
    </row>
    <row r="1058" spans="1:15" ht="15.75" hidden="1" x14ac:dyDescent="0.25">
      <c r="A1058" s="45" t="s">
        <v>964</v>
      </c>
      <c r="B1058" s="460">
        <v>908</v>
      </c>
      <c r="C1058" s="469" t="s">
        <v>234</v>
      </c>
      <c r="D1058" s="469" t="s">
        <v>213</v>
      </c>
      <c r="E1058" s="462" t="s">
        <v>966</v>
      </c>
      <c r="F1058" s="469"/>
      <c r="G1058" s="467">
        <f>G1059</f>
        <v>0</v>
      </c>
      <c r="H1058" s="518"/>
      <c r="I1058" s="471"/>
      <c r="J1058" s="499"/>
      <c r="K1058" s="117"/>
      <c r="L1058" s="471"/>
      <c r="M1058" s="108"/>
      <c r="N1058" s="108"/>
      <c r="O1058" s="108"/>
    </row>
    <row r="1059" spans="1:15" ht="31.5" hidden="1" x14ac:dyDescent="0.25">
      <c r="A1059" s="31" t="s">
        <v>131</v>
      </c>
      <c r="B1059" s="460">
        <v>908</v>
      </c>
      <c r="C1059" s="469" t="s">
        <v>234</v>
      </c>
      <c r="D1059" s="469" t="s">
        <v>213</v>
      </c>
      <c r="E1059" s="462" t="s">
        <v>966</v>
      </c>
      <c r="F1059" s="469" t="s">
        <v>132</v>
      </c>
      <c r="G1059" s="467">
        <f>G1060</f>
        <v>0</v>
      </c>
      <c r="H1059" s="518"/>
      <c r="I1059" s="471"/>
      <c r="J1059" s="499"/>
      <c r="K1059" s="117"/>
      <c r="L1059" s="471"/>
      <c r="M1059" s="108"/>
      <c r="N1059" s="108"/>
      <c r="O1059" s="108"/>
    </row>
    <row r="1060" spans="1:15" ht="31.5" hidden="1" x14ac:dyDescent="0.25">
      <c r="A1060" s="31" t="s">
        <v>133</v>
      </c>
      <c r="B1060" s="460">
        <v>908</v>
      </c>
      <c r="C1060" s="469" t="s">
        <v>234</v>
      </c>
      <c r="D1060" s="469" t="s">
        <v>213</v>
      </c>
      <c r="E1060" s="462" t="s">
        <v>966</v>
      </c>
      <c r="F1060" s="469" t="s">
        <v>134</v>
      </c>
      <c r="G1060" s="384">
        <f>700-700</f>
        <v>0</v>
      </c>
      <c r="H1060" s="518"/>
      <c r="I1060" s="471"/>
      <c r="J1060" s="499"/>
      <c r="K1060" s="117"/>
      <c r="L1060" s="471"/>
      <c r="M1060" s="108"/>
      <c r="N1060" s="108"/>
      <c r="O1060" s="108"/>
    </row>
    <row r="1061" spans="1:15" s="204" customFormat="1" ht="15.75" x14ac:dyDescent="0.25">
      <c r="A1061" s="34" t="s">
        <v>967</v>
      </c>
      <c r="B1061" s="461">
        <v>908</v>
      </c>
      <c r="C1061" s="7" t="s">
        <v>234</v>
      </c>
      <c r="D1061" s="7" t="s">
        <v>213</v>
      </c>
      <c r="E1061" s="465" t="s">
        <v>968</v>
      </c>
      <c r="F1061" s="7"/>
      <c r="G1061" s="463">
        <f>G1062</f>
        <v>390</v>
      </c>
      <c r="H1061" s="518"/>
      <c r="I1061" s="471"/>
      <c r="J1061" s="499"/>
      <c r="K1061" s="117"/>
      <c r="L1061" s="471"/>
      <c r="M1061" s="108"/>
      <c r="N1061" s="108"/>
      <c r="O1061" s="117"/>
    </row>
    <row r="1062" spans="1:15" ht="15.75" x14ac:dyDescent="0.25">
      <c r="A1062" s="45" t="s">
        <v>523</v>
      </c>
      <c r="B1062" s="460">
        <v>908</v>
      </c>
      <c r="C1062" s="469" t="s">
        <v>234</v>
      </c>
      <c r="D1062" s="469" t="s">
        <v>213</v>
      </c>
      <c r="E1062" s="462" t="s">
        <v>971</v>
      </c>
      <c r="F1062" s="469"/>
      <c r="G1062" s="467">
        <f>G1063</f>
        <v>390</v>
      </c>
      <c r="H1062" s="518"/>
      <c r="I1062" s="471"/>
      <c r="J1062" s="499"/>
      <c r="K1062" s="117"/>
      <c r="L1062" s="471"/>
      <c r="M1062" s="108"/>
      <c r="N1062" s="108"/>
      <c r="O1062" s="117"/>
    </row>
    <row r="1063" spans="1:15" ht="31.5" x14ac:dyDescent="0.25">
      <c r="A1063" s="31" t="s">
        <v>131</v>
      </c>
      <c r="B1063" s="460">
        <v>908</v>
      </c>
      <c r="C1063" s="469" t="s">
        <v>234</v>
      </c>
      <c r="D1063" s="469" t="s">
        <v>213</v>
      </c>
      <c r="E1063" s="462" t="s">
        <v>971</v>
      </c>
      <c r="F1063" s="469" t="s">
        <v>132</v>
      </c>
      <c r="G1063" s="467">
        <f>G1064</f>
        <v>390</v>
      </c>
      <c r="H1063" s="518"/>
      <c r="I1063" s="471"/>
      <c r="J1063" s="499"/>
      <c r="K1063" s="117"/>
      <c r="L1063" s="471"/>
      <c r="M1063" s="108"/>
      <c r="N1063" s="108"/>
      <c r="O1063" s="108"/>
    </row>
    <row r="1064" spans="1:15" ht="31.5" x14ac:dyDescent="0.25">
      <c r="A1064" s="31" t="s">
        <v>133</v>
      </c>
      <c r="B1064" s="460">
        <v>908</v>
      </c>
      <c r="C1064" s="469" t="s">
        <v>234</v>
      </c>
      <c r="D1064" s="469" t="s">
        <v>213</v>
      </c>
      <c r="E1064" s="462" t="s">
        <v>971</v>
      </c>
      <c r="F1064" s="469" t="s">
        <v>134</v>
      </c>
      <c r="G1064" s="459">
        <f>159.4+115.6+115+115.6+159.4-224-51</f>
        <v>390</v>
      </c>
      <c r="H1064" s="526"/>
      <c r="I1064" s="471"/>
      <c r="J1064" s="499"/>
      <c r="K1064" s="117"/>
      <c r="L1064" s="471"/>
      <c r="M1064" s="108"/>
      <c r="N1064" s="108"/>
      <c r="O1064" s="108"/>
    </row>
    <row r="1065" spans="1:15" s="204" customFormat="1" ht="16.5" hidden="1" customHeight="1" x14ac:dyDescent="0.25">
      <c r="A1065" s="58" t="s">
        <v>969</v>
      </c>
      <c r="B1065" s="461">
        <v>908</v>
      </c>
      <c r="C1065" s="7" t="s">
        <v>234</v>
      </c>
      <c r="D1065" s="7" t="s">
        <v>213</v>
      </c>
      <c r="E1065" s="465" t="s">
        <v>970</v>
      </c>
      <c r="F1065" s="7"/>
      <c r="G1065" s="458">
        <f>G1066</f>
        <v>0</v>
      </c>
      <c r="H1065" s="518"/>
      <c r="I1065" s="471"/>
      <c r="J1065" s="499"/>
      <c r="K1065" s="117"/>
      <c r="L1065" s="471"/>
      <c r="M1065" s="108"/>
      <c r="N1065" s="108"/>
      <c r="O1065" s="108"/>
    </row>
    <row r="1066" spans="1:15" ht="15.75" hidden="1" x14ac:dyDescent="0.25">
      <c r="A1066" s="45" t="s">
        <v>525</v>
      </c>
      <c r="B1066" s="460">
        <v>908</v>
      </c>
      <c r="C1066" s="469" t="s">
        <v>234</v>
      </c>
      <c r="D1066" s="469" t="s">
        <v>213</v>
      </c>
      <c r="E1066" s="462" t="s">
        <v>972</v>
      </c>
      <c r="F1066" s="469"/>
      <c r="G1066" s="467">
        <f>G1067</f>
        <v>0</v>
      </c>
      <c r="H1066" s="518"/>
      <c r="I1066" s="471"/>
      <c r="J1066" s="499"/>
      <c r="K1066" s="117"/>
      <c r="L1066" s="471"/>
      <c r="M1066" s="108"/>
      <c r="N1066" s="108"/>
      <c r="O1066" s="108"/>
    </row>
    <row r="1067" spans="1:15" ht="31.5" hidden="1" x14ac:dyDescent="0.25">
      <c r="A1067" s="31" t="s">
        <v>131</v>
      </c>
      <c r="B1067" s="460">
        <v>908</v>
      </c>
      <c r="C1067" s="469" t="s">
        <v>234</v>
      </c>
      <c r="D1067" s="469" t="s">
        <v>213</v>
      </c>
      <c r="E1067" s="462" t="s">
        <v>972</v>
      </c>
      <c r="F1067" s="469" t="s">
        <v>132</v>
      </c>
      <c r="G1067" s="467">
        <f>G1068</f>
        <v>0</v>
      </c>
      <c r="H1067" s="518"/>
      <c r="I1067" s="471"/>
      <c r="J1067" s="499"/>
      <c r="K1067" s="117"/>
      <c r="L1067" s="471"/>
      <c r="M1067" s="108"/>
      <c r="N1067" s="108"/>
      <c r="O1067" s="108"/>
    </row>
    <row r="1068" spans="1:15" ht="31.5" hidden="1" x14ac:dyDescent="0.25">
      <c r="A1068" s="31" t="s">
        <v>133</v>
      </c>
      <c r="B1068" s="460">
        <v>908</v>
      </c>
      <c r="C1068" s="469" t="s">
        <v>234</v>
      </c>
      <c r="D1068" s="469" t="s">
        <v>213</v>
      </c>
      <c r="E1068" s="462" t="s">
        <v>972</v>
      </c>
      <c r="F1068" s="469" t="s">
        <v>134</v>
      </c>
      <c r="G1068" s="459"/>
      <c r="H1068" s="451"/>
      <c r="I1068" s="471"/>
      <c r="J1068" s="499"/>
      <c r="K1068" s="117"/>
      <c r="L1068" s="471"/>
      <c r="M1068" s="108"/>
      <c r="N1068" s="108"/>
      <c r="O1068" s="108"/>
    </row>
    <row r="1069" spans="1:15" s="204" customFormat="1" ht="31.5" x14ac:dyDescent="0.25">
      <c r="A1069" s="58" t="s">
        <v>973</v>
      </c>
      <c r="B1069" s="461">
        <v>908</v>
      </c>
      <c r="C1069" s="7" t="s">
        <v>234</v>
      </c>
      <c r="D1069" s="7" t="s">
        <v>213</v>
      </c>
      <c r="E1069" s="465" t="s">
        <v>974</v>
      </c>
      <c r="F1069" s="7"/>
      <c r="G1069" s="458">
        <f>G1070</f>
        <v>261.7</v>
      </c>
      <c r="H1069" s="518"/>
      <c r="I1069" s="471"/>
      <c r="J1069" s="499"/>
      <c r="K1069" s="117"/>
      <c r="L1069" s="471"/>
      <c r="M1069" s="108"/>
      <c r="N1069" s="108"/>
      <c r="O1069" s="108"/>
    </row>
    <row r="1070" spans="1:15" ht="15.75" x14ac:dyDescent="0.25">
      <c r="A1070" s="45" t="s">
        <v>527</v>
      </c>
      <c r="B1070" s="460">
        <v>908</v>
      </c>
      <c r="C1070" s="469" t="s">
        <v>234</v>
      </c>
      <c r="D1070" s="469" t="s">
        <v>213</v>
      </c>
      <c r="E1070" s="462" t="s">
        <v>975</v>
      </c>
      <c r="F1070" s="469"/>
      <c r="G1070" s="467">
        <f>G1071</f>
        <v>261.7</v>
      </c>
      <c r="H1070" s="518"/>
      <c r="I1070" s="471"/>
      <c r="J1070" s="499"/>
      <c r="K1070" s="117"/>
      <c r="L1070" s="471"/>
      <c r="M1070" s="108"/>
      <c r="N1070" s="108"/>
      <c r="O1070" s="108"/>
    </row>
    <row r="1071" spans="1:15" ht="31.5" x14ac:dyDescent="0.25">
      <c r="A1071" s="31" t="s">
        <v>131</v>
      </c>
      <c r="B1071" s="460">
        <v>908</v>
      </c>
      <c r="C1071" s="469" t="s">
        <v>234</v>
      </c>
      <c r="D1071" s="469" t="s">
        <v>213</v>
      </c>
      <c r="E1071" s="462" t="s">
        <v>975</v>
      </c>
      <c r="F1071" s="469" t="s">
        <v>132</v>
      </c>
      <c r="G1071" s="467">
        <f>G1072</f>
        <v>261.7</v>
      </c>
      <c r="H1071" s="518"/>
      <c r="I1071" s="471"/>
      <c r="J1071" s="499"/>
      <c r="K1071" s="117"/>
      <c r="L1071" s="471"/>
      <c r="M1071" s="108"/>
      <c r="N1071" s="108"/>
      <c r="O1071" s="108"/>
    </row>
    <row r="1072" spans="1:15" ht="31.5" x14ac:dyDescent="0.25">
      <c r="A1072" s="31" t="s">
        <v>133</v>
      </c>
      <c r="B1072" s="460">
        <v>908</v>
      </c>
      <c r="C1072" s="469" t="s">
        <v>234</v>
      </c>
      <c r="D1072" s="469" t="s">
        <v>213</v>
      </c>
      <c r="E1072" s="462" t="s">
        <v>975</v>
      </c>
      <c r="F1072" s="469" t="s">
        <v>134</v>
      </c>
      <c r="G1072" s="459">
        <f>179.9+81.8</f>
        <v>261.7</v>
      </c>
      <c r="H1072" s="451"/>
      <c r="I1072" s="471"/>
      <c r="J1072" s="499"/>
      <c r="K1072" s="117"/>
      <c r="L1072" s="471"/>
      <c r="M1072" s="108"/>
      <c r="N1072" s="108"/>
      <c r="O1072" s="108"/>
    </row>
    <row r="1073" spans="1:15" s="204" customFormat="1" ht="31.7" customHeight="1" x14ac:dyDescent="0.25">
      <c r="A1073" s="34" t="s">
        <v>1014</v>
      </c>
      <c r="B1073" s="461">
        <v>908</v>
      </c>
      <c r="C1073" s="7" t="s">
        <v>234</v>
      </c>
      <c r="D1073" s="7" t="s">
        <v>213</v>
      </c>
      <c r="E1073" s="465" t="s">
        <v>1015</v>
      </c>
      <c r="F1073" s="7"/>
      <c r="G1073" s="458">
        <f>G1074</f>
        <v>30.3</v>
      </c>
      <c r="H1073" s="518"/>
      <c r="I1073" s="471"/>
      <c r="J1073" s="499"/>
      <c r="K1073" s="117"/>
      <c r="L1073" s="471"/>
      <c r="M1073" s="108"/>
      <c r="N1073" s="108"/>
      <c r="O1073" s="108"/>
    </row>
    <row r="1074" spans="1:15" ht="15.75" x14ac:dyDescent="0.25">
      <c r="A1074" s="45" t="s">
        <v>529</v>
      </c>
      <c r="B1074" s="460">
        <v>908</v>
      </c>
      <c r="C1074" s="469" t="s">
        <v>234</v>
      </c>
      <c r="D1074" s="469" t="s">
        <v>213</v>
      </c>
      <c r="E1074" s="462" t="s">
        <v>1018</v>
      </c>
      <c r="F1074" s="469"/>
      <c r="G1074" s="467">
        <f>G1075</f>
        <v>30.3</v>
      </c>
      <c r="H1074" s="518"/>
      <c r="I1074" s="471"/>
      <c r="J1074" s="499"/>
      <c r="K1074" s="117"/>
      <c r="L1074" s="471"/>
      <c r="M1074" s="108"/>
      <c r="N1074" s="108"/>
      <c r="O1074" s="108"/>
    </row>
    <row r="1075" spans="1:15" ht="31.5" x14ac:dyDescent="0.25">
      <c r="A1075" s="31" t="s">
        <v>131</v>
      </c>
      <c r="B1075" s="460">
        <v>908</v>
      </c>
      <c r="C1075" s="469" t="s">
        <v>234</v>
      </c>
      <c r="D1075" s="469" t="s">
        <v>213</v>
      </c>
      <c r="E1075" s="462" t="s">
        <v>1018</v>
      </c>
      <c r="F1075" s="469" t="s">
        <v>132</v>
      </c>
      <c r="G1075" s="467">
        <f>G1076</f>
        <v>30.3</v>
      </c>
      <c r="H1075" s="518"/>
      <c r="I1075" s="471"/>
      <c r="J1075" s="499"/>
      <c r="K1075" s="117"/>
      <c r="L1075" s="471"/>
      <c r="M1075" s="108"/>
      <c r="N1075" s="108"/>
      <c r="O1075" s="108"/>
    </row>
    <row r="1076" spans="1:15" ht="31.5" x14ac:dyDescent="0.25">
      <c r="A1076" s="31" t="s">
        <v>133</v>
      </c>
      <c r="B1076" s="460">
        <v>908</v>
      </c>
      <c r="C1076" s="469" t="s">
        <v>234</v>
      </c>
      <c r="D1076" s="469" t="s">
        <v>213</v>
      </c>
      <c r="E1076" s="462" t="s">
        <v>1018</v>
      </c>
      <c r="F1076" s="469" t="s">
        <v>134</v>
      </c>
      <c r="G1076" s="467">
        <v>30.3</v>
      </c>
      <c r="H1076" s="527"/>
      <c r="I1076" s="471"/>
      <c r="J1076" s="499"/>
      <c r="K1076" s="117"/>
      <c r="L1076" s="471"/>
      <c r="M1076" s="108"/>
      <c r="N1076" s="108"/>
      <c r="O1076" s="108"/>
    </row>
    <row r="1077" spans="1:15" s="204" customFormat="1" ht="31.5" hidden="1" x14ac:dyDescent="0.25">
      <c r="A1077" s="219" t="s">
        <v>1016</v>
      </c>
      <c r="B1077" s="461">
        <v>908</v>
      </c>
      <c r="C1077" s="7" t="s">
        <v>234</v>
      </c>
      <c r="D1077" s="7" t="s">
        <v>213</v>
      </c>
      <c r="E1077" s="465" t="s">
        <v>1017</v>
      </c>
      <c r="F1077" s="7"/>
      <c r="G1077" s="463">
        <f>G1078</f>
        <v>0</v>
      </c>
      <c r="H1077" s="518"/>
      <c r="I1077" s="471"/>
      <c r="J1077" s="499"/>
      <c r="K1077" s="117"/>
      <c r="L1077" s="471"/>
      <c r="M1077" s="108"/>
      <c r="N1077" s="108"/>
      <c r="O1077" s="108"/>
    </row>
    <row r="1078" spans="1:15" ht="21.75" hidden="1" customHeight="1" x14ac:dyDescent="0.25">
      <c r="A1078" s="174" t="s">
        <v>531</v>
      </c>
      <c r="B1078" s="460">
        <v>908</v>
      </c>
      <c r="C1078" s="469" t="s">
        <v>234</v>
      </c>
      <c r="D1078" s="469" t="s">
        <v>213</v>
      </c>
      <c r="E1078" s="462" t="s">
        <v>1019</v>
      </c>
      <c r="F1078" s="469"/>
      <c r="G1078" s="467">
        <f>G1079</f>
        <v>0</v>
      </c>
      <c r="H1078" s="518"/>
      <c r="I1078" s="471"/>
      <c r="J1078" s="499"/>
      <c r="K1078" s="117"/>
      <c r="L1078" s="471"/>
      <c r="M1078" s="108"/>
      <c r="N1078" s="108"/>
      <c r="O1078" s="108"/>
    </row>
    <row r="1079" spans="1:15" ht="31.7" hidden="1" customHeight="1" x14ac:dyDescent="0.25">
      <c r="A1079" s="31" t="s">
        <v>131</v>
      </c>
      <c r="B1079" s="460">
        <v>908</v>
      </c>
      <c r="C1079" s="469" t="s">
        <v>234</v>
      </c>
      <c r="D1079" s="469" t="s">
        <v>213</v>
      </c>
      <c r="E1079" s="462" t="s">
        <v>1019</v>
      </c>
      <c r="F1079" s="469" t="s">
        <v>132</v>
      </c>
      <c r="G1079" s="467">
        <f>G1080</f>
        <v>0</v>
      </c>
      <c r="H1079" s="518"/>
      <c r="I1079" s="471"/>
      <c r="J1079" s="499"/>
      <c r="K1079" s="117"/>
      <c r="L1079" s="471"/>
      <c r="M1079" s="108"/>
      <c r="N1079" s="108"/>
      <c r="O1079" s="108"/>
    </row>
    <row r="1080" spans="1:15" ht="36" hidden="1" customHeight="1" x14ac:dyDescent="0.25">
      <c r="A1080" s="31" t="s">
        <v>133</v>
      </c>
      <c r="B1080" s="460">
        <v>908</v>
      </c>
      <c r="C1080" s="469" t="s">
        <v>234</v>
      </c>
      <c r="D1080" s="469" t="s">
        <v>213</v>
      </c>
      <c r="E1080" s="462" t="s">
        <v>1019</v>
      </c>
      <c r="F1080" s="469" t="s">
        <v>134</v>
      </c>
      <c r="G1080" s="467">
        <v>0</v>
      </c>
      <c r="H1080" s="518"/>
      <c r="I1080" s="471"/>
      <c r="J1080" s="499"/>
      <c r="K1080" s="117"/>
      <c r="L1080" s="471"/>
      <c r="M1080" s="108"/>
      <c r="N1080" s="108"/>
      <c r="O1080" s="108"/>
    </row>
    <row r="1081" spans="1:15" s="204" customFormat="1" ht="31.7" customHeight="1" x14ac:dyDescent="0.25">
      <c r="A1081" s="219" t="s">
        <v>977</v>
      </c>
      <c r="B1081" s="461">
        <v>908</v>
      </c>
      <c r="C1081" s="7" t="s">
        <v>234</v>
      </c>
      <c r="D1081" s="7" t="s">
        <v>213</v>
      </c>
      <c r="E1081" s="465" t="s">
        <v>978</v>
      </c>
      <c r="F1081" s="7"/>
      <c r="G1081" s="463">
        <f>G1082</f>
        <v>193.3</v>
      </c>
      <c r="H1081" s="518"/>
      <c r="I1081" s="446"/>
      <c r="J1081" s="499"/>
      <c r="K1081" s="117"/>
      <c r="L1081" s="471"/>
      <c r="M1081" s="108"/>
      <c r="N1081" s="108"/>
      <c r="O1081" s="108"/>
    </row>
    <row r="1082" spans="1:15" ht="15.75" x14ac:dyDescent="0.25">
      <c r="A1082" s="174" t="s">
        <v>533</v>
      </c>
      <c r="B1082" s="460">
        <v>908</v>
      </c>
      <c r="C1082" s="469" t="s">
        <v>234</v>
      </c>
      <c r="D1082" s="469" t="s">
        <v>213</v>
      </c>
      <c r="E1082" s="462" t="s">
        <v>976</v>
      </c>
      <c r="F1082" s="469"/>
      <c r="G1082" s="467">
        <f>G1083</f>
        <v>193.3</v>
      </c>
      <c r="H1082" s="518"/>
      <c r="I1082" s="471"/>
      <c r="J1082" s="499"/>
      <c r="K1082" s="117"/>
      <c r="L1082" s="471"/>
    </row>
    <row r="1083" spans="1:15" ht="31.5" x14ac:dyDescent="0.25">
      <c r="A1083" s="466" t="s">
        <v>131</v>
      </c>
      <c r="B1083" s="460">
        <v>908</v>
      </c>
      <c r="C1083" s="469" t="s">
        <v>234</v>
      </c>
      <c r="D1083" s="469" t="s">
        <v>213</v>
      </c>
      <c r="E1083" s="462" t="s">
        <v>976</v>
      </c>
      <c r="F1083" s="469" t="s">
        <v>132</v>
      </c>
      <c r="G1083" s="467">
        <f>G1084</f>
        <v>193.3</v>
      </c>
      <c r="H1083" s="518"/>
      <c r="I1083" s="471"/>
      <c r="J1083" s="499"/>
      <c r="K1083" s="117"/>
      <c r="L1083" s="204"/>
    </row>
    <row r="1084" spans="1:15" ht="31.5" x14ac:dyDescent="0.25">
      <c r="A1084" s="466" t="s">
        <v>133</v>
      </c>
      <c r="B1084" s="460">
        <v>908</v>
      </c>
      <c r="C1084" s="469" t="s">
        <v>234</v>
      </c>
      <c r="D1084" s="469" t="s">
        <v>213</v>
      </c>
      <c r="E1084" s="462" t="s">
        <v>976</v>
      </c>
      <c r="F1084" s="469" t="s">
        <v>134</v>
      </c>
      <c r="G1084" s="467">
        <f>110+161.6+161.6+31.7-271.6</f>
        <v>193.3</v>
      </c>
      <c r="H1084" s="518"/>
      <c r="I1084" s="471"/>
      <c r="J1084" s="499"/>
      <c r="K1084" s="117"/>
      <c r="L1084" s="204"/>
    </row>
    <row r="1085" spans="1:15" s="204" customFormat="1" ht="31.5" x14ac:dyDescent="0.25">
      <c r="A1085" s="219" t="s">
        <v>1774</v>
      </c>
      <c r="B1085" s="461">
        <v>908</v>
      </c>
      <c r="C1085" s="7" t="s">
        <v>234</v>
      </c>
      <c r="D1085" s="7" t="s">
        <v>213</v>
      </c>
      <c r="E1085" s="465" t="s">
        <v>1773</v>
      </c>
      <c r="F1085" s="7"/>
      <c r="G1085" s="463">
        <f>G1086</f>
        <v>56185.292710000002</v>
      </c>
      <c r="H1085" s="518"/>
      <c r="I1085" s="471"/>
      <c r="J1085" s="499"/>
      <c r="K1085" s="117"/>
    </row>
    <row r="1086" spans="1:15" s="204" customFormat="1" ht="47.25" x14ac:dyDescent="0.25">
      <c r="A1086" s="466" t="s">
        <v>1772</v>
      </c>
      <c r="B1086" s="460">
        <v>908</v>
      </c>
      <c r="C1086" s="469" t="s">
        <v>234</v>
      </c>
      <c r="D1086" s="469" t="s">
        <v>213</v>
      </c>
      <c r="E1086" s="462" t="s">
        <v>1775</v>
      </c>
      <c r="F1086" s="469"/>
      <c r="G1086" s="467">
        <f>G1087</f>
        <v>56185.292710000002</v>
      </c>
      <c r="H1086" s="518"/>
      <c r="I1086" s="471"/>
      <c r="J1086" s="499"/>
      <c r="K1086" s="117"/>
    </row>
    <row r="1087" spans="1:15" s="204" customFormat="1" ht="31.5" x14ac:dyDescent="0.25">
      <c r="A1087" s="466" t="s">
        <v>131</v>
      </c>
      <c r="B1087" s="460">
        <v>908</v>
      </c>
      <c r="C1087" s="469" t="s">
        <v>234</v>
      </c>
      <c r="D1087" s="469" t="s">
        <v>213</v>
      </c>
      <c r="E1087" s="462" t="s">
        <v>1775</v>
      </c>
      <c r="F1087" s="469" t="s">
        <v>132</v>
      </c>
      <c r="G1087" s="467">
        <f>G1088</f>
        <v>56185.292710000002</v>
      </c>
      <c r="H1087" s="518"/>
      <c r="I1087" s="471"/>
      <c r="J1087" s="499"/>
      <c r="K1087" s="117"/>
    </row>
    <row r="1088" spans="1:15" s="204" customFormat="1" ht="31.5" x14ac:dyDescent="0.25">
      <c r="A1088" s="466" t="s">
        <v>133</v>
      </c>
      <c r="B1088" s="460">
        <v>908</v>
      </c>
      <c r="C1088" s="469" t="s">
        <v>234</v>
      </c>
      <c r="D1088" s="469" t="s">
        <v>213</v>
      </c>
      <c r="E1088" s="462" t="s">
        <v>1775</v>
      </c>
      <c r="F1088" s="469" t="s">
        <v>134</v>
      </c>
      <c r="G1088" s="467">
        <v>56185.292710000002</v>
      </c>
      <c r="H1088" s="518"/>
      <c r="I1088" s="471"/>
      <c r="J1088" s="499"/>
      <c r="K1088" s="117"/>
    </row>
    <row r="1089" spans="1:12" s="204" customFormat="1" ht="31.5" hidden="1" x14ac:dyDescent="0.25">
      <c r="A1089" s="464" t="s">
        <v>1545</v>
      </c>
      <c r="B1089" s="461">
        <v>908</v>
      </c>
      <c r="C1089" s="7" t="s">
        <v>234</v>
      </c>
      <c r="D1089" s="7" t="s">
        <v>213</v>
      </c>
      <c r="E1089" s="465" t="s">
        <v>1146</v>
      </c>
      <c r="F1089" s="7"/>
      <c r="G1089" s="463">
        <f>G1090</f>
        <v>0</v>
      </c>
      <c r="H1089" s="518"/>
      <c r="I1089" s="471"/>
      <c r="J1089" s="499"/>
      <c r="K1089" s="117"/>
    </row>
    <row r="1090" spans="1:12" s="204" customFormat="1" ht="31.5" hidden="1" x14ac:dyDescent="0.25">
      <c r="A1090" s="464" t="s">
        <v>1147</v>
      </c>
      <c r="B1090" s="461">
        <v>908</v>
      </c>
      <c r="C1090" s="7" t="s">
        <v>234</v>
      </c>
      <c r="D1090" s="7" t="s">
        <v>213</v>
      </c>
      <c r="E1090" s="465" t="s">
        <v>1148</v>
      </c>
      <c r="F1090" s="7"/>
      <c r="G1090" s="463">
        <f>G1091</f>
        <v>0</v>
      </c>
      <c r="H1090" s="518"/>
      <c r="I1090" s="471"/>
      <c r="J1090" s="499"/>
      <c r="K1090" s="117"/>
    </row>
    <row r="1091" spans="1:12" s="204" customFormat="1" ht="15.75" hidden="1" x14ac:dyDescent="0.25">
      <c r="A1091" s="466" t="s">
        <v>537</v>
      </c>
      <c r="B1091" s="460">
        <v>908</v>
      </c>
      <c r="C1091" s="469" t="s">
        <v>234</v>
      </c>
      <c r="D1091" s="469" t="s">
        <v>213</v>
      </c>
      <c r="E1091" s="462" t="s">
        <v>1149</v>
      </c>
      <c r="F1091" s="469"/>
      <c r="G1091" s="467">
        <f>G1092</f>
        <v>0</v>
      </c>
      <c r="H1091" s="518"/>
      <c r="I1091" s="471"/>
      <c r="J1091" s="499"/>
      <c r="K1091" s="117"/>
    </row>
    <row r="1092" spans="1:12" s="204" customFormat="1" ht="31.5" hidden="1" x14ac:dyDescent="0.25">
      <c r="A1092" s="466" t="s">
        <v>131</v>
      </c>
      <c r="B1092" s="460">
        <v>908</v>
      </c>
      <c r="C1092" s="469" t="s">
        <v>234</v>
      </c>
      <c r="D1092" s="469" t="s">
        <v>213</v>
      </c>
      <c r="E1092" s="462" t="s">
        <v>1149</v>
      </c>
      <c r="F1092" s="469" t="s">
        <v>132</v>
      </c>
      <c r="G1092" s="467">
        <f>G1093</f>
        <v>0</v>
      </c>
      <c r="H1092" s="518"/>
      <c r="I1092" s="471"/>
      <c r="J1092" s="499"/>
      <c r="K1092" s="117"/>
    </row>
    <row r="1093" spans="1:12" s="204" customFormat="1" ht="31.5" hidden="1" x14ac:dyDescent="0.25">
      <c r="A1093" s="466" t="s">
        <v>133</v>
      </c>
      <c r="B1093" s="460">
        <v>908</v>
      </c>
      <c r="C1093" s="469" t="s">
        <v>234</v>
      </c>
      <c r="D1093" s="469" t="s">
        <v>213</v>
      </c>
      <c r="E1093" s="462" t="s">
        <v>1149</v>
      </c>
      <c r="F1093" s="469" t="s">
        <v>134</v>
      </c>
      <c r="G1093" s="384">
        <f>235-235</f>
        <v>0</v>
      </c>
      <c r="H1093" s="518"/>
      <c r="I1093" s="471"/>
      <c r="J1093" s="499"/>
      <c r="K1093" s="117"/>
    </row>
    <row r="1094" spans="1:12" ht="15.75" x14ac:dyDescent="0.25">
      <c r="A1094" s="464" t="s">
        <v>541</v>
      </c>
      <c r="B1094" s="461">
        <v>908</v>
      </c>
      <c r="C1094" s="465" t="s">
        <v>234</v>
      </c>
      <c r="D1094" s="465" t="s">
        <v>215</v>
      </c>
      <c r="E1094" s="465"/>
      <c r="F1094" s="465"/>
      <c r="G1094" s="463">
        <f>G1095+G1100+G1147</f>
        <v>35177.311000000002</v>
      </c>
      <c r="H1094" s="518"/>
      <c r="I1094" s="471"/>
      <c r="J1094" s="499"/>
      <c r="K1094" s="471"/>
      <c r="L1094" s="204"/>
    </row>
    <row r="1095" spans="1:12" s="204" customFormat="1" ht="15.75" hidden="1" x14ac:dyDescent="0.25">
      <c r="A1095" s="464" t="s">
        <v>141</v>
      </c>
      <c r="B1095" s="461">
        <v>908</v>
      </c>
      <c r="C1095" s="465" t="s">
        <v>234</v>
      </c>
      <c r="D1095" s="465" t="s">
        <v>215</v>
      </c>
      <c r="E1095" s="465" t="s">
        <v>866</v>
      </c>
      <c r="F1095" s="465"/>
      <c r="G1095" s="463">
        <f>G1096</f>
        <v>0</v>
      </c>
      <c r="H1095" s="518"/>
      <c r="I1095" s="471"/>
      <c r="J1095" s="499"/>
      <c r="K1095" s="471"/>
    </row>
    <row r="1096" spans="1:12" s="204" customFormat="1" ht="31.5" hidden="1" x14ac:dyDescent="0.25">
      <c r="A1096" s="464" t="s">
        <v>870</v>
      </c>
      <c r="B1096" s="461">
        <v>908</v>
      </c>
      <c r="C1096" s="465" t="s">
        <v>234</v>
      </c>
      <c r="D1096" s="465" t="s">
        <v>215</v>
      </c>
      <c r="E1096" s="465" t="s">
        <v>865</v>
      </c>
      <c r="F1096" s="465"/>
      <c r="G1096" s="463">
        <f>G1097</f>
        <v>0</v>
      </c>
      <c r="H1096" s="518"/>
      <c r="I1096" s="471"/>
      <c r="J1096" s="499"/>
      <c r="K1096" s="471"/>
    </row>
    <row r="1097" spans="1:12" s="204" customFormat="1" ht="15.75" hidden="1" x14ac:dyDescent="0.25">
      <c r="A1097" s="466" t="s">
        <v>564</v>
      </c>
      <c r="B1097" s="460">
        <v>908</v>
      </c>
      <c r="C1097" s="462" t="s">
        <v>234</v>
      </c>
      <c r="D1097" s="462" t="s">
        <v>215</v>
      </c>
      <c r="E1097" s="462" t="s">
        <v>1077</v>
      </c>
      <c r="F1097" s="462"/>
      <c r="G1097" s="467">
        <f>G1098</f>
        <v>0</v>
      </c>
      <c r="H1097" s="518"/>
      <c r="I1097" s="471"/>
      <c r="J1097" s="499"/>
      <c r="K1097" s="471"/>
    </row>
    <row r="1098" spans="1:12" s="204" customFormat="1" ht="31.5" hidden="1" x14ac:dyDescent="0.25">
      <c r="A1098" s="466" t="s">
        <v>131</v>
      </c>
      <c r="B1098" s="460">
        <v>908</v>
      </c>
      <c r="C1098" s="462" t="s">
        <v>234</v>
      </c>
      <c r="D1098" s="462" t="s">
        <v>215</v>
      </c>
      <c r="E1098" s="462" t="s">
        <v>1077</v>
      </c>
      <c r="F1098" s="462" t="s">
        <v>132</v>
      </c>
      <c r="G1098" s="467">
        <f>G1099</f>
        <v>0</v>
      </c>
      <c r="H1098" s="518"/>
      <c r="I1098" s="471"/>
      <c r="J1098" s="499"/>
      <c r="K1098" s="117"/>
    </row>
    <row r="1099" spans="1:12" s="204" customFormat="1" ht="31.5" hidden="1" x14ac:dyDescent="0.25">
      <c r="A1099" s="466" t="s">
        <v>133</v>
      </c>
      <c r="B1099" s="460">
        <v>908</v>
      </c>
      <c r="C1099" s="462" t="s">
        <v>234</v>
      </c>
      <c r="D1099" s="462" t="s">
        <v>215</v>
      </c>
      <c r="E1099" s="462" t="s">
        <v>1077</v>
      </c>
      <c r="F1099" s="462" t="s">
        <v>134</v>
      </c>
      <c r="G1099" s="27">
        <f>390+1000-1000-390</f>
        <v>0</v>
      </c>
      <c r="H1099" s="518"/>
      <c r="I1099" s="471"/>
      <c r="J1099" s="499"/>
      <c r="K1099" s="471"/>
    </row>
    <row r="1100" spans="1:12" ht="34.5" customHeight="1" x14ac:dyDescent="0.25">
      <c r="A1100" s="464" t="s">
        <v>1373</v>
      </c>
      <c r="B1100" s="461">
        <v>908</v>
      </c>
      <c r="C1100" s="465" t="s">
        <v>234</v>
      </c>
      <c r="D1100" s="465" t="s">
        <v>215</v>
      </c>
      <c r="E1100" s="465" t="s">
        <v>543</v>
      </c>
      <c r="F1100" s="465"/>
      <c r="G1100" s="463">
        <f>G1101+G1132+G1105+G1139+G1143</f>
        <v>10811.800999999999</v>
      </c>
      <c r="H1100" s="518"/>
      <c r="I1100" s="471"/>
      <c r="J1100" s="499"/>
      <c r="K1100" s="471"/>
      <c r="L1100" s="204"/>
    </row>
    <row r="1101" spans="1:12" s="204" customFormat="1" ht="35.450000000000003" hidden="1" customHeight="1" x14ac:dyDescent="0.25">
      <c r="A1101" s="464" t="s">
        <v>1443</v>
      </c>
      <c r="B1101" s="461">
        <v>908</v>
      </c>
      <c r="C1101" s="465" t="s">
        <v>234</v>
      </c>
      <c r="D1101" s="465" t="s">
        <v>215</v>
      </c>
      <c r="E1101" s="465" t="s">
        <v>1278</v>
      </c>
      <c r="F1101" s="465"/>
      <c r="G1101" s="463">
        <f>G1102</f>
        <v>0</v>
      </c>
      <c r="H1101" s="518"/>
      <c r="I1101" s="471"/>
      <c r="J1101" s="499"/>
      <c r="K1101" s="471"/>
    </row>
    <row r="1102" spans="1:12" s="204" customFormat="1" ht="21.2" hidden="1" customHeight="1" x14ac:dyDescent="0.25">
      <c r="A1102" s="322" t="s">
        <v>1444</v>
      </c>
      <c r="B1102" s="460">
        <v>908</v>
      </c>
      <c r="C1102" s="462" t="s">
        <v>234</v>
      </c>
      <c r="D1102" s="462" t="s">
        <v>215</v>
      </c>
      <c r="E1102" s="462" t="s">
        <v>1431</v>
      </c>
      <c r="F1102" s="462"/>
      <c r="G1102" s="467">
        <f>G1103</f>
        <v>0</v>
      </c>
      <c r="H1102" s="518"/>
      <c r="I1102" s="471"/>
      <c r="J1102" s="499"/>
      <c r="K1102" s="471"/>
    </row>
    <row r="1103" spans="1:12" s="204" customFormat="1" ht="35.450000000000003" hidden="1" customHeight="1" x14ac:dyDescent="0.25">
      <c r="A1103" s="466" t="s">
        <v>131</v>
      </c>
      <c r="B1103" s="460">
        <v>908</v>
      </c>
      <c r="C1103" s="462" t="s">
        <v>234</v>
      </c>
      <c r="D1103" s="462" t="s">
        <v>215</v>
      </c>
      <c r="E1103" s="462" t="s">
        <v>1431</v>
      </c>
      <c r="F1103" s="462" t="s">
        <v>132</v>
      </c>
      <c r="G1103" s="467">
        <f>G1104</f>
        <v>0</v>
      </c>
      <c r="H1103" s="518"/>
      <c r="I1103" s="471"/>
      <c r="J1103" s="499"/>
      <c r="K1103" s="471"/>
    </row>
    <row r="1104" spans="1:12" s="204" customFormat="1" ht="35.450000000000003" hidden="1" customHeight="1" x14ac:dyDescent="0.25">
      <c r="A1104" s="466" t="s">
        <v>133</v>
      </c>
      <c r="B1104" s="460">
        <v>908</v>
      </c>
      <c r="C1104" s="462" t="s">
        <v>234</v>
      </c>
      <c r="D1104" s="462" t="s">
        <v>215</v>
      </c>
      <c r="E1104" s="462" t="s">
        <v>1431</v>
      </c>
      <c r="F1104" s="462" t="s">
        <v>134</v>
      </c>
      <c r="G1104" s="467">
        <v>0</v>
      </c>
      <c r="H1104" s="518"/>
      <c r="I1104" s="471"/>
      <c r="J1104" s="499"/>
      <c r="K1104" s="471"/>
    </row>
    <row r="1105" spans="1:18" s="204" customFormat="1" ht="35.450000000000003" customHeight="1" x14ac:dyDescent="0.25">
      <c r="A1105" s="464" t="s">
        <v>1463</v>
      </c>
      <c r="B1105" s="461">
        <v>908</v>
      </c>
      <c r="C1105" s="465" t="s">
        <v>234</v>
      </c>
      <c r="D1105" s="465" t="s">
        <v>215</v>
      </c>
      <c r="E1105" s="465" t="s">
        <v>1279</v>
      </c>
      <c r="F1105" s="465"/>
      <c r="G1105" s="463">
        <f>G1106+G1109+G1115+G1118+G1121+G1126+G1129</f>
        <v>2794.2000000000003</v>
      </c>
      <c r="H1105" s="518"/>
      <c r="I1105" s="471"/>
      <c r="J1105" s="499"/>
      <c r="K1105" s="471"/>
    </row>
    <row r="1106" spans="1:18" ht="19.5" customHeight="1" x14ac:dyDescent="0.25">
      <c r="A1106" s="466" t="s">
        <v>546</v>
      </c>
      <c r="B1106" s="460">
        <v>908</v>
      </c>
      <c r="C1106" s="462" t="s">
        <v>234</v>
      </c>
      <c r="D1106" s="462" t="s">
        <v>215</v>
      </c>
      <c r="E1106" s="462" t="s">
        <v>1442</v>
      </c>
      <c r="F1106" s="462"/>
      <c r="G1106" s="467">
        <f>G1107</f>
        <v>548.29999999999995</v>
      </c>
      <c r="H1106" s="518"/>
      <c r="I1106" s="471"/>
      <c r="J1106" s="499"/>
      <c r="K1106" s="471"/>
      <c r="L1106" s="204"/>
    </row>
    <row r="1107" spans="1:18" ht="31.5" x14ac:dyDescent="0.25">
      <c r="A1107" s="466" t="s">
        <v>131</v>
      </c>
      <c r="B1107" s="460">
        <v>908</v>
      </c>
      <c r="C1107" s="462" t="s">
        <v>234</v>
      </c>
      <c r="D1107" s="462" t="s">
        <v>215</v>
      </c>
      <c r="E1107" s="462" t="s">
        <v>1442</v>
      </c>
      <c r="F1107" s="462" t="s">
        <v>132</v>
      </c>
      <c r="G1107" s="467">
        <f>G1108</f>
        <v>548.29999999999995</v>
      </c>
      <c r="H1107" s="518"/>
      <c r="I1107" s="471"/>
      <c r="J1107" s="499"/>
      <c r="K1107" s="471"/>
      <c r="L1107" s="204"/>
    </row>
    <row r="1108" spans="1:18" ht="31.5" x14ac:dyDescent="0.25">
      <c r="A1108" s="466" t="s">
        <v>133</v>
      </c>
      <c r="B1108" s="460">
        <v>908</v>
      </c>
      <c r="C1108" s="462" t="s">
        <v>234</v>
      </c>
      <c r="D1108" s="462" t="s">
        <v>215</v>
      </c>
      <c r="E1108" s="462" t="s">
        <v>1442</v>
      </c>
      <c r="F1108" s="462" t="s">
        <v>134</v>
      </c>
      <c r="G1108" s="467">
        <f>365-159.4-115+395.8-88.1+12-2.5+140.5</f>
        <v>548.29999999999995</v>
      </c>
      <c r="H1108" s="519"/>
      <c r="I1108" s="497"/>
      <c r="J1108" s="499"/>
      <c r="K1108" s="471"/>
      <c r="L1108" s="510"/>
    </row>
    <row r="1109" spans="1:18" ht="15.75" x14ac:dyDescent="0.25">
      <c r="A1109" s="466" t="s">
        <v>1090</v>
      </c>
      <c r="B1109" s="460">
        <v>908</v>
      </c>
      <c r="C1109" s="462" t="s">
        <v>234</v>
      </c>
      <c r="D1109" s="462" t="s">
        <v>215</v>
      </c>
      <c r="E1109" s="462" t="s">
        <v>1430</v>
      </c>
      <c r="F1109" s="462"/>
      <c r="G1109" s="467">
        <f>G1110+G1112</f>
        <v>1922.8000000000002</v>
      </c>
      <c r="H1109" s="518"/>
      <c r="I1109" s="471"/>
      <c r="J1109" s="499"/>
      <c r="K1109" s="471"/>
      <c r="L1109" s="204"/>
    </row>
    <row r="1110" spans="1:18" ht="31.5" x14ac:dyDescent="0.25">
      <c r="A1110" s="466" t="s">
        <v>131</v>
      </c>
      <c r="B1110" s="460">
        <v>908</v>
      </c>
      <c r="C1110" s="462" t="s">
        <v>234</v>
      </c>
      <c r="D1110" s="462" t="s">
        <v>215</v>
      </c>
      <c r="E1110" s="462" t="s">
        <v>1430</v>
      </c>
      <c r="F1110" s="462" t="s">
        <v>132</v>
      </c>
      <c r="G1110" s="467">
        <f>G1111</f>
        <v>1922.8000000000002</v>
      </c>
      <c r="H1110" s="518"/>
      <c r="I1110" s="471"/>
      <c r="J1110" s="499"/>
      <c r="K1110" s="471"/>
      <c r="L1110" s="204"/>
    </row>
    <row r="1111" spans="1:18" ht="31.5" x14ac:dyDescent="0.25">
      <c r="A1111" s="466" t="s">
        <v>133</v>
      </c>
      <c r="B1111" s="460">
        <v>908</v>
      </c>
      <c r="C1111" s="462" t="s">
        <v>234</v>
      </c>
      <c r="D1111" s="462" t="s">
        <v>215</v>
      </c>
      <c r="E1111" s="462" t="s">
        <v>1430</v>
      </c>
      <c r="F1111" s="462" t="s">
        <v>134</v>
      </c>
      <c r="G1111" s="467">
        <f>1080+158+70+1700-123+105+524+29.8-51-70-1500</f>
        <v>1922.8000000000002</v>
      </c>
      <c r="H1111" s="519"/>
      <c r="I1111" s="119"/>
      <c r="J1111" s="499"/>
      <c r="K1111" s="471"/>
      <c r="L1111" s="204"/>
      <c r="O1111" s="510"/>
      <c r="P1111" s="204"/>
      <c r="R1111" s="510"/>
    </row>
    <row r="1112" spans="1:18" ht="15.75" hidden="1" x14ac:dyDescent="0.25">
      <c r="A1112" s="466" t="s">
        <v>135</v>
      </c>
      <c r="B1112" s="460">
        <v>908</v>
      </c>
      <c r="C1112" s="462" t="s">
        <v>234</v>
      </c>
      <c r="D1112" s="462" t="s">
        <v>215</v>
      </c>
      <c r="E1112" s="462" t="s">
        <v>1430</v>
      </c>
      <c r="F1112" s="462" t="s">
        <v>145</v>
      </c>
      <c r="G1112" s="467">
        <f>G1114+G1113</f>
        <v>0</v>
      </c>
      <c r="H1112" s="518"/>
      <c r="I1112" s="471"/>
      <c r="J1112" s="499"/>
      <c r="K1112" s="471"/>
      <c r="L1112" s="204"/>
    </row>
    <row r="1113" spans="1:18" s="204" customFormat="1" ht="32.25" hidden="1" customHeight="1" x14ac:dyDescent="0.25">
      <c r="A1113" s="466" t="s">
        <v>836</v>
      </c>
      <c r="B1113" s="460">
        <v>908</v>
      </c>
      <c r="C1113" s="462" t="s">
        <v>234</v>
      </c>
      <c r="D1113" s="462" t="s">
        <v>215</v>
      </c>
      <c r="E1113" s="462" t="s">
        <v>1430</v>
      </c>
      <c r="F1113" s="462" t="s">
        <v>147</v>
      </c>
      <c r="G1113" s="467">
        <v>0</v>
      </c>
      <c r="H1113" s="518"/>
      <c r="I1113" s="471"/>
      <c r="J1113" s="499"/>
      <c r="K1113" s="471"/>
    </row>
    <row r="1114" spans="1:18" ht="15.75" hidden="1" x14ac:dyDescent="0.25">
      <c r="A1114" s="466" t="s">
        <v>704</v>
      </c>
      <c r="B1114" s="460">
        <v>908</v>
      </c>
      <c r="C1114" s="462" t="s">
        <v>234</v>
      </c>
      <c r="D1114" s="462" t="s">
        <v>215</v>
      </c>
      <c r="E1114" s="462" t="s">
        <v>1430</v>
      </c>
      <c r="F1114" s="462" t="s">
        <v>138</v>
      </c>
      <c r="G1114" s="467">
        <f>3.4+37.5-40.9</f>
        <v>0</v>
      </c>
      <c r="H1114" s="518"/>
      <c r="I1114" s="471"/>
      <c r="J1114" s="499"/>
      <c r="K1114" s="471"/>
      <c r="L1114" s="204"/>
    </row>
    <row r="1115" spans="1:18" ht="15.75" hidden="1" x14ac:dyDescent="0.25">
      <c r="A1115" s="466" t="s">
        <v>550</v>
      </c>
      <c r="B1115" s="460">
        <v>908</v>
      </c>
      <c r="C1115" s="462" t="s">
        <v>234</v>
      </c>
      <c r="D1115" s="462" t="s">
        <v>215</v>
      </c>
      <c r="E1115" s="462" t="s">
        <v>1303</v>
      </c>
      <c r="F1115" s="462"/>
      <c r="G1115" s="467">
        <f>G1116</f>
        <v>0</v>
      </c>
      <c r="H1115" s="518"/>
      <c r="I1115" s="471"/>
      <c r="J1115" s="499"/>
      <c r="K1115" s="471"/>
      <c r="L1115" s="204"/>
    </row>
    <row r="1116" spans="1:18" ht="31.5" hidden="1" x14ac:dyDescent="0.25">
      <c r="A1116" s="466" t="s">
        <v>131</v>
      </c>
      <c r="B1116" s="460">
        <v>908</v>
      </c>
      <c r="C1116" s="462" t="s">
        <v>234</v>
      </c>
      <c r="D1116" s="462" t="s">
        <v>215</v>
      </c>
      <c r="E1116" s="462" t="s">
        <v>1303</v>
      </c>
      <c r="F1116" s="462" t="s">
        <v>132</v>
      </c>
      <c r="G1116" s="467">
        <f>G1117</f>
        <v>0</v>
      </c>
      <c r="H1116" s="518"/>
      <c r="I1116" s="471"/>
      <c r="J1116" s="499"/>
      <c r="K1116" s="471"/>
      <c r="L1116" s="204"/>
    </row>
    <row r="1117" spans="1:18" ht="31.5" hidden="1" x14ac:dyDescent="0.25">
      <c r="A1117" s="466" t="s">
        <v>133</v>
      </c>
      <c r="B1117" s="460">
        <v>908</v>
      </c>
      <c r="C1117" s="462" t="s">
        <v>234</v>
      </c>
      <c r="D1117" s="462" t="s">
        <v>215</v>
      </c>
      <c r="E1117" s="462" t="s">
        <v>1303</v>
      </c>
      <c r="F1117" s="462" t="s">
        <v>134</v>
      </c>
      <c r="G1117" s="467">
        <v>0</v>
      </c>
      <c r="H1117" s="518"/>
      <c r="I1117" s="471"/>
      <c r="J1117" s="499"/>
      <c r="K1117" s="471"/>
      <c r="L1117" s="204"/>
    </row>
    <row r="1118" spans="1:18" ht="15.75" x14ac:dyDescent="0.25">
      <c r="A1118" s="466" t="s">
        <v>555</v>
      </c>
      <c r="B1118" s="460">
        <v>908</v>
      </c>
      <c r="C1118" s="462" t="s">
        <v>234</v>
      </c>
      <c r="D1118" s="462" t="s">
        <v>215</v>
      </c>
      <c r="E1118" s="462" t="s">
        <v>1280</v>
      </c>
      <c r="F1118" s="462"/>
      <c r="G1118" s="467">
        <f>G1119</f>
        <v>16.100000000000001</v>
      </c>
      <c r="H1118" s="518"/>
      <c r="I1118" s="471"/>
      <c r="J1118" s="499"/>
      <c r="K1118" s="471"/>
      <c r="L1118" s="204"/>
    </row>
    <row r="1119" spans="1:18" ht="31.5" x14ac:dyDescent="0.25">
      <c r="A1119" s="466" t="s">
        <v>131</v>
      </c>
      <c r="B1119" s="460">
        <v>908</v>
      </c>
      <c r="C1119" s="462" t="s">
        <v>234</v>
      </c>
      <c r="D1119" s="462" t="s">
        <v>215</v>
      </c>
      <c r="E1119" s="462" t="s">
        <v>1280</v>
      </c>
      <c r="F1119" s="462" t="s">
        <v>132</v>
      </c>
      <c r="G1119" s="467">
        <f>G1120</f>
        <v>16.100000000000001</v>
      </c>
      <c r="H1119" s="518"/>
      <c r="I1119" s="471"/>
      <c r="J1119" s="499"/>
      <c r="K1119" s="471"/>
      <c r="L1119" s="204"/>
    </row>
    <row r="1120" spans="1:18" ht="36" customHeight="1" x14ac:dyDescent="0.25">
      <c r="A1120" s="466" t="s">
        <v>133</v>
      </c>
      <c r="B1120" s="460">
        <v>908</v>
      </c>
      <c r="C1120" s="462" t="s">
        <v>234</v>
      </c>
      <c r="D1120" s="462" t="s">
        <v>215</v>
      </c>
      <c r="E1120" s="462" t="s">
        <v>1280</v>
      </c>
      <c r="F1120" s="462" t="s">
        <v>134</v>
      </c>
      <c r="G1120" s="467">
        <f>50-33.9</f>
        <v>16.100000000000001</v>
      </c>
      <c r="H1120" s="518"/>
      <c r="I1120" s="471"/>
      <c r="J1120" s="499"/>
      <c r="K1120" s="471"/>
      <c r="L1120" s="204"/>
    </row>
    <row r="1121" spans="1:12" ht="30.75" customHeight="1" x14ac:dyDescent="0.25">
      <c r="A1121" s="320" t="s">
        <v>1445</v>
      </c>
      <c r="B1121" s="460">
        <v>908</v>
      </c>
      <c r="C1121" s="462" t="s">
        <v>234</v>
      </c>
      <c r="D1121" s="462" t="s">
        <v>215</v>
      </c>
      <c r="E1121" s="462" t="s">
        <v>1281</v>
      </c>
      <c r="F1121" s="462"/>
      <c r="G1121" s="467">
        <f>G1122+G1124</f>
        <v>20.5</v>
      </c>
      <c r="H1121" s="518"/>
      <c r="I1121" s="471"/>
      <c r="J1121" s="499"/>
      <c r="K1121" s="471"/>
      <c r="L1121" s="204"/>
    </row>
    <row r="1122" spans="1:12" ht="31.5" x14ac:dyDescent="0.25">
      <c r="A1122" s="466" t="s">
        <v>131</v>
      </c>
      <c r="B1122" s="460">
        <v>908</v>
      </c>
      <c r="C1122" s="462" t="s">
        <v>234</v>
      </c>
      <c r="D1122" s="462" t="s">
        <v>215</v>
      </c>
      <c r="E1122" s="462" t="s">
        <v>1281</v>
      </c>
      <c r="F1122" s="462" t="s">
        <v>132</v>
      </c>
      <c r="G1122" s="467">
        <f>G1123</f>
        <v>20.5</v>
      </c>
      <c r="H1122" s="518"/>
      <c r="I1122" s="471"/>
      <c r="J1122" s="499"/>
      <c r="K1122" s="471"/>
      <c r="L1122" s="204"/>
    </row>
    <row r="1123" spans="1:12" ht="31.5" x14ac:dyDescent="0.25">
      <c r="A1123" s="466" t="s">
        <v>133</v>
      </c>
      <c r="B1123" s="460">
        <v>908</v>
      </c>
      <c r="C1123" s="462" t="s">
        <v>234</v>
      </c>
      <c r="D1123" s="462" t="s">
        <v>215</v>
      </c>
      <c r="E1123" s="462" t="s">
        <v>1281</v>
      </c>
      <c r="F1123" s="462" t="s">
        <v>134</v>
      </c>
      <c r="G1123" s="467">
        <f>300-190.6-104.9-4.5+21-0.5</f>
        <v>20.5</v>
      </c>
      <c r="H1123" s="519"/>
      <c r="I1123" s="162"/>
      <c r="J1123" s="499"/>
      <c r="K1123" s="471"/>
      <c r="L1123" s="204"/>
    </row>
    <row r="1124" spans="1:12" s="204" customFormat="1" ht="15.75" hidden="1" x14ac:dyDescent="0.25">
      <c r="A1124" s="466" t="s">
        <v>135</v>
      </c>
      <c r="B1124" s="460">
        <v>908</v>
      </c>
      <c r="C1124" s="462" t="s">
        <v>234</v>
      </c>
      <c r="D1124" s="462" t="s">
        <v>215</v>
      </c>
      <c r="E1124" s="462" t="s">
        <v>1281</v>
      </c>
      <c r="F1124" s="462" t="s">
        <v>145</v>
      </c>
      <c r="G1124" s="467">
        <f>G1125</f>
        <v>0</v>
      </c>
      <c r="H1124" s="518"/>
      <c r="I1124" s="471"/>
      <c r="J1124" s="499"/>
      <c r="K1124" s="471"/>
    </row>
    <row r="1125" spans="1:12" s="204" customFormat="1" ht="15.75" hidden="1" x14ac:dyDescent="0.25">
      <c r="A1125" s="466" t="s">
        <v>704</v>
      </c>
      <c r="B1125" s="460">
        <v>908</v>
      </c>
      <c r="C1125" s="462" t="s">
        <v>234</v>
      </c>
      <c r="D1125" s="462" t="s">
        <v>215</v>
      </c>
      <c r="E1125" s="462" t="s">
        <v>1281</v>
      </c>
      <c r="F1125" s="462" t="s">
        <v>138</v>
      </c>
      <c r="G1125" s="467">
        <f>75-75</f>
        <v>0</v>
      </c>
      <c r="H1125" s="518"/>
      <c r="I1125" s="471"/>
      <c r="J1125" s="499"/>
      <c r="K1125" s="471"/>
    </row>
    <row r="1126" spans="1:12" ht="15.75" hidden="1" x14ac:dyDescent="0.25">
      <c r="A1126" s="45" t="s">
        <v>559</v>
      </c>
      <c r="B1126" s="460">
        <v>908</v>
      </c>
      <c r="C1126" s="462" t="s">
        <v>234</v>
      </c>
      <c r="D1126" s="462" t="s">
        <v>215</v>
      </c>
      <c r="E1126" s="462" t="s">
        <v>1282</v>
      </c>
      <c r="F1126" s="462"/>
      <c r="G1126" s="467">
        <f>G1127</f>
        <v>0</v>
      </c>
      <c r="H1126" s="518"/>
      <c r="I1126" s="471"/>
      <c r="J1126" s="499"/>
      <c r="K1126" s="471"/>
      <c r="L1126" s="204"/>
    </row>
    <row r="1127" spans="1:12" ht="31.5" hidden="1" x14ac:dyDescent="0.25">
      <c r="A1127" s="466" t="s">
        <v>131</v>
      </c>
      <c r="B1127" s="460">
        <v>908</v>
      </c>
      <c r="C1127" s="462" t="s">
        <v>234</v>
      </c>
      <c r="D1127" s="462" t="s">
        <v>215</v>
      </c>
      <c r="E1127" s="462" t="s">
        <v>1282</v>
      </c>
      <c r="F1127" s="462" t="s">
        <v>132</v>
      </c>
      <c r="G1127" s="467">
        <f>G1128</f>
        <v>0</v>
      </c>
      <c r="H1127" s="518"/>
      <c r="I1127" s="471"/>
      <c r="J1127" s="499"/>
      <c r="K1127" s="471"/>
      <c r="L1127" s="204"/>
    </row>
    <row r="1128" spans="1:12" ht="31.5" hidden="1" x14ac:dyDescent="0.25">
      <c r="A1128" s="466" t="s">
        <v>133</v>
      </c>
      <c r="B1128" s="460">
        <v>908</v>
      </c>
      <c r="C1128" s="462" t="s">
        <v>234</v>
      </c>
      <c r="D1128" s="462" t="s">
        <v>215</v>
      </c>
      <c r="E1128" s="462" t="s">
        <v>1282</v>
      </c>
      <c r="F1128" s="462" t="s">
        <v>134</v>
      </c>
      <c r="G1128" s="467">
        <v>0</v>
      </c>
      <c r="H1128" s="518"/>
      <c r="I1128" s="471"/>
      <c r="J1128" s="499"/>
      <c r="K1128" s="471"/>
      <c r="L1128" s="204"/>
    </row>
    <row r="1129" spans="1:12" s="204" customFormat="1" ht="31.5" x14ac:dyDescent="0.25">
      <c r="A1129" s="321" t="s">
        <v>1092</v>
      </c>
      <c r="B1129" s="460">
        <v>908</v>
      </c>
      <c r="C1129" s="462" t="s">
        <v>234</v>
      </c>
      <c r="D1129" s="462" t="s">
        <v>215</v>
      </c>
      <c r="E1129" s="462" t="s">
        <v>1283</v>
      </c>
      <c r="F1129" s="462"/>
      <c r="G1129" s="467">
        <f>G1130</f>
        <v>286.5</v>
      </c>
      <c r="H1129" s="518"/>
      <c r="I1129" s="471"/>
      <c r="J1129" s="499"/>
      <c r="K1129" s="471"/>
    </row>
    <row r="1130" spans="1:12" s="204" customFormat="1" ht="31.5" x14ac:dyDescent="0.25">
      <c r="A1130" s="466" t="s">
        <v>131</v>
      </c>
      <c r="B1130" s="460">
        <v>908</v>
      </c>
      <c r="C1130" s="462" t="s">
        <v>234</v>
      </c>
      <c r="D1130" s="462" t="s">
        <v>215</v>
      </c>
      <c r="E1130" s="462" t="s">
        <v>1283</v>
      </c>
      <c r="F1130" s="462" t="s">
        <v>132</v>
      </c>
      <c r="G1130" s="467">
        <f>G1131</f>
        <v>286.5</v>
      </c>
      <c r="H1130" s="518"/>
      <c r="I1130" s="471"/>
      <c r="J1130" s="499"/>
      <c r="K1130" s="471"/>
    </row>
    <row r="1131" spans="1:12" s="204" customFormat="1" ht="31.5" x14ac:dyDescent="0.25">
      <c r="A1131" s="466" t="s">
        <v>133</v>
      </c>
      <c r="B1131" s="460">
        <v>908</v>
      </c>
      <c r="C1131" s="462" t="s">
        <v>234</v>
      </c>
      <c r="D1131" s="462" t="s">
        <v>215</v>
      </c>
      <c r="E1131" s="462" t="s">
        <v>1283</v>
      </c>
      <c r="F1131" s="462" t="s">
        <v>134</v>
      </c>
      <c r="G1131" s="467">
        <f>50+130+244-142.5+5</f>
        <v>286.5</v>
      </c>
      <c r="H1131" s="519"/>
      <c r="I1131" s="471"/>
      <c r="J1131" s="499"/>
      <c r="K1131" s="471"/>
    </row>
    <row r="1132" spans="1:12" s="204" customFormat="1" ht="31.5" x14ac:dyDescent="0.25">
      <c r="A1132" s="464" t="s">
        <v>891</v>
      </c>
      <c r="B1132" s="461">
        <v>908</v>
      </c>
      <c r="C1132" s="465" t="s">
        <v>234</v>
      </c>
      <c r="D1132" s="465" t="s">
        <v>215</v>
      </c>
      <c r="E1132" s="465" t="s">
        <v>1301</v>
      </c>
      <c r="F1132" s="465"/>
      <c r="G1132" s="463">
        <f>G1133+G1136</f>
        <v>1857.2</v>
      </c>
      <c r="H1132" s="518"/>
      <c r="I1132" s="471"/>
      <c r="J1132" s="499"/>
      <c r="K1132" s="471"/>
    </row>
    <row r="1133" spans="1:12" s="204" customFormat="1" ht="31.5" hidden="1" x14ac:dyDescent="0.25">
      <c r="A1133" s="466" t="s">
        <v>690</v>
      </c>
      <c r="B1133" s="460">
        <v>908</v>
      </c>
      <c r="C1133" s="462" t="s">
        <v>234</v>
      </c>
      <c r="D1133" s="462" t="s">
        <v>215</v>
      </c>
      <c r="E1133" s="462" t="s">
        <v>1334</v>
      </c>
      <c r="F1133" s="462"/>
      <c r="G1133" s="467">
        <f>G1134</f>
        <v>0</v>
      </c>
      <c r="H1133" s="518"/>
      <c r="I1133" s="471"/>
      <c r="J1133" s="499"/>
      <c r="K1133" s="471"/>
    </row>
    <row r="1134" spans="1:12" s="204" customFormat="1" ht="31.5" hidden="1" x14ac:dyDescent="0.25">
      <c r="A1134" s="466" t="s">
        <v>131</v>
      </c>
      <c r="B1134" s="460">
        <v>908</v>
      </c>
      <c r="C1134" s="462" t="s">
        <v>234</v>
      </c>
      <c r="D1134" s="462" t="s">
        <v>215</v>
      </c>
      <c r="E1134" s="462" t="s">
        <v>1334</v>
      </c>
      <c r="F1134" s="462" t="s">
        <v>132</v>
      </c>
      <c r="G1134" s="467">
        <f>G1135</f>
        <v>0</v>
      </c>
      <c r="H1134" s="518"/>
      <c r="I1134" s="471"/>
      <c r="J1134" s="499"/>
      <c r="K1134" s="471"/>
    </row>
    <row r="1135" spans="1:12" s="204" customFormat="1" ht="31.5" hidden="1" x14ac:dyDescent="0.25">
      <c r="A1135" s="466" t="s">
        <v>133</v>
      </c>
      <c r="B1135" s="460">
        <v>908</v>
      </c>
      <c r="C1135" s="462" t="s">
        <v>234</v>
      </c>
      <c r="D1135" s="462" t="s">
        <v>215</v>
      </c>
      <c r="E1135" s="462" t="s">
        <v>1334</v>
      </c>
      <c r="F1135" s="462" t="s">
        <v>134</v>
      </c>
      <c r="G1135" s="467">
        <v>0</v>
      </c>
      <c r="H1135" s="518"/>
      <c r="I1135" s="471"/>
      <c r="J1135" s="499"/>
      <c r="K1135" s="471"/>
    </row>
    <row r="1136" spans="1:12" s="204" customFormat="1" ht="47.25" x14ac:dyDescent="0.25">
      <c r="A1136" s="466" t="s">
        <v>1073</v>
      </c>
      <c r="B1136" s="460">
        <v>908</v>
      </c>
      <c r="C1136" s="462" t="s">
        <v>234</v>
      </c>
      <c r="D1136" s="462" t="s">
        <v>215</v>
      </c>
      <c r="E1136" s="462" t="s">
        <v>1300</v>
      </c>
      <c r="F1136" s="462"/>
      <c r="G1136" s="467">
        <f>G1137</f>
        <v>1857.2</v>
      </c>
      <c r="H1136" s="518"/>
      <c r="I1136" s="471"/>
      <c r="J1136" s="499"/>
      <c r="K1136" s="471"/>
    </row>
    <row r="1137" spans="1:12" s="204" customFormat="1" ht="31.5" x14ac:dyDescent="0.25">
      <c r="A1137" s="466" t="s">
        <v>131</v>
      </c>
      <c r="B1137" s="460">
        <v>908</v>
      </c>
      <c r="C1137" s="462" t="s">
        <v>234</v>
      </c>
      <c r="D1137" s="462" t="s">
        <v>215</v>
      </c>
      <c r="E1137" s="462" t="s">
        <v>1300</v>
      </c>
      <c r="F1137" s="462" t="s">
        <v>132</v>
      </c>
      <c r="G1137" s="467">
        <f>G1138</f>
        <v>1857.2</v>
      </c>
      <c r="H1137" s="518"/>
      <c r="I1137" s="471"/>
      <c r="J1137" s="499"/>
      <c r="K1137" s="471"/>
    </row>
    <row r="1138" spans="1:12" s="204" customFormat="1" ht="31.5" x14ac:dyDescent="0.25">
      <c r="A1138" s="466" t="s">
        <v>133</v>
      </c>
      <c r="B1138" s="460">
        <v>908</v>
      </c>
      <c r="C1138" s="462" t="s">
        <v>234</v>
      </c>
      <c r="D1138" s="462" t="s">
        <v>215</v>
      </c>
      <c r="E1138" s="462" t="s">
        <v>1300</v>
      </c>
      <c r="F1138" s="462" t="s">
        <v>134</v>
      </c>
      <c r="G1138" s="467">
        <v>1857.2</v>
      </c>
      <c r="H1138" s="518"/>
      <c r="I1138" s="471"/>
      <c r="J1138" s="499"/>
      <c r="K1138" s="471"/>
    </row>
    <row r="1139" spans="1:12" s="204" customFormat="1" ht="31.5" x14ac:dyDescent="0.25">
      <c r="A1139" s="34" t="s">
        <v>1673</v>
      </c>
      <c r="B1139" s="461">
        <v>908</v>
      </c>
      <c r="C1139" s="465" t="s">
        <v>234</v>
      </c>
      <c r="D1139" s="465" t="s">
        <v>215</v>
      </c>
      <c r="E1139" s="465" t="s">
        <v>1674</v>
      </c>
      <c r="F1139" s="465"/>
      <c r="G1139" s="463">
        <f>G1140</f>
        <v>1523.201</v>
      </c>
      <c r="H1139" s="518"/>
      <c r="I1139" s="471"/>
      <c r="J1139" s="499"/>
      <c r="K1139" s="471"/>
    </row>
    <row r="1140" spans="1:12" s="204" customFormat="1" ht="15.75" x14ac:dyDescent="0.25">
      <c r="A1140" s="31" t="s">
        <v>1672</v>
      </c>
      <c r="B1140" s="460">
        <v>908</v>
      </c>
      <c r="C1140" s="462" t="s">
        <v>234</v>
      </c>
      <c r="D1140" s="462" t="s">
        <v>215</v>
      </c>
      <c r="E1140" s="462" t="s">
        <v>1675</v>
      </c>
      <c r="F1140" s="462"/>
      <c r="G1140" s="467">
        <f>G1141</f>
        <v>1523.201</v>
      </c>
      <c r="H1140" s="518"/>
      <c r="I1140" s="471"/>
      <c r="J1140" s="499"/>
      <c r="K1140" s="471"/>
    </row>
    <row r="1141" spans="1:12" s="204" customFormat="1" ht="31.5" x14ac:dyDescent="0.25">
      <c r="A1141" s="466" t="s">
        <v>131</v>
      </c>
      <c r="B1141" s="460">
        <v>908</v>
      </c>
      <c r="C1141" s="462" t="s">
        <v>234</v>
      </c>
      <c r="D1141" s="462" t="s">
        <v>215</v>
      </c>
      <c r="E1141" s="462" t="s">
        <v>1675</v>
      </c>
      <c r="F1141" s="462" t="s">
        <v>132</v>
      </c>
      <c r="G1141" s="467">
        <f>G1142</f>
        <v>1523.201</v>
      </c>
      <c r="H1141" s="518"/>
      <c r="I1141" s="471"/>
      <c r="J1141" s="499"/>
      <c r="K1141" s="471"/>
    </row>
    <row r="1142" spans="1:12" s="204" customFormat="1" ht="31.5" x14ac:dyDescent="0.25">
      <c r="A1142" s="466" t="s">
        <v>133</v>
      </c>
      <c r="B1142" s="460">
        <v>908</v>
      </c>
      <c r="C1142" s="462" t="s">
        <v>234</v>
      </c>
      <c r="D1142" s="462" t="s">
        <v>215</v>
      </c>
      <c r="E1142" s="462" t="s">
        <v>1675</v>
      </c>
      <c r="F1142" s="462" t="s">
        <v>134</v>
      </c>
      <c r="G1142" s="467">
        <f>501.7+21.5+959+41.001</f>
        <v>1523.201</v>
      </c>
      <c r="H1142" s="519"/>
      <c r="I1142" s="492"/>
      <c r="J1142" s="508"/>
      <c r="K1142" s="471"/>
    </row>
    <row r="1143" spans="1:12" s="204" customFormat="1" ht="31.5" x14ac:dyDescent="0.25">
      <c r="A1143" s="34" t="s">
        <v>1704</v>
      </c>
      <c r="B1143" s="461">
        <v>908</v>
      </c>
      <c r="C1143" s="465" t="s">
        <v>234</v>
      </c>
      <c r="D1143" s="465" t="s">
        <v>215</v>
      </c>
      <c r="E1143" s="465" t="s">
        <v>1701</v>
      </c>
      <c r="F1143" s="465"/>
      <c r="G1143" s="463">
        <f>G1144</f>
        <v>4637.2</v>
      </c>
      <c r="H1143" s="521"/>
      <c r="I1143" s="472"/>
      <c r="J1143" s="513"/>
      <c r="K1143" s="471"/>
    </row>
    <row r="1144" spans="1:12" s="204" customFormat="1" ht="31.5" x14ac:dyDescent="0.25">
      <c r="A1144" s="31" t="s">
        <v>1702</v>
      </c>
      <c r="B1144" s="460">
        <v>908</v>
      </c>
      <c r="C1144" s="462" t="s">
        <v>234</v>
      </c>
      <c r="D1144" s="462" t="s">
        <v>215</v>
      </c>
      <c r="E1144" s="462" t="s">
        <v>1712</v>
      </c>
      <c r="F1144" s="462"/>
      <c r="G1144" s="467">
        <f>G1145</f>
        <v>4637.2</v>
      </c>
      <c r="H1144" s="521"/>
      <c r="I1144" s="472"/>
      <c r="J1144" s="513"/>
      <c r="K1144" s="471"/>
    </row>
    <row r="1145" spans="1:12" s="204" customFormat="1" ht="31.5" x14ac:dyDescent="0.25">
      <c r="A1145" s="466" t="s">
        <v>131</v>
      </c>
      <c r="B1145" s="460">
        <v>908</v>
      </c>
      <c r="C1145" s="462" t="s">
        <v>234</v>
      </c>
      <c r="D1145" s="462" t="s">
        <v>215</v>
      </c>
      <c r="E1145" s="462" t="s">
        <v>1712</v>
      </c>
      <c r="F1145" s="462" t="s">
        <v>132</v>
      </c>
      <c r="G1145" s="467">
        <f>G1146</f>
        <v>4637.2</v>
      </c>
      <c r="H1145" s="521"/>
      <c r="I1145" s="472"/>
      <c r="J1145" s="513"/>
      <c r="K1145" s="471"/>
    </row>
    <row r="1146" spans="1:12" s="204" customFormat="1" ht="31.5" x14ac:dyDescent="0.25">
      <c r="A1146" s="466" t="s">
        <v>133</v>
      </c>
      <c r="B1146" s="460">
        <v>908</v>
      </c>
      <c r="C1146" s="462" t="s">
        <v>234</v>
      </c>
      <c r="D1146" s="462" t="s">
        <v>215</v>
      </c>
      <c r="E1146" s="462" t="s">
        <v>1712</v>
      </c>
      <c r="F1146" s="462" t="s">
        <v>134</v>
      </c>
      <c r="G1146" s="467">
        <f>4173.5+463.7</f>
        <v>4637.2</v>
      </c>
      <c r="H1146" s="521"/>
      <c r="I1146" s="514"/>
      <c r="J1146" s="513"/>
      <c r="K1146" s="471"/>
    </row>
    <row r="1147" spans="1:12" ht="51" customHeight="1" x14ac:dyDescent="0.25">
      <c r="A1147" s="464" t="s">
        <v>1622</v>
      </c>
      <c r="B1147" s="461">
        <v>908</v>
      </c>
      <c r="C1147" s="465" t="s">
        <v>234</v>
      </c>
      <c r="D1147" s="465" t="s">
        <v>215</v>
      </c>
      <c r="E1147" s="465" t="s">
        <v>711</v>
      </c>
      <c r="F1147" s="465"/>
      <c r="G1147" s="463">
        <f>G1148+G1152</f>
        <v>24365.510000000002</v>
      </c>
      <c r="H1147" s="518"/>
      <c r="I1147" s="483"/>
      <c r="J1147" s="499"/>
      <c r="K1147" s="471"/>
      <c r="L1147" s="204"/>
    </row>
    <row r="1148" spans="1:12" s="204" customFormat="1" ht="34.5" customHeight="1" x14ac:dyDescent="0.25">
      <c r="A1148" s="464" t="s">
        <v>1069</v>
      </c>
      <c r="B1148" s="461">
        <v>908</v>
      </c>
      <c r="C1148" s="465" t="s">
        <v>234</v>
      </c>
      <c r="D1148" s="465" t="s">
        <v>215</v>
      </c>
      <c r="E1148" s="465" t="s">
        <v>1091</v>
      </c>
      <c r="F1148" s="465"/>
      <c r="G1148" s="463">
        <f>G1149</f>
        <v>22809.004000000001</v>
      </c>
      <c r="H1148" s="518"/>
      <c r="I1148" s="471"/>
      <c r="J1148" s="499"/>
      <c r="K1148" s="471"/>
    </row>
    <row r="1149" spans="1:12" ht="48.75" customHeight="1" x14ac:dyDescent="0.25">
      <c r="A1149" s="80" t="s">
        <v>693</v>
      </c>
      <c r="B1149" s="460">
        <v>908</v>
      </c>
      <c r="C1149" s="462" t="s">
        <v>234</v>
      </c>
      <c r="D1149" s="462" t="s">
        <v>215</v>
      </c>
      <c r="E1149" s="462" t="s">
        <v>835</v>
      </c>
      <c r="F1149" s="462"/>
      <c r="G1149" s="467">
        <f>G1150</f>
        <v>22809.004000000001</v>
      </c>
      <c r="H1149" s="518"/>
      <c r="I1149" s="471"/>
      <c r="J1149" s="499"/>
      <c r="K1149" s="471"/>
      <c r="L1149" s="204"/>
    </row>
    <row r="1150" spans="1:12" ht="31.5" x14ac:dyDescent="0.25">
      <c r="A1150" s="466" t="s">
        <v>131</v>
      </c>
      <c r="B1150" s="460">
        <v>908</v>
      </c>
      <c r="C1150" s="462" t="s">
        <v>234</v>
      </c>
      <c r="D1150" s="462" t="s">
        <v>215</v>
      </c>
      <c r="E1150" s="462" t="s">
        <v>835</v>
      </c>
      <c r="F1150" s="462" t="s">
        <v>132</v>
      </c>
      <c r="G1150" s="467">
        <f>G1151</f>
        <v>22809.004000000001</v>
      </c>
      <c r="H1150" s="518"/>
      <c r="I1150" s="471"/>
      <c r="J1150" s="499"/>
      <c r="K1150" s="471"/>
      <c r="L1150" s="204"/>
    </row>
    <row r="1151" spans="1:12" ht="31.5" x14ac:dyDescent="0.25">
      <c r="A1151" s="466" t="s">
        <v>133</v>
      </c>
      <c r="B1151" s="460">
        <v>908</v>
      </c>
      <c r="C1151" s="462" t="s">
        <v>234</v>
      </c>
      <c r="D1151" s="462" t="s">
        <v>215</v>
      </c>
      <c r="E1151" s="462" t="s">
        <v>835</v>
      </c>
      <c r="F1151" s="462" t="s">
        <v>134</v>
      </c>
      <c r="G1151" s="467">
        <f>500+874+21435.004</f>
        <v>22809.004000000001</v>
      </c>
      <c r="H1151" s="518"/>
      <c r="I1151" s="471"/>
      <c r="J1151" s="499"/>
      <c r="K1151" s="471"/>
      <c r="L1151" s="204"/>
    </row>
    <row r="1152" spans="1:12" s="204" customFormat="1" ht="98.25" customHeight="1" x14ac:dyDescent="0.25">
      <c r="A1152" s="464" t="s">
        <v>1707</v>
      </c>
      <c r="B1152" s="461">
        <v>908</v>
      </c>
      <c r="C1152" s="465" t="s">
        <v>234</v>
      </c>
      <c r="D1152" s="465" t="s">
        <v>215</v>
      </c>
      <c r="E1152" s="465" t="s">
        <v>1708</v>
      </c>
      <c r="F1152" s="465"/>
      <c r="G1152" s="463">
        <f>G1153</f>
        <v>1556.5060000000001</v>
      </c>
      <c r="H1152" s="518"/>
      <c r="I1152" s="471"/>
      <c r="J1152" s="499"/>
      <c r="K1152" s="471"/>
    </row>
    <row r="1153" spans="1:12" s="204" customFormat="1" ht="92.25" customHeight="1" x14ac:dyDescent="0.25">
      <c r="A1153" s="80" t="s">
        <v>1753</v>
      </c>
      <c r="B1153" s="460">
        <v>908</v>
      </c>
      <c r="C1153" s="462" t="s">
        <v>234</v>
      </c>
      <c r="D1153" s="462" t="s">
        <v>215</v>
      </c>
      <c r="E1153" s="462" t="s">
        <v>1709</v>
      </c>
      <c r="F1153" s="462"/>
      <c r="G1153" s="467">
        <f>G1154</f>
        <v>1556.5060000000001</v>
      </c>
      <c r="H1153" s="518"/>
      <c r="I1153" s="471"/>
      <c r="J1153" s="499"/>
      <c r="K1153" s="471"/>
    </row>
    <row r="1154" spans="1:12" s="204" customFormat="1" ht="31.5" x14ac:dyDescent="0.25">
      <c r="A1154" s="466" t="s">
        <v>131</v>
      </c>
      <c r="B1154" s="460">
        <v>908</v>
      </c>
      <c r="C1154" s="462" t="s">
        <v>234</v>
      </c>
      <c r="D1154" s="462" t="s">
        <v>215</v>
      </c>
      <c r="E1154" s="462" t="s">
        <v>1709</v>
      </c>
      <c r="F1154" s="462" t="s">
        <v>132</v>
      </c>
      <c r="G1154" s="467">
        <f>G1155</f>
        <v>1556.5060000000001</v>
      </c>
      <c r="H1154" s="518"/>
      <c r="I1154" s="471"/>
      <c r="J1154" s="499"/>
      <c r="K1154" s="471"/>
    </row>
    <row r="1155" spans="1:12" s="204" customFormat="1" ht="31.5" x14ac:dyDescent="0.25">
      <c r="A1155" s="466" t="s">
        <v>133</v>
      </c>
      <c r="B1155" s="460">
        <v>908</v>
      </c>
      <c r="C1155" s="462" t="s">
        <v>234</v>
      </c>
      <c r="D1155" s="462" t="s">
        <v>215</v>
      </c>
      <c r="E1155" s="462" t="s">
        <v>1709</v>
      </c>
      <c r="F1155" s="462" t="s">
        <v>134</v>
      </c>
      <c r="G1155" s="467">
        <v>1556.5060000000001</v>
      </c>
      <c r="H1155" s="519"/>
      <c r="I1155" s="471"/>
      <c r="J1155" s="499"/>
      <c r="K1155" s="471"/>
    </row>
    <row r="1156" spans="1:12" ht="31.5" x14ac:dyDescent="0.25">
      <c r="A1156" s="464" t="s">
        <v>569</v>
      </c>
      <c r="B1156" s="461">
        <v>908</v>
      </c>
      <c r="C1156" s="465" t="s">
        <v>234</v>
      </c>
      <c r="D1156" s="465" t="s">
        <v>234</v>
      </c>
      <c r="E1156" s="465"/>
      <c r="F1156" s="465"/>
      <c r="G1156" s="463">
        <f>G1157+G1172+G1197</f>
        <v>49818.904799999989</v>
      </c>
      <c r="H1156" s="518"/>
      <c r="I1156" s="471"/>
      <c r="J1156" s="499"/>
      <c r="K1156" s="471"/>
      <c r="L1156" s="204"/>
    </row>
    <row r="1157" spans="1:12" ht="31.5" x14ac:dyDescent="0.25">
      <c r="A1157" s="464" t="s">
        <v>917</v>
      </c>
      <c r="B1157" s="461">
        <v>908</v>
      </c>
      <c r="C1157" s="465" t="s">
        <v>234</v>
      </c>
      <c r="D1157" s="465" t="s">
        <v>234</v>
      </c>
      <c r="E1157" s="465" t="s">
        <v>858</v>
      </c>
      <c r="F1157" s="465"/>
      <c r="G1157" s="463">
        <f>G1158</f>
        <v>15526.148799999999</v>
      </c>
      <c r="H1157" s="518"/>
      <c r="I1157" s="471"/>
      <c r="J1157" s="499"/>
      <c r="K1157" s="471"/>
      <c r="L1157" s="204"/>
    </row>
    <row r="1158" spans="1:12" ht="15.75" x14ac:dyDescent="0.25">
      <c r="A1158" s="464" t="s">
        <v>918</v>
      </c>
      <c r="B1158" s="461">
        <v>908</v>
      </c>
      <c r="C1158" s="465" t="s">
        <v>234</v>
      </c>
      <c r="D1158" s="465" t="s">
        <v>234</v>
      </c>
      <c r="E1158" s="465" t="s">
        <v>859</v>
      </c>
      <c r="F1158" s="465"/>
      <c r="G1158" s="463">
        <f>G1159+G1166+G1169</f>
        <v>15526.148799999999</v>
      </c>
      <c r="H1158" s="518"/>
      <c r="I1158" s="471"/>
      <c r="J1158" s="499"/>
      <c r="K1158" s="471"/>
      <c r="L1158" s="204"/>
    </row>
    <row r="1159" spans="1:12" ht="31.9" customHeight="1" x14ac:dyDescent="0.25">
      <c r="A1159" s="466" t="s">
        <v>897</v>
      </c>
      <c r="B1159" s="460">
        <v>908</v>
      </c>
      <c r="C1159" s="462" t="s">
        <v>234</v>
      </c>
      <c r="D1159" s="462" t="s">
        <v>234</v>
      </c>
      <c r="E1159" s="462" t="s">
        <v>860</v>
      </c>
      <c r="F1159" s="462"/>
      <c r="G1159" s="467">
        <f>G1160+G1164+G1162</f>
        <v>14774.999999999998</v>
      </c>
      <c r="H1159" s="518"/>
      <c r="I1159" s="471"/>
      <c r="J1159" s="499"/>
      <c r="K1159" s="471"/>
      <c r="L1159" s="204"/>
    </row>
    <row r="1160" spans="1:12" ht="60.75" customHeight="1" x14ac:dyDescent="0.25">
      <c r="A1160" s="466" t="s">
        <v>127</v>
      </c>
      <c r="B1160" s="460">
        <v>908</v>
      </c>
      <c r="C1160" s="462" t="s">
        <v>234</v>
      </c>
      <c r="D1160" s="462" t="s">
        <v>234</v>
      </c>
      <c r="E1160" s="462" t="s">
        <v>860</v>
      </c>
      <c r="F1160" s="462" t="s">
        <v>128</v>
      </c>
      <c r="G1160" s="467">
        <f>G1161</f>
        <v>14713.699999999999</v>
      </c>
      <c r="H1160" s="518"/>
      <c r="I1160" s="471"/>
      <c r="J1160" s="499"/>
      <c r="K1160" s="471"/>
      <c r="L1160" s="204"/>
    </row>
    <row r="1161" spans="1:12" ht="31.5" x14ac:dyDescent="0.25">
      <c r="A1161" s="466" t="s">
        <v>129</v>
      </c>
      <c r="B1161" s="460">
        <v>908</v>
      </c>
      <c r="C1161" s="462" t="s">
        <v>234</v>
      </c>
      <c r="D1161" s="462" t="s">
        <v>234</v>
      </c>
      <c r="E1161" s="462" t="s">
        <v>860</v>
      </c>
      <c r="F1161" s="462" t="s">
        <v>130</v>
      </c>
      <c r="G1161" s="27">
        <f>12439.3-4500-815.5-196.2+3353.5+520-30+800+419.7+1691.9+1000+31</f>
        <v>14713.699999999999</v>
      </c>
      <c r="H1161" s="519"/>
      <c r="I1161" s="162"/>
      <c r="J1161" s="499"/>
      <c r="K1161" s="471"/>
      <c r="L1161" s="204"/>
    </row>
    <row r="1162" spans="1:12" ht="31.5" x14ac:dyDescent="0.25">
      <c r="A1162" s="466" t="s">
        <v>131</v>
      </c>
      <c r="B1162" s="460">
        <v>908</v>
      </c>
      <c r="C1162" s="462" t="s">
        <v>234</v>
      </c>
      <c r="D1162" s="462" t="s">
        <v>234</v>
      </c>
      <c r="E1162" s="462" t="s">
        <v>860</v>
      </c>
      <c r="F1162" s="462" t="s">
        <v>132</v>
      </c>
      <c r="G1162" s="467">
        <f>G1163</f>
        <v>23</v>
      </c>
      <c r="H1162" s="518"/>
      <c r="I1162" s="471"/>
      <c r="J1162" s="499"/>
      <c r="K1162" s="471"/>
      <c r="L1162" s="204"/>
    </row>
    <row r="1163" spans="1:12" ht="36.75" customHeight="1" x14ac:dyDescent="0.25">
      <c r="A1163" s="466" t="s">
        <v>133</v>
      </c>
      <c r="B1163" s="460">
        <v>908</v>
      </c>
      <c r="C1163" s="462" t="s">
        <v>234</v>
      </c>
      <c r="D1163" s="462" t="s">
        <v>234</v>
      </c>
      <c r="E1163" s="462" t="s">
        <v>860</v>
      </c>
      <c r="F1163" s="462" t="s">
        <v>134</v>
      </c>
      <c r="G1163" s="27">
        <f>25-6+4</f>
        <v>23</v>
      </c>
      <c r="H1163" s="527"/>
      <c r="I1163" s="471"/>
      <c r="J1163" s="499"/>
      <c r="K1163" s="471"/>
      <c r="L1163" s="204"/>
    </row>
    <row r="1164" spans="1:12" ht="15.75" x14ac:dyDescent="0.25">
      <c r="A1164" s="466" t="s">
        <v>135</v>
      </c>
      <c r="B1164" s="460">
        <v>908</v>
      </c>
      <c r="C1164" s="462" t="s">
        <v>234</v>
      </c>
      <c r="D1164" s="462" t="s">
        <v>234</v>
      </c>
      <c r="E1164" s="462" t="s">
        <v>860</v>
      </c>
      <c r="F1164" s="462" t="s">
        <v>145</v>
      </c>
      <c r="G1164" s="467">
        <f>G1165</f>
        <v>38.299999999999997</v>
      </c>
      <c r="H1164" s="518"/>
      <c r="I1164" s="471"/>
      <c r="J1164" s="499"/>
      <c r="K1164" s="471"/>
      <c r="L1164" s="204"/>
    </row>
    <row r="1165" spans="1:12" ht="15.75" x14ac:dyDescent="0.25">
      <c r="A1165" s="466" t="s">
        <v>568</v>
      </c>
      <c r="B1165" s="460">
        <v>908</v>
      </c>
      <c r="C1165" s="462" t="s">
        <v>234</v>
      </c>
      <c r="D1165" s="462" t="s">
        <v>234</v>
      </c>
      <c r="E1165" s="462" t="s">
        <v>860</v>
      </c>
      <c r="F1165" s="462" t="s">
        <v>138</v>
      </c>
      <c r="G1165" s="467">
        <f>47-8.7</f>
        <v>38.299999999999997</v>
      </c>
      <c r="H1165" s="518"/>
      <c r="I1165" s="471"/>
      <c r="J1165" s="499"/>
      <c r="K1165" s="471"/>
      <c r="L1165" s="204"/>
    </row>
    <row r="1166" spans="1:12" s="204" customFormat="1" ht="31.5" x14ac:dyDescent="0.25">
      <c r="A1166" s="466" t="s">
        <v>839</v>
      </c>
      <c r="B1166" s="460">
        <v>908</v>
      </c>
      <c r="C1166" s="462" t="s">
        <v>234</v>
      </c>
      <c r="D1166" s="462" t="s">
        <v>234</v>
      </c>
      <c r="E1166" s="462" t="s">
        <v>862</v>
      </c>
      <c r="F1166" s="462"/>
      <c r="G1166" s="467">
        <f>G1167</f>
        <v>399.2</v>
      </c>
      <c r="H1166" s="518"/>
      <c r="I1166" s="471"/>
      <c r="J1166" s="499"/>
      <c r="K1166" s="471"/>
    </row>
    <row r="1167" spans="1:12" s="204" customFormat="1" ht="63" x14ac:dyDescent="0.25">
      <c r="A1167" s="466" t="s">
        <v>127</v>
      </c>
      <c r="B1167" s="460">
        <v>908</v>
      </c>
      <c r="C1167" s="462" t="s">
        <v>234</v>
      </c>
      <c r="D1167" s="462" t="s">
        <v>234</v>
      </c>
      <c r="E1167" s="462" t="s">
        <v>862</v>
      </c>
      <c r="F1167" s="462" t="s">
        <v>128</v>
      </c>
      <c r="G1167" s="467">
        <f>G1168</f>
        <v>399.2</v>
      </c>
      <c r="H1167" s="518"/>
      <c r="I1167" s="471"/>
      <c r="J1167" s="499"/>
      <c r="K1167" s="471"/>
    </row>
    <row r="1168" spans="1:12" s="204" customFormat="1" ht="31.5" x14ac:dyDescent="0.25">
      <c r="A1168" s="466" t="s">
        <v>129</v>
      </c>
      <c r="B1168" s="460">
        <v>908</v>
      </c>
      <c r="C1168" s="462" t="s">
        <v>234</v>
      </c>
      <c r="D1168" s="462" t="s">
        <v>234</v>
      </c>
      <c r="E1168" s="462" t="s">
        <v>862</v>
      </c>
      <c r="F1168" s="462" t="s">
        <v>130</v>
      </c>
      <c r="G1168" s="467">
        <f>368+30+1.2</f>
        <v>399.2</v>
      </c>
      <c r="H1168" s="519"/>
      <c r="I1168" s="471"/>
      <c r="J1168" s="499"/>
      <c r="K1168" s="471"/>
    </row>
    <row r="1169" spans="1:20" s="204" customFormat="1" ht="31.5" x14ac:dyDescent="0.25">
      <c r="A1169" s="466" t="s">
        <v>1793</v>
      </c>
      <c r="B1169" s="460">
        <v>908</v>
      </c>
      <c r="C1169" s="462" t="s">
        <v>234</v>
      </c>
      <c r="D1169" s="462" t="s">
        <v>234</v>
      </c>
      <c r="E1169" s="462" t="s">
        <v>1794</v>
      </c>
      <c r="F1169" s="462"/>
      <c r="G1169" s="467">
        <f>G1170</f>
        <v>351.94880000000001</v>
      </c>
      <c r="H1169" s="521"/>
      <c r="I1169" s="471"/>
      <c r="J1169" s="499"/>
      <c r="K1169" s="471"/>
    </row>
    <row r="1170" spans="1:20" s="204" customFormat="1" ht="63" x14ac:dyDescent="0.25">
      <c r="A1170" s="466" t="s">
        <v>127</v>
      </c>
      <c r="B1170" s="460">
        <v>908</v>
      </c>
      <c r="C1170" s="462" t="s">
        <v>234</v>
      </c>
      <c r="D1170" s="462" t="s">
        <v>234</v>
      </c>
      <c r="E1170" s="462" t="s">
        <v>1794</v>
      </c>
      <c r="F1170" s="462" t="s">
        <v>128</v>
      </c>
      <c r="G1170" s="467">
        <f>G1171</f>
        <v>351.94880000000001</v>
      </c>
      <c r="H1170" s="521"/>
      <c r="I1170" s="471"/>
      <c r="J1170" s="499"/>
      <c r="K1170" s="471"/>
    </row>
    <row r="1171" spans="1:20" s="204" customFormat="1" ht="31.5" x14ac:dyDescent="0.25">
      <c r="A1171" s="466" t="s">
        <v>129</v>
      </c>
      <c r="B1171" s="460">
        <v>908</v>
      </c>
      <c r="C1171" s="462" t="s">
        <v>234</v>
      </c>
      <c r="D1171" s="462" t="s">
        <v>234</v>
      </c>
      <c r="E1171" s="462" t="s">
        <v>1794</v>
      </c>
      <c r="F1171" s="462" t="s">
        <v>130</v>
      </c>
      <c r="G1171" s="467">
        <v>351.94880000000001</v>
      </c>
      <c r="H1171" s="521"/>
      <c r="I1171" s="471"/>
      <c r="J1171" s="499"/>
      <c r="K1171" s="471"/>
    </row>
    <row r="1172" spans="1:20" ht="15.75" x14ac:dyDescent="0.25">
      <c r="A1172" s="464" t="s">
        <v>141</v>
      </c>
      <c r="B1172" s="461">
        <v>908</v>
      </c>
      <c r="C1172" s="465" t="s">
        <v>234</v>
      </c>
      <c r="D1172" s="465" t="s">
        <v>234</v>
      </c>
      <c r="E1172" s="465" t="s">
        <v>866</v>
      </c>
      <c r="F1172" s="465"/>
      <c r="G1172" s="463">
        <f>G1173+G1188</f>
        <v>34292.755999999994</v>
      </c>
      <c r="H1172" s="518"/>
      <c r="I1172" s="471"/>
      <c r="J1172" s="499"/>
      <c r="K1172" s="471"/>
      <c r="L1172" s="204"/>
    </row>
    <row r="1173" spans="1:20" s="204" customFormat="1" ht="31.5" x14ac:dyDescent="0.25">
      <c r="A1173" s="464" t="s">
        <v>870</v>
      </c>
      <c r="B1173" s="461">
        <v>908</v>
      </c>
      <c r="C1173" s="465" t="s">
        <v>234</v>
      </c>
      <c r="D1173" s="465" t="s">
        <v>234</v>
      </c>
      <c r="E1173" s="465" t="s">
        <v>865</v>
      </c>
      <c r="F1173" s="465"/>
      <c r="G1173" s="463">
        <f>G1174+G1183</f>
        <v>21222.6</v>
      </c>
      <c r="H1173" s="518"/>
      <c r="I1173" s="471"/>
      <c r="J1173" s="499"/>
      <c r="K1173" s="471"/>
    </row>
    <row r="1174" spans="1:20" ht="31.5" x14ac:dyDescent="0.25">
      <c r="A1174" s="466" t="s">
        <v>570</v>
      </c>
      <c r="B1174" s="460">
        <v>908</v>
      </c>
      <c r="C1174" s="462" t="s">
        <v>234</v>
      </c>
      <c r="D1174" s="462" t="s">
        <v>234</v>
      </c>
      <c r="E1174" s="462" t="s">
        <v>984</v>
      </c>
      <c r="F1174" s="462"/>
      <c r="G1174" s="27">
        <f>G1177+G1175</f>
        <v>10122.599999999999</v>
      </c>
      <c r="H1174" s="518"/>
      <c r="I1174" s="471"/>
      <c r="J1174" s="499"/>
      <c r="K1174" s="471"/>
      <c r="L1174" s="204"/>
    </row>
    <row r="1175" spans="1:20" s="204" customFormat="1" ht="15" hidden="1" customHeight="1" x14ac:dyDescent="0.25">
      <c r="A1175" s="466" t="s">
        <v>1552</v>
      </c>
      <c r="B1175" s="460">
        <v>908</v>
      </c>
      <c r="C1175" s="462" t="s">
        <v>234</v>
      </c>
      <c r="D1175" s="462" t="s">
        <v>234</v>
      </c>
      <c r="E1175" s="462" t="s">
        <v>984</v>
      </c>
      <c r="F1175" s="462" t="s">
        <v>249</v>
      </c>
      <c r="G1175" s="27">
        <f>G1176</f>
        <v>0</v>
      </c>
      <c r="H1175" s="518"/>
      <c r="I1175" s="471"/>
      <c r="J1175" s="499"/>
      <c r="K1175" s="471"/>
    </row>
    <row r="1176" spans="1:20" s="204" customFormat="1" ht="15" hidden="1" customHeight="1" x14ac:dyDescent="0.25">
      <c r="A1176" s="466" t="s">
        <v>1551</v>
      </c>
      <c r="B1176" s="460">
        <v>908</v>
      </c>
      <c r="C1176" s="462" t="s">
        <v>234</v>
      </c>
      <c r="D1176" s="462" t="s">
        <v>234</v>
      </c>
      <c r="E1176" s="462" t="s">
        <v>984</v>
      </c>
      <c r="F1176" s="462" t="s">
        <v>1553</v>
      </c>
      <c r="G1176" s="27">
        <f>4500-240-240-1748.75-2271.25</f>
        <v>0</v>
      </c>
      <c r="H1176" s="519"/>
      <c r="I1176" s="162"/>
      <c r="J1176" s="499"/>
      <c r="K1176" s="471"/>
    </row>
    <row r="1177" spans="1:20" ht="15" customHeight="1" x14ac:dyDescent="0.25">
      <c r="A1177" s="466" t="s">
        <v>135</v>
      </c>
      <c r="B1177" s="460">
        <v>908</v>
      </c>
      <c r="C1177" s="462" t="s">
        <v>234</v>
      </c>
      <c r="D1177" s="462" t="s">
        <v>234</v>
      </c>
      <c r="E1177" s="462" t="s">
        <v>984</v>
      </c>
      <c r="F1177" s="462" t="s">
        <v>145</v>
      </c>
      <c r="G1177" s="27">
        <f>G1178+G1179+G1180</f>
        <v>10122.599999999999</v>
      </c>
      <c r="H1177" s="518"/>
      <c r="I1177" s="497"/>
      <c r="J1177" s="499"/>
      <c r="K1177" s="471"/>
      <c r="L1177" s="204"/>
    </row>
    <row r="1178" spans="1:20" ht="47.25" customHeight="1" x14ac:dyDescent="0.25">
      <c r="A1178" s="466" t="s">
        <v>184</v>
      </c>
      <c r="B1178" s="460">
        <v>908</v>
      </c>
      <c r="C1178" s="462" t="s">
        <v>234</v>
      </c>
      <c r="D1178" s="462" t="s">
        <v>234</v>
      </c>
      <c r="E1178" s="462" t="s">
        <v>984</v>
      </c>
      <c r="F1178" s="462" t="s">
        <v>160</v>
      </c>
      <c r="G1178" s="27">
        <f>982</f>
        <v>982</v>
      </c>
      <c r="H1178" s="518"/>
      <c r="I1178" s="497"/>
      <c r="J1178" s="499"/>
      <c r="K1178" s="471"/>
      <c r="L1178" s="204"/>
    </row>
    <row r="1179" spans="1:20" s="204" customFormat="1" ht="15.75" x14ac:dyDescent="0.25">
      <c r="A1179" s="466" t="s">
        <v>704</v>
      </c>
      <c r="B1179" s="460">
        <v>908</v>
      </c>
      <c r="C1179" s="462" t="s">
        <v>234</v>
      </c>
      <c r="D1179" s="462" t="s">
        <v>234</v>
      </c>
      <c r="E1179" s="462" t="s">
        <v>984</v>
      </c>
      <c r="F1179" s="462" t="s">
        <v>138</v>
      </c>
      <c r="G1179" s="27">
        <f>240-105+1748.75+2271.25+240+5000-881.2-700+3300-1930.5-42.7</f>
        <v>9140.5999999999985</v>
      </c>
      <c r="H1179" s="519"/>
      <c r="I1179" s="162"/>
      <c r="J1179" s="507"/>
      <c r="K1179" s="471"/>
      <c r="L1179" s="510"/>
      <c r="O1179" s="510"/>
      <c r="R1179" s="510"/>
      <c r="T1179" s="510"/>
    </row>
    <row r="1180" spans="1:20" s="204" customFormat="1" ht="15.75" hidden="1" x14ac:dyDescent="0.25">
      <c r="A1180" s="466" t="s">
        <v>1679</v>
      </c>
      <c r="B1180" s="460">
        <v>908</v>
      </c>
      <c r="C1180" s="462" t="s">
        <v>234</v>
      </c>
      <c r="D1180" s="462" t="s">
        <v>234</v>
      </c>
      <c r="E1180" s="462" t="s">
        <v>984</v>
      </c>
      <c r="F1180" s="462" t="s">
        <v>1680</v>
      </c>
      <c r="G1180" s="27">
        <f>240-240</f>
        <v>0</v>
      </c>
      <c r="H1180" s="521"/>
      <c r="I1180" s="497"/>
      <c r="J1180" s="499"/>
      <c r="K1180" s="471"/>
    </row>
    <row r="1181" spans="1:20" s="204" customFormat="1" ht="15.75" hidden="1" x14ac:dyDescent="0.25">
      <c r="A1181" s="466"/>
      <c r="B1181" s="460"/>
      <c r="C1181" s="462"/>
      <c r="D1181" s="462"/>
      <c r="E1181" s="462"/>
      <c r="F1181" s="462"/>
      <c r="G1181" s="27"/>
      <c r="H1181" s="521"/>
      <c r="I1181" s="471"/>
      <c r="J1181" s="499"/>
      <c r="K1181" s="471"/>
    </row>
    <row r="1182" spans="1:20" s="204" customFormat="1" ht="15.75" hidden="1" x14ac:dyDescent="0.25">
      <c r="A1182" s="466"/>
      <c r="B1182" s="460"/>
      <c r="C1182" s="462"/>
      <c r="D1182" s="462"/>
      <c r="E1182" s="462"/>
      <c r="F1182" s="462"/>
      <c r="G1182" s="27"/>
      <c r="H1182" s="521"/>
      <c r="I1182" s="471"/>
      <c r="J1182" s="499"/>
      <c r="K1182" s="471"/>
    </row>
    <row r="1183" spans="1:20" s="204" customFormat="1" ht="37.5" customHeight="1" x14ac:dyDescent="0.25">
      <c r="A1183" s="466" t="s">
        <v>1695</v>
      </c>
      <c r="B1183" s="460">
        <v>908</v>
      </c>
      <c r="C1183" s="462" t="s">
        <v>234</v>
      </c>
      <c r="D1183" s="462" t="s">
        <v>234</v>
      </c>
      <c r="E1183" s="462" t="s">
        <v>1696</v>
      </c>
      <c r="F1183" s="462"/>
      <c r="G1183" s="27">
        <f>G1184+G1186</f>
        <v>11100</v>
      </c>
      <c r="H1183" s="518"/>
      <c r="I1183" s="471"/>
      <c r="J1183" s="499"/>
      <c r="K1183" s="471"/>
    </row>
    <row r="1184" spans="1:20" s="204" customFormat="1" ht="21.75" customHeight="1" x14ac:dyDescent="0.25">
      <c r="A1184" s="466" t="s">
        <v>1698</v>
      </c>
      <c r="B1184" s="460">
        <v>908</v>
      </c>
      <c r="C1184" s="462" t="s">
        <v>234</v>
      </c>
      <c r="D1184" s="462" t="s">
        <v>234</v>
      </c>
      <c r="E1184" s="462" t="s">
        <v>1696</v>
      </c>
      <c r="F1184" s="462" t="s">
        <v>837</v>
      </c>
      <c r="G1184" s="27">
        <f>G1185</f>
        <v>100</v>
      </c>
      <c r="H1184" s="518"/>
      <c r="I1184" s="471"/>
      <c r="J1184" s="499"/>
      <c r="K1184" s="471"/>
    </row>
    <row r="1185" spans="1:12" s="204" customFormat="1" ht="35.25" customHeight="1" x14ac:dyDescent="0.25">
      <c r="A1185" s="466" t="s">
        <v>838</v>
      </c>
      <c r="B1185" s="460">
        <v>908</v>
      </c>
      <c r="C1185" s="462" t="s">
        <v>234</v>
      </c>
      <c r="D1185" s="462" t="s">
        <v>234</v>
      </c>
      <c r="E1185" s="462" t="s">
        <v>1696</v>
      </c>
      <c r="F1185" s="462" t="s">
        <v>1699</v>
      </c>
      <c r="G1185" s="27">
        <f>9100-9000</f>
        <v>100</v>
      </c>
      <c r="H1185" s="519"/>
      <c r="I1185" s="499"/>
      <c r="J1185" s="499"/>
      <c r="K1185" s="471"/>
    </row>
    <row r="1186" spans="1:12" s="204" customFormat="1" ht="21.75" customHeight="1" x14ac:dyDescent="0.25">
      <c r="A1186" s="466" t="s">
        <v>135</v>
      </c>
      <c r="B1186" s="460">
        <v>908</v>
      </c>
      <c r="C1186" s="462" t="s">
        <v>234</v>
      </c>
      <c r="D1186" s="462" t="s">
        <v>234</v>
      </c>
      <c r="E1186" s="462" t="s">
        <v>1696</v>
      </c>
      <c r="F1186" s="462" t="s">
        <v>145</v>
      </c>
      <c r="G1186" s="27">
        <f>G1187</f>
        <v>11000</v>
      </c>
      <c r="H1186" s="521"/>
      <c r="I1186" s="499"/>
      <c r="J1186" s="499"/>
      <c r="K1186" s="471"/>
    </row>
    <row r="1187" spans="1:12" s="204" customFormat="1" ht="39.75" customHeight="1" x14ac:dyDescent="0.25">
      <c r="A1187" s="466" t="s">
        <v>184</v>
      </c>
      <c r="B1187" s="460">
        <v>908</v>
      </c>
      <c r="C1187" s="462" t="s">
        <v>234</v>
      </c>
      <c r="D1187" s="462" t="s">
        <v>234</v>
      </c>
      <c r="E1187" s="462" t="s">
        <v>1696</v>
      </c>
      <c r="F1187" s="462" t="s">
        <v>160</v>
      </c>
      <c r="G1187" s="27">
        <f>9000+1803.2+196.8</f>
        <v>11000</v>
      </c>
      <c r="H1187" s="521"/>
      <c r="I1187" s="499"/>
      <c r="J1187" s="499"/>
      <c r="K1187" s="471"/>
    </row>
    <row r="1188" spans="1:12" s="204" customFormat="1" ht="32.65" customHeight="1" x14ac:dyDescent="0.25">
      <c r="A1188" s="464" t="s">
        <v>929</v>
      </c>
      <c r="B1188" s="461">
        <v>908</v>
      </c>
      <c r="C1188" s="465" t="s">
        <v>234</v>
      </c>
      <c r="D1188" s="465" t="s">
        <v>234</v>
      </c>
      <c r="E1188" s="465" t="s">
        <v>914</v>
      </c>
      <c r="F1188" s="465"/>
      <c r="G1188" s="44">
        <f>G1189+G1194+G1202</f>
        <v>13070.155999999999</v>
      </c>
      <c r="H1188" s="518"/>
      <c r="I1188" s="471"/>
      <c r="J1188" s="499"/>
      <c r="K1188" s="471"/>
    </row>
    <row r="1189" spans="1:12" ht="31.5" x14ac:dyDescent="0.25">
      <c r="A1189" s="466" t="s">
        <v>903</v>
      </c>
      <c r="B1189" s="460">
        <v>908</v>
      </c>
      <c r="C1189" s="462" t="s">
        <v>234</v>
      </c>
      <c r="D1189" s="462" t="s">
        <v>234</v>
      </c>
      <c r="E1189" s="462" t="s">
        <v>915</v>
      </c>
      <c r="F1189" s="462"/>
      <c r="G1189" s="467">
        <f>G1190+G1192</f>
        <v>12487.099999999999</v>
      </c>
      <c r="H1189" s="518"/>
      <c r="I1189" s="471"/>
      <c r="J1189" s="499"/>
      <c r="K1189" s="471"/>
      <c r="L1189" s="204"/>
    </row>
    <row r="1190" spans="1:12" ht="65.25" customHeight="1" x14ac:dyDescent="0.25">
      <c r="A1190" s="466" t="s">
        <v>127</v>
      </c>
      <c r="B1190" s="460">
        <v>908</v>
      </c>
      <c r="C1190" s="462" t="s">
        <v>234</v>
      </c>
      <c r="D1190" s="462" t="s">
        <v>234</v>
      </c>
      <c r="E1190" s="462" t="s">
        <v>915</v>
      </c>
      <c r="F1190" s="462" t="s">
        <v>128</v>
      </c>
      <c r="G1190" s="467">
        <f>G1191</f>
        <v>10079.799999999999</v>
      </c>
      <c r="H1190" s="518"/>
      <c r="I1190" s="471"/>
      <c r="J1190" s="499"/>
      <c r="K1190" s="471"/>
      <c r="L1190" s="204"/>
    </row>
    <row r="1191" spans="1:12" ht="19.5" customHeight="1" x14ac:dyDescent="0.25">
      <c r="A1191" s="466" t="s">
        <v>342</v>
      </c>
      <c r="B1191" s="460">
        <v>908</v>
      </c>
      <c r="C1191" s="462" t="s">
        <v>234</v>
      </c>
      <c r="D1191" s="462" t="s">
        <v>234</v>
      </c>
      <c r="E1191" s="462" t="s">
        <v>915</v>
      </c>
      <c r="F1191" s="462" t="s">
        <v>209</v>
      </c>
      <c r="G1191" s="27">
        <f>9193-1342.4+300+4.2+730+1140+55</f>
        <v>10079.799999999999</v>
      </c>
      <c r="H1191" s="518"/>
      <c r="I1191" s="471"/>
      <c r="J1191" s="499"/>
      <c r="K1191" s="471"/>
      <c r="L1191" s="204"/>
    </row>
    <row r="1192" spans="1:12" ht="31.5" x14ac:dyDescent="0.25">
      <c r="A1192" s="466" t="s">
        <v>131</v>
      </c>
      <c r="B1192" s="460">
        <v>908</v>
      </c>
      <c r="C1192" s="462" t="s">
        <v>234</v>
      </c>
      <c r="D1192" s="462" t="s">
        <v>234</v>
      </c>
      <c r="E1192" s="462" t="s">
        <v>915</v>
      </c>
      <c r="F1192" s="462" t="s">
        <v>132</v>
      </c>
      <c r="G1192" s="467">
        <f>G1193</f>
        <v>2407.3000000000002</v>
      </c>
      <c r="H1192" s="518"/>
      <c r="I1192" s="471"/>
      <c r="J1192" s="499"/>
      <c r="K1192" s="471"/>
      <c r="L1192" s="204"/>
    </row>
    <row r="1193" spans="1:12" ht="31.5" x14ac:dyDescent="0.25">
      <c r="A1193" s="466" t="s">
        <v>133</v>
      </c>
      <c r="B1193" s="460">
        <v>908</v>
      </c>
      <c r="C1193" s="462" t="s">
        <v>234</v>
      </c>
      <c r="D1193" s="462" t="s">
        <v>234</v>
      </c>
      <c r="E1193" s="462" t="s">
        <v>915</v>
      </c>
      <c r="F1193" s="462" t="s">
        <v>134</v>
      </c>
      <c r="G1193" s="27">
        <f>1592.9+59.3+209.2+6+130+40+13.5+315.5+8+20.6+12.3</f>
        <v>2407.3000000000002</v>
      </c>
      <c r="H1193" s="519"/>
      <c r="I1193" s="471"/>
      <c r="J1193" s="499"/>
      <c r="K1193" s="471"/>
      <c r="L1193" s="204"/>
    </row>
    <row r="1194" spans="1:12" s="204" customFormat="1" ht="31.5" x14ac:dyDescent="0.25">
      <c r="A1194" s="466" t="s">
        <v>839</v>
      </c>
      <c r="B1194" s="460">
        <v>908</v>
      </c>
      <c r="C1194" s="462" t="s">
        <v>234</v>
      </c>
      <c r="D1194" s="462" t="s">
        <v>234</v>
      </c>
      <c r="E1194" s="462" t="s">
        <v>916</v>
      </c>
      <c r="F1194" s="462"/>
      <c r="G1194" s="467">
        <f>G1195</f>
        <v>350</v>
      </c>
      <c r="H1194" s="518"/>
      <c r="I1194" s="471"/>
      <c r="J1194" s="499"/>
      <c r="K1194" s="471"/>
    </row>
    <row r="1195" spans="1:12" s="204" customFormat="1" ht="63" x14ac:dyDescent="0.25">
      <c r="A1195" s="466" t="s">
        <v>127</v>
      </c>
      <c r="B1195" s="460">
        <v>908</v>
      </c>
      <c r="C1195" s="462" t="s">
        <v>234</v>
      </c>
      <c r="D1195" s="462" t="s">
        <v>234</v>
      </c>
      <c r="E1195" s="462" t="s">
        <v>916</v>
      </c>
      <c r="F1195" s="462" t="s">
        <v>128</v>
      </c>
      <c r="G1195" s="467">
        <f>G1196</f>
        <v>350</v>
      </c>
      <c r="H1195" s="518"/>
      <c r="I1195" s="471"/>
      <c r="J1195" s="499"/>
      <c r="K1195" s="471"/>
    </row>
    <row r="1196" spans="1:12" s="204" customFormat="1" ht="15.75" x14ac:dyDescent="0.25">
      <c r="A1196" s="466" t="s">
        <v>342</v>
      </c>
      <c r="B1196" s="460">
        <v>908</v>
      </c>
      <c r="C1196" s="462" t="s">
        <v>234</v>
      </c>
      <c r="D1196" s="462" t="s">
        <v>234</v>
      </c>
      <c r="E1196" s="462" t="s">
        <v>916</v>
      </c>
      <c r="F1196" s="462" t="s">
        <v>209</v>
      </c>
      <c r="G1196" s="467">
        <f>598-141-102.8-4.2</f>
        <v>350</v>
      </c>
      <c r="H1196" s="518"/>
      <c r="I1196" s="471"/>
      <c r="J1196" s="499"/>
      <c r="K1196" s="471"/>
    </row>
    <row r="1197" spans="1:12" s="204" customFormat="1" ht="47.25" hidden="1" x14ac:dyDescent="0.25">
      <c r="A1197" s="34" t="s">
        <v>1368</v>
      </c>
      <c r="B1197" s="461">
        <v>908</v>
      </c>
      <c r="C1197" s="465" t="s">
        <v>234</v>
      </c>
      <c r="D1197" s="465" t="s">
        <v>234</v>
      </c>
      <c r="E1197" s="465" t="s">
        <v>324</v>
      </c>
      <c r="F1197" s="465"/>
      <c r="G1197" s="463">
        <f>G1198</f>
        <v>0</v>
      </c>
      <c r="H1197" s="518"/>
      <c r="I1197" s="471"/>
      <c r="J1197" s="499"/>
      <c r="K1197" s="471"/>
    </row>
    <row r="1198" spans="1:12" s="204" customFormat="1" ht="47.25" hidden="1" x14ac:dyDescent="0.25">
      <c r="A1198" s="34" t="s">
        <v>1009</v>
      </c>
      <c r="B1198" s="461">
        <v>908</v>
      </c>
      <c r="C1198" s="465" t="s">
        <v>234</v>
      </c>
      <c r="D1198" s="465" t="s">
        <v>234</v>
      </c>
      <c r="E1198" s="465" t="s">
        <v>934</v>
      </c>
      <c r="F1198" s="465"/>
      <c r="G1198" s="463">
        <f>G1199</f>
        <v>0</v>
      </c>
      <c r="H1198" s="518"/>
      <c r="I1198" s="471"/>
      <c r="J1198" s="499"/>
      <c r="K1198" s="471"/>
    </row>
    <row r="1199" spans="1:12" s="204" customFormat="1" ht="47.25" hidden="1" x14ac:dyDescent="0.25">
      <c r="A1199" s="31" t="s">
        <v>1083</v>
      </c>
      <c r="B1199" s="460">
        <v>908</v>
      </c>
      <c r="C1199" s="462" t="s">
        <v>234</v>
      </c>
      <c r="D1199" s="462" t="s">
        <v>234</v>
      </c>
      <c r="E1199" s="462" t="s">
        <v>1026</v>
      </c>
      <c r="F1199" s="462"/>
      <c r="G1199" s="467">
        <f>G1200</f>
        <v>0</v>
      </c>
      <c r="H1199" s="518"/>
      <c r="I1199" s="471"/>
      <c r="J1199" s="499"/>
      <c r="K1199" s="471"/>
    </row>
    <row r="1200" spans="1:12" s="204" customFormat="1" ht="31.5" hidden="1" x14ac:dyDescent="0.25">
      <c r="A1200" s="466" t="s">
        <v>131</v>
      </c>
      <c r="B1200" s="460">
        <v>908</v>
      </c>
      <c r="C1200" s="462" t="s">
        <v>234</v>
      </c>
      <c r="D1200" s="462" t="s">
        <v>234</v>
      </c>
      <c r="E1200" s="462" t="s">
        <v>1026</v>
      </c>
      <c r="F1200" s="462" t="s">
        <v>132</v>
      </c>
      <c r="G1200" s="467">
        <f>G1201</f>
        <v>0</v>
      </c>
      <c r="H1200" s="518"/>
      <c r="I1200" s="471"/>
      <c r="J1200" s="499"/>
      <c r="K1200" s="471"/>
    </row>
    <row r="1201" spans="1:12" s="204" customFormat="1" ht="31.5" hidden="1" x14ac:dyDescent="0.25">
      <c r="A1201" s="466" t="s">
        <v>133</v>
      </c>
      <c r="B1201" s="460">
        <v>908</v>
      </c>
      <c r="C1201" s="462" t="s">
        <v>234</v>
      </c>
      <c r="D1201" s="462" t="s">
        <v>234</v>
      </c>
      <c r="E1201" s="462" t="s">
        <v>1026</v>
      </c>
      <c r="F1201" s="462" t="s">
        <v>134</v>
      </c>
      <c r="G1201" s="467">
        <v>0</v>
      </c>
      <c r="H1201" s="518"/>
      <c r="I1201" s="471"/>
      <c r="J1201" s="499"/>
      <c r="K1201" s="471"/>
    </row>
    <row r="1202" spans="1:12" s="204" customFormat="1" ht="31.5" x14ac:dyDescent="0.25">
      <c r="A1202" s="466" t="s">
        <v>1793</v>
      </c>
      <c r="B1202" s="460">
        <v>908</v>
      </c>
      <c r="C1202" s="462" t="s">
        <v>234</v>
      </c>
      <c r="D1202" s="462" t="s">
        <v>234</v>
      </c>
      <c r="E1202" s="462" t="s">
        <v>1797</v>
      </c>
      <c r="F1202" s="462"/>
      <c r="G1202" s="467">
        <f>G1203</f>
        <v>233.05600000000001</v>
      </c>
      <c r="H1202" s="518"/>
      <c r="I1202" s="471"/>
      <c r="J1202" s="499"/>
      <c r="K1202" s="471"/>
    </row>
    <row r="1203" spans="1:12" s="204" customFormat="1" ht="63" x14ac:dyDescent="0.25">
      <c r="A1203" s="466" t="s">
        <v>127</v>
      </c>
      <c r="B1203" s="460">
        <v>908</v>
      </c>
      <c r="C1203" s="462" t="s">
        <v>234</v>
      </c>
      <c r="D1203" s="462" t="s">
        <v>234</v>
      </c>
      <c r="E1203" s="462" t="s">
        <v>1797</v>
      </c>
      <c r="F1203" s="462" t="s">
        <v>128</v>
      </c>
      <c r="G1203" s="467">
        <f>G1204</f>
        <v>233.05600000000001</v>
      </c>
      <c r="H1203" s="518"/>
      <c r="I1203" s="471"/>
      <c r="J1203" s="499"/>
      <c r="K1203" s="471"/>
    </row>
    <row r="1204" spans="1:12" s="204" customFormat="1" ht="15.75" x14ac:dyDescent="0.25">
      <c r="A1204" s="466" t="s">
        <v>342</v>
      </c>
      <c r="B1204" s="460">
        <v>908</v>
      </c>
      <c r="C1204" s="462" t="s">
        <v>234</v>
      </c>
      <c r="D1204" s="462" t="s">
        <v>234</v>
      </c>
      <c r="E1204" s="462" t="s">
        <v>1797</v>
      </c>
      <c r="F1204" s="462" t="s">
        <v>209</v>
      </c>
      <c r="G1204" s="467">
        <v>233.05600000000001</v>
      </c>
      <c r="H1204" s="518"/>
      <c r="I1204" s="471"/>
      <c r="J1204" s="499"/>
      <c r="K1204" s="471"/>
    </row>
    <row r="1205" spans="1:12" ht="15.75" hidden="1" x14ac:dyDescent="0.25">
      <c r="A1205" s="464" t="s">
        <v>243</v>
      </c>
      <c r="B1205" s="461">
        <v>908</v>
      </c>
      <c r="C1205" s="465" t="s">
        <v>244</v>
      </c>
      <c r="D1205" s="465"/>
      <c r="E1205" s="465"/>
      <c r="F1205" s="465"/>
      <c r="G1205" s="463">
        <f t="shared" ref="G1205:G1206" si="5">G1206</f>
        <v>0</v>
      </c>
      <c r="H1205" s="518"/>
      <c r="I1205" s="471"/>
      <c r="J1205" s="499"/>
      <c r="K1205" s="471"/>
      <c r="L1205" s="204"/>
    </row>
    <row r="1206" spans="1:12" ht="15.75" hidden="1" x14ac:dyDescent="0.25">
      <c r="A1206" s="464" t="s">
        <v>258</v>
      </c>
      <c r="B1206" s="461">
        <v>908</v>
      </c>
      <c r="C1206" s="465" t="s">
        <v>244</v>
      </c>
      <c r="D1206" s="465" t="s">
        <v>120</v>
      </c>
      <c r="E1206" s="465"/>
      <c r="F1206" s="465"/>
      <c r="G1206" s="463">
        <f t="shared" si="5"/>
        <v>0</v>
      </c>
      <c r="H1206" s="518"/>
      <c r="I1206" s="471"/>
      <c r="J1206" s="499"/>
      <c r="K1206" s="471"/>
      <c r="L1206" s="204"/>
    </row>
    <row r="1207" spans="1:12" ht="15.75" hidden="1" x14ac:dyDescent="0.25">
      <c r="A1207" s="464" t="s">
        <v>141</v>
      </c>
      <c r="B1207" s="461">
        <v>908</v>
      </c>
      <c r="C1207" s="465" t="s">
        <v>244</v>
      </c>
      <c r="D1207" s="465" t="s">
        <v>120</v>
      </c>
      <c r="E1207" s="465" t="s">
        <v>866</v>
      </c>
      <c r="F1207" s="465"/>
      <c r="G1207" s="463">
        <f>G1208</f>
        <v>0</v>
      </c>
      <c r="H1207" s="518"/>
      <c r="I1207" s="471"/>
      <c r="J1207" s="499"/>
      <c r="K1207" s="471"/>
      <c r="L1207" s="204"/>
    </row>
    <row r="1208" spans="1:12" ht="15.75" hidden="1" x14ac:dyDescent="0.25">
      <c r="A1208" s="464" t="s">
        <v>141</v>
      </c>
      <c r="B1208" s="461">
        <v>908</v>
      </c>
      <c r="C1208" s="465" t="s">
        <v>244</v>
      </c>
      <c r="D1208" s="465" t="s">
        <v>120</v>
      </c>
      <c r="E1208" s="465" t="s">
        <v>865</v>
      </c>
      <c r="F1208" s="465"/>
      <c r="G1208" s="463">
        <f>G1209</f>
        <v>0</v>
      </c>
      <c r="H1208" s="518"/>
      <c r="I1208" s="471"/>
      <c r="J1208" s="499"/>
      <c r="K1208" s="471"/>
      <c r="L1208" s="204"/>
    </row>
    <row r="1209" spans="1:12" ht="31.5" hidden="1" x14ac:dyDescent="0.25">
      <c r="A1209" s="464" t="s">
        <v>870</v>
      </c>
      <c r="B1209" s="461">
        <v>908</v>
      </c>
      <c r="C1209" s="465" t="s">
        <v>244</v>
      </c>
      <c r="D1209" s="465" t="s">
        <v>120</v>
      </c>
      <c r="E1209" s="465" t="s">
        <v>865</v>
      </c>
      <c r="F1209" s="465"/>
      <c r="G1209" s="463">
        <f>G1210</f>
        <v>0</v>
      </c>
      <c r="H1209" s="518"/>
      <c r="I1209" s="471"/>
      <c r="J1209" s="499"/>
      <c r="K1209" s="471"/>
      <c r="L1209" s="204"/>
    </row>
    <row r="1210" spans="1:12" ht="15.75" hidden="1" x14ac:dyDescent="0.25">
      <c r="A1210" s="466" t="s">
        <v>572</v>
      </c>
      <c r="B1210" s="460">
        <v>908</v>
      </c>
      <c r="C1210" s="462" t="s">
        <v>244</v>
      </c>
      <c r="D1210" s="462" t="s">
        <v>120</v>
      </c>
      <c r="E1210" s="462" t="s">
        <v>985</v>
      </c>
      <c r="F1210" s="462"/>
      <c r="G1210" s="467">
        <f>G1211</f>
        <v>0</v>
      </c>
      <c r="H1210" s="518"/>
      <c r="I1210" s="471"/>
      <c r="J1210" s="499"/>
      <c r="K1210" s="471"/>
      <c r="L1210" s="204"/>
    </row>
    <row r="1211" spans="1:12" ht="31.5" hidden="1" x14ac:dyDescent="0.25">
      <c r="A1211" s="466" t="s">
        <v>131</v>
      </c>
      <c r="B1211" s="460">
        <v>908</v>
      </c>
      <c r="C1211" s="462" t="s">
        <v>244</v>
      </c>
      <c r="D1211" s="462" t="s">
        <v>120</v>
      </c>
      <c r="E1211" s="462" t="s">
        <v>985</v>
      </c>
      <c r="F1211" s="462" t="s">
        <v>132</v>
      </c>
      <c r="G1211" s="467">
        <f>G1212</f>
        <v>0</v>
      </c>
      <c r="H1211" s="518"/>
      <c r="I1211" s="471"/>
      <c r="J1211" s="499"/>
      <c r="K1211" s="471"/>
      <c r="L1211" s="204"/>
    </row>
    <row r="1212" spans="1:12" ht="31.5" hidden="1" x14ac:dyDescent="0.25">
      <c r="A1212" s="466" t="s">
        <v>133</v>
      </c>
      <c r="B1212" s="460">
        <v>908</v>
      </c>
      <c r="C1212" s="462" t="s">
        <v>244</v>
      </c>
      <c r="D1212" s="462" t="s">
        <v>120</v>
      </c>
      <c r="E1212" s="462" t="s">
        <v>985</v>
      </c>
      <c r="F1212" s="462" t="s">
        <v>134</v>
      </c>
      <c r="G1212" s="467">
        <f>87-16-10-61</f>
        <v>0</v>
      </c>
      <c r="H1212" s="527"/>
      <c r="I1212" s="471"/>
      <c r="J1212" s="499"/>
      <c r="K1212" s="471"/>
      <c r="L1212" s="204"/>
    </row>
    <row r="1213" spans="1:12" ht="33.950000000000003" customHeight="1" x14ac:dyDescent="0.25">
      <c r="A1213" s="461" t="s">
        <v>574</v>
      </c>
      <c r="B1213" s="461">
        <v>910</v>
      </c>
      <c r="C1213" s="47"/>
      <c r="D1213" s="47"/>
      <c r="E1213" s="47"/>
      <c r="F1213" s="47"/>
      <c r="G1213" s="463">
        <f>G1214</f>
        <v>7902.2337000000007</v>
      </c>
      <c r="H1213" s="518"/>
      <c r="I1213" s="113"/>
      <c r="J1213" s="499"/>
      <c r="K1213" s="471"/>
      <c r="L1213" s="204"/>
    </row>
    <row r="1214" spans="1:12" ht="15.75" x14ac:dyDescent="0.25">
      <c r="A1214" s="464" t="s">
        <v>117</v>
      </c>
      <c r="B1214" s="461">
        <v>910</v>
      </c>
      <c r="C1214" s="465" t="s">
        <v>118</v>
      </c>
      <c r="D1214" s="465"/>
      <c r="E1214" s="465"/>
      <c r="F1214" s="465"/>
      <c r="G1214" s="463">
        <f>G1215+G1234</f>
        <v>7902.2337000000007</v>
      </c>
      <c r="H1214" s="518"/>
      <c r="I1214" s="471"/>
      <c r="J1214" s="499"/>
      <c r="K1214" s="471"/>
      <c r="L1214" s="204"/>
    </row>
    <row r="1215" spans="1:12" ht="47.25" customHeight="1" x14ac:dyDescent="0.25">
      <c r="A1215" s="464" t="s">
        <v>578</v>
      </c>
      <c r="B1215" s="461">
        <v>910</v>
      </c>
      <c r="C1215" s="465" t="s">
        <v>118</v>
      </c>
      <c r="D1215" s="465" t="s">
        <v>215</v>
      </c>
      <c r="E1215" s="465"/>
      <c r="F1215" s="465"/>
      <c r="G1215" s="463">
        <f>G1216</f>
        <v>6460.1337000000003</v>
      </c>
      <c r="H1215" s="518"/>
      <c r="I1215" s="471"/>
      <c r="J1215" s="499"/>
      <c r="K1215" s="471"/>
      <c r="L1215" s="204"/>
    </row>
    <row r="1216" spans="1:12" ht="31.5" x14ac:dyDescent="0.25">
      <c r="A1216" s="464" t="s">
        <v>917</v>
      </c>
      <c r="B1216" s="461">
        <v>910</v>
      </c>
      <c r="C1216" s="465" t="s">
        <v>118</v>
      </c>
      <c r="D1216" s="465" t="s">
        <v>215</v>
      </c>
      <c r="E1216" s="465" t="s">
        <v>858</v>
      </c>
      <c r="F1216" s="465"/>
      <c r="G1216" s="463">
        <f>G1217</f>
        <v>6460.1337000000003</v>
      </c>
      <c r="H1216" s="518"/>
      <c r="I1216" s="471"/>
      <c r="J1216" s="499"/>
      <c r="K1216" s="471"/>
      <c r="L1216" s="204"/>
    </row>
    <row r="1217" spans="1:12" ht="15.75" x14ac:dyDescent="0.25">
      <c r="A1217" s="464" t="s">
        <v>986</v>
      </c>
      <c r="B1217" s="461">
        <v>910</v>
      </c>
      <c r="C1217" s="465" t="s">
        <v>118</v>
      </c>
      <c r="D1217" s="465" t="s">
        <v>215</v>
      </c>
      <c r="E1217" s="465" t="s">
        <v>987</v>
      </c>
      <c r="F1217" s="465"/>
      <c r="G1217" s="463">
        <f>G1223+G1228+G1218+G1231</f>
        <v>6460.1337000000003</v>
      </c>
      <c r="H1217" s="518"/>
      <c r="I1217" s="471"/>
      <c r="J1217" s="499"/>
      <c r="K1217" s="471"/>
      <c r="L1217" s="204"/>
    </row>
    <row r="1218" spans="1:12" s="204" customFormat="1" ht="31.5" x14ac:dyDescent="0.25">
      <c r="A1218" s="285" t="s">
        <v>1374</v>
      </c>
      <c r="B1218" s="460">
        <v>910</v>
      </c>
      <c r="C1218" s="462" t="s">
        <v>118</v>
      </c>
      <c r="D1218" s="462" t="s">
        <v>215</v>
      </c>
      <c r="E1218" s="462" t="s">
        <v>1412</v>
      </c>
      <c r="F1218" s="465"/>
      <c r="G1218" s="467">
        <f>G1219+G1221</f>
        <v>4753.8</v>
      </c>
      <c r="H1218" s="527"/>
      <c r="I1218" s="471"/>
      <c r="J1218" s="499"/>
      <c r="K1218" s="471"/>
    </row>
    <row r="1219" spans="1:12" s="204" customFormat="1" ht="63" x14ac:dyDescent="0.25">
      <c r="A1219" s="466" t="s">
        <v>127</v>
      </c>
      <c r="B1219" s="460">
        <v>910</v>
      </c>
      <c r="C1219" s="462" t="s">
        <v>118</v>
      </c>
      <c r="D1219" s="462" t="s">
        <v>215</v>
      </c>
      <c r="E1219" s="462" t="s">
        <v>1412</v>
      </c>
      <c r="F1219" s="462" t="s">
        <v>128</v>
      </c>
      <c r="G1219" s="467">
        <f>G1220</f>
        <v>4485.8</v>
      </c>
      <c r="H1219" s="527"/>
      <c r="I1219" s="471"/>
      <c r="J1219" s="499"/>
      <c r="K1219" s="471"/>
    </row>
    <row r="1220" spans="1:12" s="204" customFormat="1" ht="31.5" x14ac:dyDescent="0.25">
      <c r="A1220" s="466" t="s">
        <v>129</v>
      </c>
      <c r="B1220" s="460">
        <v>910</v>
      </c>
      <c r="C1220" s="462" t="s">
        <v>118</v>
      </c>
      <c r="D1220" s="462" t="s">
        <v>215</v>
      </c>
      <c r="E1220" s="462" t="s">
        <v>1412</v>
      </c>
      <c r="F1220" s="462" t="s">
        <v>130</v>
      </c>
      <c r="G1220" s="467">
        <f>4154.6-35+13+300+95-41.8</f>
        <v>4485.8</v>
      </c>
      <c r="H1220" s="527"/>
      <c r="I1220" s="105"/>
      <c r="J1220" s="499"/>
      <c r="K1220" s="471"/>
    </row>
    <row r="1221" spans="1:12" s="204" customFormat="1" ht="31.5" x14ac:dyDescent="0.25">
      <c r="A1221" s="466" t="s">
        <v>198</v>
      </c>
      <c r="B1221" s="460">
        <v>910</v>
      </c>
      <c r="C1221" s="462" t="s">
        <v>118</v>
      </c>
      <c r="D1221" s="462" t="s">
        <v>215</v>
      </c>
      <c r="E1221" s="462" t="s">
        <v>1412</v>
      </c>
      <c r="F1221" s="462" t="s">
        <v>132</v>
      </c>
      <c r="G1221" s="467">
        <f>G1222</f>
        <v>268</v>
      </c>
      <c r="H1221" s="527"/>
      <c r="I1221" s="471"/>
      <c r="J1221" s="499"/>
      <c r="K1221" s="471"/>
    </row>
    <row r="1222" spans="1:12" s="204" customFormat="1" ht="31.5" x14ac:dyDescent="0.25">
      <c r="A1222" s="466" t="s">
        <v>133</v>
      </c>
      <c r="B1222" s="460">
        <v>910</v>
      </c>
      <c r="C1222" s="462" t="s">
        <v>118</v>
      </c>
      <c r="D1222" s="462" t="s">
        <v>215</v>
      </c>
      <c r="E1222" s="462" t="s">
        <v>1412</v>
      </c>
      <c r="F1222" s="462" t="s">
        <v>134</v>
      </c>
      <c r="G1222" s="467">
        <f>93+175</f>
        <v>268</v>
      </c>
      <c r="H1222" s="527"/>
      <c r="I1222" s="471"/>
      <c r="J1222" s="499"/>
      <c r="K1222" s="471"/>
    </row>
    <row r="1223" spans="1:12" ht="37.35" customHeight="1" x14ac:dyDescent="0.25">
      <c r="A1223" s="466" t="s">
        <v>990</v>
      </c>
      <c r="B1223" s="460">
        <v>910</v>
      </c>
      <c r="C1223" s="462" t="s">
        <v>118</v>
      </c>
      <c r="D1223" s="462" t="s">
        <v>215</v>
      </c>
      <c r="E1223" s="462" t="s">
        <v>991</v>
      </c>
      <c r="F1223" s="462"/>
      <c r="G1223" s="467">
        <f>G1224+G1226</f>
        <v>1388.2</v>
      </c>
      <c r="H1223" s="518"/>
      <c r="I1223" s="471"/>
      <c r="J1223" s="499"/>
      <c r="K1223" s="471"/>
      <c r="L1223" s="204"/>
    </row>
    <row r="1224" spans="1:12" ht="63" x14ac:dyDescent="0.25">
      <c r="A1224" s="466" t="s">
        <v>127</v>
      </c>
      <c r="B1224" s="460">
        <v>910</v>
      </c>
      <c r="C1224" s="462" t="s">
        <v>118</v>
      </c>
      <c r="D1224" s="462" t="s">
        <v>215</v>
      </c>
      <c r="E1224" s="462" t="s">
        <v>991</v>
      </c>
      <c r="F1224" s="462" t="s">
        <v>128</v>
      </c>
      <c r="G1224" s="467">
        <f>G1225</f>
        <v>1388.2</v>
      </c>
      <c r="H1224" s="518"/>
      <c r="I1224" s="471"/>
      <c r="J1224" s="499"/>
      <c r="K1224" s="471"/>
      <c r="L1224" s="204"/>
    </row>
    <row r="1225" spans="1:12" ht="31.5" x14ac:dyDescent="0.25">
      <c r="A1225" s="466" t="s">
        <v>129</v>
      </c>
      <c r="B1225" s="460">
        <v>910</v>
      </c>
      <c r="C1225" s="462" t="s">
        <v>118</v>
      </c>
      <c r="D1225" s="462" t="s">
        <v>215</v>
      </c>
      <c r="E1225" s="462" t="s">
        <v>991</v>
      </c>
      <c r="F1225" s="462" t="s">
        <v>130</v>
      </c>
      <c r="G1225" s="467">
        <f>1240.4+81+25+41.8</f>
        <v>1388.2</v>
      </c>
      <c r="H1225" s="527"/>
      <c r="I1225" s="471"/>
      <c r="J1225" s="499"/>
      <c r="K1225" s="471"/>
      <c r="L1225" s="204"/>
    </row>
    <row r="1226" spans="1:12" ht="31.5" hidden="1" x14ac:dyDescent="0.25">
      <c r="A1226" s="466" t="s">
        <v>198</v>
      </c>
      <c r="B1226" s="460">
        <v>910</v>
      </c>
      <c r="C1226" s="462" t="s">
        <v>118</v>
      </c>
      <c r="D1226" s="462" t="s">
        <v>215</v>
      </c>
      <c r="E1226" s="462" t="s">
        <v>991</v>
      </c>
      <c r="F1226" s="462" t="s">
        <v>132</v>
      </c>
      <c r="G1226" s="467">
        <f>G1227</f>
        <v>0</v>
      </c>
      <c r="H1226" s="518"/>
      <c r="I1226" s="471"/>
      <c r="J1226" s="499"/>
      <c r="K1226" s="471"/>
      <c r="L1226" s="204"/>
    </row>
    <row r="1227" spans="1:12" ht="31.5" hidden="1" x14ac:dyDescent="0.25">
      <c r="A1227" s="466" t="s">
        <v>133</v>
      </c>
      <c r="B1227" s="460">
        <v>910</v>
      </c>
      <c r="C1227" s="462" t="s">
        <v>118</v>
      </c>
      <c r="D1227" s="462" t="s">
        <v>215</v>
      </c>
      <c r="E1227" s="462" t="s">
        <v>991</v>
      </c>
      <c r="F1227" s="462" t="s">
        <v>134</v>
      </c>
      <c r="G1227" s="467">
        <v>0</v>
      </c>
      <c r="H1227" s="518"/>
      <c r="I1227" s="471"/>
      <c r="J1227" s="499"/>
      <c r="K1227" s="471"/>
      <c r="L1227" s="204"/>
    </row>
    <row r="1228" spans="1:12" s="204" customFormat="1" ht="39.75" customHeight="1" x14ac:dyDescent="0.25">
      <c r="A1228" s="466" t="s">
        <v>839</v>
      </c>
      <c r="B1228" s="460">
        <v>910</v>
      </c>
      <c r="C1228" s="462" t="s">
        <v>118</v>
      </c>
      <c r="D1228" s="462" t="s">
        <v>215</v>
      </c>
      <c r="E1228" s="462" t="s">
        <v>989</v>
      </c>
      <c r="F1228" s="462"/>
      <c r="G1228" s="467">
        <f>G1229</f>
        <v>52</v>
      </c>
      <c r="H1228" s="518"/>
      <c r="I1228" s="471"/>
      <c r="J1228" s="499"/>
      <c r="K1228" s="471"/>
    </row>
    <row r="1229" spans="1:12" s="204" customFormat="1" ht="69.75" customHeight="1" x14ac:dyDescent="0.25">
      <c r="A1229" s="466" t="s">
        <v>127</v>
      </c>
      <c r="B1229" s="460">
        <v>910</v>
      </c>
      <c r="C1229" s="462" t="s">
        <v>118</v>
      </c>
      <c r="D1229" s="462" t="s">
        <v>215</v>
      </c>
      <c r="E1229" s="462" t="s">
        <v>989</v>
      </c>
      <c r="F1229" s="462" t="s">
        <v>128</v>
      </c>
      <c r="G1229" s="467">
        <f>G1230</f>
        <v>52</v>
      </c>
      <c r="H1229" s="518"/>
      <c r="I1229" s="471"/>
      <c r="J1229" s="499"/>
      <c r="K1229" s="471"/>
    </row>
    <row r="1230" spans="1:12" s="204" customFormat="1" ht="35.450000000000003" customHeight="1" x14ac:dyDescent="0.25">
      <c r="A1230" s="466" t="s">
        <v>129</v>
      </c>
      <c r="B1230" s="460">
        <v>910</v>
      </c>
      <c r="C1230" s="462" t="s">
        <v>118</v>
      </c>
      <c r="D1230" s="462" t="s">
        <v>215</v>
      </c>
      <c r="E1230" s="462" t="s">
        <v>989</v>
      </c>
      <c r="F1230" s="462" t="s">
        <v>130</v>
      </c>
      <c r="G1230" s="467">
        <f>35+17</f>
        <v>52</v>
      </c>
      <c r="H1230" s="519"/>
      <c r="I1230" s="471"/>
      <c r="J1230" s="499"/>
      <c r="K1230" s="471"/>
    </row>
    <row r="1231" spans="1:12" s="204" customFormat="1" ht="35.450000000000003" customHeight="1" x14ac:dyDescent="0.25">
      <c r="A1231" s="466" t="s">
        <v>1793</v>
      </c>
      <c r="B1231" s="460">
        <v>910</v>
      </c>
      <c r="C1231" s="462" t="s">
        <v>118</v>
      </c>
      <c r="D1231" s="462" t="s">
        <v>215</v>
      </c>
      <c r="E1231" s="462" t="s">
        <v>1799</v>
      </c>
      <c r="F1231" s="462"/>
      <c r="G1231" s="467">
        <f>G1232</f>
        <v>266.13369999999998</v>
      </c>
      <c r="H1231" s="521"/>
      <c r="I1231" s="471"/>
      <c r="J1231" s="499"/>
      <c r="K1231" s="471"/>
    </row>
    <row r="1232" spans="1:12" s="204" customFormat="1" ht="63" x14ac:dyDescent="0.25">
      <c r="A1232" s="466" t="s">
        <v>127</v>
      </c>
      <c r="B1232" s="460">
        <v>910</v>
      </c>
      <c r="C1232" s="462" t="s">
        <v>118</v>
      </c>
      <c r="D1232" s="462" t="s">
        <v>215</v>
      </c>
      <c r="E1232" s="462" t="s">
        <v>1799</v>
      </c>
      <c r="F1232" s="462" t="s">
        <v>128</v>
      </c>
      <c r="G1232" s="467">
        <f>G1233</f>
        <v>266.13369999999998</v>
      </c>
      <c r="H1232" s="521"/>
      <c r="I1232" s="471"/>
      <c r="J1232" s="499"/>
      <c r="K1232" s="471"/>
    </row>
    <row r="1233" spans="1:45" s="204" customFormat="1" ht="35.450000000000003" customHeight="1" x14ac:dyDescent="0.25">
      <c r="A1233" s="466" t="s">
        <v>129</v>
      </c>
      <c r="B1233" s="460">
        <v>910</v>
      </c>
      <c r="C1233" s="462" t="s">
        <v>118</v>
      </c>
      <c r="D1233" s="462" t="s">
        <v>215</v>
      </c>
      <c r="E1233" s="462" t="s">
        <v>1799</v>
      </c>
      <c r="F1233" s="462" t="s">
        <v>130</v>
      </c>
      <c r="G1233" s="467">
        <v>266.13369999999998</v>
      </c>
      <c r="H1233" s="521"/>
      <c r="I1233" s="471"/>
      <c r="J1233" s="499"/>
      <c r="K1233" s="471"/>
    </row>
    <row r="1234" spans="1:45" ht="47.25" x14ac:dyDescent="0.25">
      <c r="A1234" s="464" t="s">
        <v>119</v>
      </c>
      <c r="B1234" s="461">
        <v>910</v>
      </c>
      <c r="C1234" s="465" t="s">
        <v>118</v>
      </c>
      <c r="D1234" s="465" t="s">
        <v>120</v>
      </c>
      <c r="E1234" s="465"/>
      <c r="F1234" s="465"/>
      <c r="G1234" s="463">
        <f>G1235</f>
        <v>1442.1000000000004</v>
      </c>
      <c r="H1234" s="518"/>
      <c r="I1234" s="471"/>
      <c r="J1234" s="499"/>
      <c r="K1234" s="471"/>
      <c r="L1234" s="204"/>
    </row>
    <row r="1235" spans="1:45" s="111" customFormat="1" ht="31.5" x14ac:dyDescent="0.25">
      <c r="A1235" s="464" t="s">
        <v>917</v>
      </c>
      <c r="B1235" s="461">
        <v>910</v>
      </c>
      <c r="C1235" s="465" t="s">
        <v>118</v>
      </c>
      <c r="D1235" s="465" t="s">
        <v>120</v>
      </c>
      <c r="E1235" s="465" t="s">
        <v>858</v>
      </c>
      <c r="F1235" s="465"/>
      <c r="G1235" s="463">
        <f>G1236</f>
        <v>1442.1000000000004</v>
      </c>
      <c r="H1235" s="518"/>
      <c r="I1235" s="127"/>
      <c r="J1235" s="502"/>
      <c r="K1235" s="127"/>
      <c r="L1235" s="206"/>
      <c r="AE1235" s="206"/>
      <c r="AF1235" s="206"/>
      <c r="AG1235" s="206"/>
      <c r="AH1235" s="206"/>
      <c r="AI1235" s="206"/>
      <c r="AJ1235" s="206"/>
      <c r="AK1235" s="206"/>
      <c r="AL1235" s="206"/>
      <c r="AM1235" s="206"/>
      <c r="AP1235" s="206"/>
      <c r="AQ1235" s="206"/>
      <c r="AS1235" s="206"/>
    </row>
    <row r="1236" spans="1:45" s="111" customFormat="1" ht="15.75" x14ac:dyDescent="0.25">
      <c r="A1236" s="464" t="s">
        <v>986</v>
      </c>
      <c r="B1236" s="461">
        <v>910</v>
      </c>
      <c r="C1236" s="465" t="s">
        <v>118</v>
      </c>
      <c r="D1236" s="465" t="s">
        <v>120</v>
      </c>
      <c r="E1236" s="465" t="s">
        <v>987</v>
      </c>
      <c r="F1236" s="465"/>
      <c r="G1236" s="463">
        <f>G1237+G1242</f>
        <v>1442.1000000000004</v>
      </c>
      <c r="H1236" s="518"/>
      <c r="I1236" s="127"/>
      <c r="J1236" s="502"/>
      <c r="K1236" s="127"/>
      <c r="L1236" s="206"/>
      <c r="AE1236" s="206"/>
      <c r="AF1236" s="206"/>
      <c r="AG1236" s="206"/>
      <c r="AH1236" s="206"/>
      <c r="AI1236" s="206"/>
      <c r="AJ1236" s="206"/>
      <c r="AK1236" s="206"/>
      <c r="AL1236" s="206"/>
      <c r="AM1236" s="206"/>
      <c r="AP1236" s="206"/>
      <c r="AQ1236" s="206"/>
      <c r="AS1236" s="206"/>
    </row>
    <row r="1237" spans="1:45" s="111" customFormat="1" ht="32.65" customHeight="1" x14ac:dyDescent="0.25">
      <c r="A1237" s="466" t="s">
        <v>897</v>
      </c>
      <c r="B1237" s="460">
        <v>910</v>
      </c>
      <c r="C1237" s="462" t="s">
        <v>118</v>
      </c>
      <c r="D1237" s="462" t="s">
        <v>120</v>
      </c>
      <c r="E1237" s="462" t="s">
        <v>991</v>
      </c>
      <c r="F1237" s="462"/>
      <c r="G1237" s="467">
        <f>G1238+G1240</f>
        <v>1347.6000000000004</v>
      </c>
      <c r="H1237" s="518"/>
      <c r="I1237" s="127"/>
      <c r="J1237" s="502"/>
      <c r="K1237" s="127"/>
      <c r="L1237" s="206"/>
      <c r="AE1237" s="206"/>
      <c r="AF1237" s="206"/>
      <c r="AG1237" s="206"/>
      <c r="AH1237" s="206"/>
      <c r="AI1237" s="206"/>
      <c r="AJ1237" s="206"/>
      <c r="AK1237" s="206"/>
      <c r="AL1237" s="206"/>
      <c r="AM1237" s="206"/>
      <c r="AP1237" s="206"/>
      <c r="AQ1237" s="206"/>
      <c r="AS1237" s="206"/>
    </row>
    <row r="1238" spans="1:45" ht="63" x14ac:dyDescent="0.25">
      <c r="A1238" s="466" t="s">
        <v>127</v>
      </c>
      <c r="B1238" s="460">
        <v>910</v>
      </c>
      <c r="C1238" s="462" t="s">
        <v>118</v>
      </c>
      <c r="D1238" s="462" t="s">
        <v>120</v>
      </c>
      <c r="E1238" s="462" t="s">
        <v>991</v>
      </c>
      <c r="F1238" s="462" t="s">
        <v>128</v>
      </c>
      <c r="G1238" s="467">
        <f>G1239</f>
        <v>1347.6000000000004</v>
      </c>
      <c r="H1238" s="518"/>
      <c r="I1238" s="471"/>
      <c r="J1238" s="499"/>
      <c r="K1238" s="471"/>
      <c r="L1238" s="204"/>
    </row>
    <row r="1239" spans="1:45" ht="31.5" x14ac:dyDescent="0.25">
      <c r="A1239" s="466" t="s">
        <v>129</v>
      </c>
      <c r="B1239" s="460">
        <v>910</v>
      </c>
      <c r="C1239" s="462" t="s">
        <v>118</v>
      </c>
      <c r="D1239" s="462" t="s">
        <v>120</v>
      </c>
      <c r="E1239" s="462" t="s">
        <v>991</v>
      </c>
      <c r="F1239" s="462" t="s">
        <v>130</v>
      </c>
      <c r="G1239" s="467">
        <f>1734.5-13+91-324.149-7.1-53.455-8.196-17.2-54.8</f>
        <v>1347.6000000000004</v>
      </c>
      <c r="H1239" s="519"/>
      <c r="I1239" s="471"/>
      <c r="J1239" s="499"/>
      <c r="K1239" s="471"/>
      <c r="L1239" s="204"/>
    </row>
    <row r="1240" spans="1:45" ht="31.5" hidden="1" x14ac:dyDescent="0.25">
      <c r="A1240" s="466" t="s">
        <v>198</v>
      </c>
      <c r="B1240" s="460">
        <v>910</v>
      </c>
      <c r="C1240" s="462" t="s">
        <v>118</v>
      </c>
      <c r="D1240" s="462" t="s">
        <v>120</v>
      </c>
      <c r="E1240" s="462" t="s">
        <v>991</v>
      </c>
      <c r="F1240" s="462" t="s">
        <v>132</v>
      </c>
      <c r="G1240" s="467">
        <f>G1241</f>
        <v>0</v>
      </c>
      <c r="H1240" s="518"/>
      <c r="I1240" s="471"/>
      <c r="J1240" s="499"/>
      <c r="K1240" s="471"/>
      <c r="L1240" s="204"/>
    </row>
    <row r="1241" spans="1:45" ht="31.5" hidden="1" x14ac:dyDescent="0.25">
      <c r="A1241" s="466" t="s">
        <v>133</v>
      </c>
      <c r="B1241" s="460">
        <v>910</v>
      </c>
      <c r="C1241" s="462" t="s">
        <v>118</v>
      </c>
      <c r="D1241" s="462" t="s">
        <v>120</v>
      </c>
      <c r="E1241" s="462" t="s">
        <v>991</v>
      </c>
      <c r="F1241" s="462" t="s">
        <v>134</v>
      </c>
      <c r="G1241" s="467">
        <f>18-18</f>
        <v>0</v>
      </c>
      <c r="H1241" s="518"/>
      <c r="I1241" s="471"/>
      <c r="J1241" s="499"/>
      <c r="K1241" s="471"/>
      <c r="L1241" s="204"/>
    </row>
    <row r="1242" spans="1:45" s="204" customFormat="1" ht="31.5" x14ac:dyDescent="0.25">
      <c r="A1242" s="466" t="s">
        <v>839</v>
      </c>
      <c r="B1242" s="460">
        <v>910</v>
      </c>
      <c r="C1242" s="462" t="s">
        <v>118</v>
      </c>
      <c r="D1242" s="462" t="s">
        <v>120</v>
      </c>
      <c r="E1242" s="462" t="s">
        <v>989</v>
      </c>
      <c r="F1242" s="462"/>
      <c r="G1242" s="467">
        <f>G1243</f>
        <v>94.5</v>
      </c>
      <c r="H1242" s="518"/>
      <c r="I1242" s="471"/>
      <c r="J1242" s="499"/>
      <c r="K1242" s="471"/>
    </row>
    <row r="1243" spans="1:45" s="204" customFormat="1" ht="63" x14ac:dyDescent="0.25">
      <c r="A1243" s="466" t="s">
        <v>127</v>
      </c>
      <c r="B1243" s="460">
        <v>910</v>
      </c>
      <c r="C1243" s="462" t="s">
        <v>118</v>
      </c>
      <c r="D1243" s="462" t="s">
        <v>120</v>
      </c>
      <c r="E1243" s="462" t="s">
        <v>989</v>
      </c>
      <c r="F1243" s="462" t="s">
        <v>128</v>
      </c>
      <c r="G1243" s="467">
        <f>G1244</f>
        <v>94.5</v>
      </c>
      <c r="H1243" s="518"/>
      <c r="I1243" s="471"/>
      <c r="J1243" s="499"/>
      <c r="K1243" s="471"/>
    </row>
    <row r="1244" spans="1:45" s="204" customFormat="1" ht="31.5" x14ac:dyDescent="0.25">
      <c r="A1244" s="466" t="s">
        <v>129</v>
      </c>
      <c r="B1244" s="460">
        <v>910</v>
      </c>
      <c r="C1244" s="462" t="s">
        <v>118</v>
      </c>
      <c r="D1244" s="462" t="s">
        <v>120</v>
      </c>
      <c r="E1244" s="462" t="s">
        <v>989</v>
      </c>
      <c r="F1244" s="462" t="s">
        <v>130</v>
      </c>
      <c r="G1244" s="467">
        <f>46+50-1.5</f>
        <v>94.5</v>
      </c>
      <c r="H1244" s="527"/>
      <c r="I1244" s="471"/>
      <c r="J1244" s="499"/>
      <c r="K1244" s="471"/>
    </row>
    <row r="1245" spans="1:45" ht="15.75" x14ac:dyDescent="0.25">
      <c r="A1245" s="48" t="s">
        <v>587</v>
      </c>
      <c r="B1245" s="48"/>
      <c r="C1245" s="465"/>
      <c r="D1245" s="465"/>
      <c r="E1245" s="465"/>
      <c r="F1245" s="465"/>
      <c r="G1245" s="385">
        <f>G1213+G958+G869+G621+G567+G259+G33+G9+G551</f>
        <v>971180.05836999998</v>
      </c>
      <c r="H1245" s="528"/>
      <c r="I1245" s="229"/>
      <c r="K1245" s="204"/>
      <c r="L1245" s="204"/>
    </row>
    <row r="1246" spans="1:45" s="204" customFormat="1" ht="15.75" x14ac:dyDescent="0.25">
      <c r="A1246" s="279"/>
      <c r="B1246" s="279"/>
      <c r="C1246" s="280"/>
      <c r="D1246" s="280"/>
      <c r="E1246" s="280"/>
      <c r="F1246" s="280"/>
      <c r="G1246" s="570"/>
      <c r="H1246" s="529"/>
      <c r="J1246" s="500"/>
      <c r="K1246" s="623" t="s">
        <v>1342</v>
      </c>
      <c r="L1246" s="624"/>
      <c r="M1246" s="624"/>
      <c r="N1246" s="624"/>
      <c r="O1246" s="624"/>
      <c r="P1246" s="624"/>
      <c r="Q1246" s="624"/>
      <c r="R1246" s="624"/>
      <c r="S1246" s="624"/>
      <c r="T1246" s="625"/>
    </row>
    <row r="1247" spans="1:45" ht="28.5" hidden="1" customHeight="1" x14ac:dyDescent="0.25">
      <c r="A1247" s="50"/>
      <c r="B1247" s="50"/>
      <c r="C1247" s="50"/>
      <c r="D1247" s="50"/>
      <c r="E1247" s="50">
        <f>пр.1дох.21!C75-пр.1дох.21!C78-50906</f>
        <v>401462.41187999991</v>
      </c>
      <c r="F1247" s="50"/>
      <c r="K1247" s="313" t="s">
        <v>1285</v>
      </c>
      <c r="L1247" s="313" t="s">
        <v>1286</v>
      </c>
      <c r="M1247" s="313" t="s">
        <v>1287</v>
      </c>
      <c r="N1247" s="313" t="s">
        <v>1288</v>
      </c>
      <c r="O1247" s="313" t="s">
        <v>1341</v>
      </c>
      <c r="P1247" s="313" t="s">
        <v>1419</v>
      </c>
      <c r="Q1247" s="313" t="s">
        <v>1439</v>
      </c>
      <c r="R1247" s="313" t="s">
        <v>1490</v>
      </c>
      <c r="S1247" s="313" t="s">
        <v>1491</v>
      </c>
      <c r="T1247" s="313" t="s">
        <v>1492</v>
      </c>
      <c r="U1247" s="204"/>
      <c r="V1247" s="204"/>
      <c r="W1247" s="204"/>
      <c r="X1247" s="204"/>
      <c r="Y1247" s="204"/>
      <c r="Z1247" s="204"/>
      <c r="AA1247" s="204"/>
      <c r="AB1247" s="204"/>
    </row>
    <row r="1248" spans="1:45" ht="18.75" hidden="1" x14ac:dyDescent="0.3">
      <c r="A1248" s="50"/>
      <c r="B1248" s="50"/>
      <c r="C1248" s="51"/>
      <c r="D1248" s="51"/>
      <c r="E1248" s="51"/>
      <c r="F1248" s="388" t="s">
        <v>588</v>
      </c>
      <c r="G1248" s="386">
        <f>G1245-G1249</f>
        <v>569864.74148999993</v>
      </c>
      <c r="H1248" s="516"/>
      <c r="I1248" s="115"/>
      <c r="J1248" s="509" t="s">
        <v>588</v>
      </c>
      <c r="K1248" s="400">
        <f>500+874</f>
        <v>1374</v>
      </c>
      <c r="L1248" s="481">
        <f>92.26-31-8.1</f>
        <v>53.160000000000004</v>
      </c>
      <c r="M1248" s="400">
        <v>0</v>
      </c>
      <c r="N1248" s="400">
        <v>0</v>
      </c>
      <c r="O1248" s="400">
        <v>0</v>
      </c>
      <c r="P1248" s="400">
        <v>217.2</v>
      </c>
      <c r="Q1248" s="400">
        <v>0</v>
      </c>
      <c r="R1248" s="400">
        <v>110.4</v>
      </c>
      <c r="S1248" s="400">
        <v>64.400000000000006</v>
      </c>
      <c r="T1248" s="418">
        <f>63+6.23</f>
        <v>69.23</v>
      </c>
      <c r="U1248" s="204"/>
      <c r="V1248" s="204"/>
      <c r="W1248" s="204"/>
      <c r="X1248" s="204"/>
      <c r="Y1248" s="204"/>
      <c r="Z1248" s="204"/>
      <c r="AA1248" s="204"/>
      <c r="AB1248" s="204"/>
    </row>
    <row r="1249" spans="1:42" ht="18.75" hidden="1" x14ac:dyDescent="0.3">
      <c r="A1249" s="50"/>
      <c r="B1249" s="50"/>
      <c r="C1249" s="51"/>
      <c r="D1249" s="51"/>
      <c r="E1249" s="51"/>
      <c r="F1249" s="388" t="s">
        <v>589</v>
      </c>
      <c r="G1249" s="386">
        <f>G53+G75+G220+G227+G237+G250+G253+G267+G270+G309+G332+G348+G407+G420+G431+G582+G604+G617+G636+G669+G673+G704+G746+G750+G754+G758+G762+G766+G774+G778+G800+G801+G833+G907+G915+G1024+G1042+G1132+G1151-K1248-L1248-P1248-R1248-S1248-T1248-AN1258+G683+G770+G438+G1142+G687+G209+G475+G395+G911+G1146+G1155+G24+G72+G46+G135+G153+G201+G329+G386+G443+G468+G489+G539+G564+G586+G795+G845+G866+G884+G933+G948+G976+G1088+G1169+G1202+G1231</f>
        <v>401315.31688000011</v>
      </c>
      <c r="H1249" s="528"/>
      <c r="I1249" s="229"/>
      <c r="J1249" s="509" t="s">
        <v>589</v>
      </c>
      <c r="K1249" s="400">
        <v>21435.004000000001</v>
      </c>
      <c r="L1249" s="400">
        <f>922.6-354.1+31.1</f>
        <v>599.6</v>
      </c>
      <c r="M1249" s="400">
        <v>0</v>
      </c>
      <c r="N1249" s="400">
        <v>0</v>
      </c>
      <c r="O1249" s="400">
        <v>10000</v>
      </c>
      <c r="P1249" s="400">
        <v>5079.3999999999996</v>
      </c>
      <c r="Q1249" s="400">
        <v>0</v>
      </c>
      <c r="R1249" s="418">
        <f>2581.7-439.543</f>
        <v>2142.1569999999997</v>
      </c>
      <c r="S1249" s="400">
        <f>1506.3-15.05</f>
        <v>1491.25</v>
      </c>
      <c r="T1249" s="418">
        <v>700</v>
      </c>
      <c r="U1249" s="204"/>
      <c r="V1249" s="204"/>
      <c r="W1249" s="204"/>
      <c r="X1249" s="204"/>
      <c r="Y1249" s="204"/>
      <c r="Z1249" s="204"/>
      <c r="AA1249" s="204"/>
      <c r="AB1249" s="204"/>
    </row>
    <row r="1250" spans="1:42" s="204" customFormat="1" ht="18.75" hidden="1" x14ac:dyDescent="0.3">
      <c r="A1250" s="50"/>
      <c r="B1250" s="50"/>
      <c r="C1250" s="51"/>
      <c r="D1250" s="51"/>
      <c r="E1250" s="51"/>
      <c r="F1250" s="388"/>
      <c r="G1250" s="386">
        <f>H1248+H1249-G1248-G1249</f>
        <v>-971180.05836999998</v>
      </c>
      <c r="H1250" s="528"/>
      <c r="I1250" s="229"/>
      <c r="J1250" s="507" t="s">
        <v>1550</v>
      </c>
      <c r="K1250" s="400">
        <f>K1248+K1249</f>
        <v>22809.004000000001</v>
      </c>
      <c r="L1250" s="481">
        <f t="shared" ref="L1250:T1250" si="6">L1248+L1249</f>
        <v>652.76</v>
      </c>
      <c r="M1250" s="400">
        <f t="shared" si="6"/>
        <v>0</v>
      </c>
      <c r="N1250" s="400">
        <f t="shared" si="6"/>
        <v>0</v>
      </c>
      <c r="O1250" s="400">
        <f t="shared" si="6"/>
        <v>10000</v>
      </c>
      <c r="P1250" s="400">
        <f t="shared" si="6"/>
        <v>5296.5999999999995</v>
      </c>
      <c r="Q1250" s="400">
        <f t="shared" si="6"/>
        <v>0</v>
      </c>
      <c r="R1250" s="400">
        <f t="shared" si="6"/>
        <v>2252.5569999999998</v>
      </c>
      <c r="S1250" s="400">
        <f t="shared" si="6"/>
        <v>1555.65</v>
      </c>
      <c r="T1250" s="400">
        <f t="shared" si="6"/>
        <v>769.23</v>
      </c>
      <c r="U1250" s="229">
        <f>SUM(K1250:T1250)</f>
        <v>43335.800999999999</v>
      </c>
    </row>
    <row r="1251" spans="1:42" ht="15.75" hidden="1" x14ac:dyDescent="0.25">
      <c r="A1251" s="50"/>
      <c r="B1251" s="50"/>
      <c r="C1251" s="51"/>
      <c r="D1251" s="53"/>
      <c r="E1251" s="53"/>
      <c r="F1251" s="389" t="s">
        <v>674</v>
      </c>
      <c r="G1251" s="102">
        <f>пр.1дох.21!C189-'Пр.4 ведом.21'!G1245</f>
        <v>-34877.70549000008</v>
      </c>
      <c r="I1251" s="229"/>
      <c r="K1251" s="417" t="s">
        <v>1440</v>
      </c>
      <c r="L1251" s="417" t="s">
        <v>1291</v>
      </c>
      <c r="M1251" s="417" t="s">
        <v>1292</v>
      </c>
      <c r="N1251" s="417" t="s">
        <v>1293</v>
      </c>
      <c r="O1251" s="417" t="s">
        <v>1292</v>
      </c>
      <c r="P1251" s="417" t="s">
        <v>1420</v>
      </c>
      <c r="Q1251" s="417" t="s">
        <v>1440</v>
      </c>
      <c r="R1251" s="417" t="s">
        <v>1420</v>
      </c>
      <c r="S1251" s="450" t="s">
        <v>1420</v>
      </c>
      <c r="T1251" s="417" t="s">
        <v>1493</v>
      </c>
      <c r="U1251" s="204"/>
      <c r="V1251" s="204"/>
      <c r="W1251" s="204"/>
      <c r="X1251" s="204"/>
      <c r="Y1251" s="204"/>
      <c r="Z1251" s="204"/>
      <c r="AA1251" s="204"/>
      <c r="AB1251" s="204"/>
    </row>
    <row r="1252" spans="1:42" ht="15.75" hidden="1" x14ac:dyDescent="0.25">
      <c r="A1252" s="50"/>
      <c r="B1252" s="50"/>
      <c r="C1252" s="51"/>
      <c r="D1252" s="53"/>
      <c r="E1252" s="53"/>
      <c r="F1252" s="53"/>
      <c r="G1252" s="102"/>
      <c r="I1252" s="229"/>
      <c r="K1252" s="115" t="str">
        <f>E1149</f>
        <v>65 0 F2 55550</v>
      </c>
      <c r="L1252" s="115" t="str">
        <f>E611</f>
        <v>02 0 02 01330</v>
      </c>
      <c r="M1252" s="204"/>
      <c r="N1252" s="204"/>
      <c r="O1252" s="204"/>
      <c r="P1252" s="115" t="str">
        <f>E765</f>
        <v>52 0 14 S3100</v>
      </c>
      <c r="Q1252" s="204"/>
      <c r="R1252" s="115"/>
      <c r="S1252" s="115"/>
      <c r="T1252" s="115"/>
      <c r="U1252" s="204"/>
      <c r="V1252" s="204"/>
      <c r="W1252" s="204"/>
      <c r="X1252" s="204"/>
      <c r="Y1252" s="204"/>
      <c r="Z1252" s="204"/>
      <c r="AA1252" s="204"/>
      <c r="AB1252" s="204"/>
    </row>
    <row r="1253" spans="1:42" ht="15.75" hidden="1" x14ac:dyDescent="0.25">
      <c r="A1253" s="50"/>
      <c r="B1253" s="50"/>
      <c r="C1253" s="51"/>
      <c r="D1253" s="53"/>
      <c r="E1253" s="53"/>
      <c r="F1253" s="53"/>
      <c r="G1253" s="102"/>
      <c r="H1253" s="528"/>
      <c r="K1253" s="410"/>
      <c r="L1253" s="229"/>
      <c r="M1253" s="204"/>
      <c r="N1253" s="204"/>
      <c r="O1253" s="204"/>
      <c r="P1253" s="204"/>
      <c r="Q1253" s="204"/>
      <c r="R1253" s="204"/>
      <c r="S1253" s="204"/>
      <c r="T1253" s="229">
        <f>K1249+L1249+M1249+N1249+O1249+P1249+Q1249+R1249+S1249+T1249</f>
        <v>41447.411</v>
      </c>
      <c r="U1253" s="204"/>
      <c r="V1253" s="204"/>
      <c r="W1253" s="204"/>
      <c r="X1253" s="204"/>
      <c r="Y1253" s="204"/>
      <c r="Z1253" s="204"/>
      <c r="AA1253" s="204"/>
      <c r="AB1253" s="204"/>
    </row>
    <row r="1254" spans="1:42" ht="15.75" hidden="1" x14ac:dyDescent="0.25">
      <c r="A1254" s="50"/>
      <c r="B1254" s="50"/>
      <c r="C1254" s="54">
        <v>1</v>
      </c>
      <c r="D1254" s="53"/>
      <c r="E1254" s="53"/>
      <c r="F1254" s="53"/>
      <c r="G1254" s="102">
        <f>G10+G34+G260+G568+G622+G959+G1214+G870+G553</f>
        <v>177451.61988000001</v>
      </c>
      <c r="I1254" s="115"/>
      <c r="K1254" s="410"/>
      <c r="L1254" s="204"/>
      <c r="M1254" s="204"/>
      <c r="N1254" s="204"/>
      <c r="O1254" s="204"/>
      <c r="P1254" s="204"/>
      <c r="Q1254" s="204"/>
      <c r="R1254" s="204"/>
      <c r="S1254" s="204"/>
      <c r="T1254" s="115" t="e">
        <f>E1149+E919+E779+E775+E763+E609</f>
        <v>#VALUE!</v>
      </c>
      <c r="U1254" s="204"/>
      <c r="V1254" s="204"/>
      <c r="W1254" s="204"/>
      <c r="X1254" s="204"/>
      <c r="Y1254" s="204"/>
      <c r="Z1254" s="204"/>
      <c r="AA1254" s="204"/>
      <c r="AB1254" s="204"/>
    </row>
    <row r="1255" spans="1:42" ht="15.75" hidden="1" customHeight="1" x14ac:dyDescent="0.25">
      <c r="A1255" s="50"/>
      <c r="B1255" s="50"/>
      <c r="C1255" s="54" t="s">
        <v>588</v>
      </c>
      <c r="D1255" s="53"/>
      <c r="E1255" s="53"/>
      <c r="F1255" s="53"/>
      <c r="G1255" s="102">
        <f>G1254-G1256</f>
        <v>173031.51988000001</v>
      </c>
      <c r="H1255" s="528"/>
      <c r="I1255" s="115"/>
      <c r="J1255" s="507"/>
      <c r="K1255" s="410"/>
      <c r="L1255" s="204"/>
      <c r="M1255" s="204"/>
      <c r="N1255" s="204"/>
      <c r="O1255" s="204"/>
      <c r="P1255" s="204"/>
      <c r="Q1255" s="204"/>
      <c r="R1255" s="204"/>
      <c r="S1255" s="204"/>
      <c r="T1255" s="204"/>
      <c r="U1255" s="204"/>
      <c r="V1255" s="204"/>
      <c r="W1255" s="204"/>
      <c r="X1255" s="204"/>
      <c r="Y1255" s="204"/>
      <c r="Z1255" s="204"/>
      <c r="AA1255" s="204"/>
      <c r="AB1255" s="204"/>
    </row>
    <row r="1256" spans="1:42" ht="15.75" hidden="1" x14ac:dyDescent="0.25">
      <c r="A1256" s="50"/>
      <c r="B1256" s="50"/>
      <c r="C1256" s="54" t="s">
        <v>589</v>
      </c>
      <c r="D1256" s="53"/>
      <c r="E1256" s="53"/>
      <c r="F1256" s="53"/>
      <c r="G1256" s="102">
        <f>G601+G115+G75+G582-L1248+G117-Y1258+G50+G265-Z1258-AB1258+G270</f>
        <v>4420.1000000000004</v>
      </c>
      <c r="H1256" s="528"/>
      <c r="I1256" s="115"/>
      <c r="J1256" s="507"/>
      <c r="K1256" s="626" t="s">
        <v>1557</v>
      </c>
      <c r="L1256" s="627"/>
      <c r="M1256" s="627"/>
      <c r="N1256" s="627"/>
      <c r="O1256" s="627"/>
      <c r="P1256" s="627"/>
      <c r="Q1256" s="627"/>
      <c r="R1256" s="627"/>
      <c r="S1256" s="627"/>
      <c r="T1256" s="627"/>
      <c r="U1256" s="627"/>
      <c r="V1256" s="627"/>
      <c r="W1256" s="627"/>
      <c r="X1256" s="627"/>
      <c r="Y1256" s="627"/>
      <c r="Z1256" s="627"/>
      <c r="AA1256" s="627"/>
      <c r="AB1256" s="627"/>
      <c r="AC1256" s="627"/>
      <c r="AD1256" s="627"/>
      <c r="AE1256" s="627"/>
      <c r="AF1256" s="627"/>
      <c r="AG1256" s="477"/>
      <c r="AH1256" s="482"/>
      <c r="AI1256" s="493"/>
      <c r="AJ1256" s="498"/>
      <c r="AK1256" s="512"/>
      <c r="AL1256" s="515"/>
      <c r="AM1256" s="576"/>
    </row>
    <row r="1257" spans="1:42" ht="96" hidden="1" x14ac:dyDescent="0.25">
      <c r="A1257" s="50"/>
      <c r="B1257" s="50"/>
      <c r="C1257" s="54">
        <v>2</v>
      </c>
      <c r="D1257" s="53"/>
      <c r="E1257" s="53"/>
      <c r="F1257" s="53"/>
      <c r="G1257" s="102">
        <f>G175</f>
        <v>0</v>
      </c>
      <c r="I1257" s="115"/>
      <c r="K1257" s="449" t="s">
        <v>1498</v>
      </c>
      <c r="L1257" s="449" t="s">
        <v>1499</v>
      </c>
      <c r="M1257" s="449" t="s">
        <v>1501</v>
      </c>
      <c r="N1257" s="449" t="s">
        <v>1502</v>
      </c>
      <c r="O1257" s="449" t="s">
        <v>1503</v>
      </c>
      <c r="P1257" s="449" t="s">
        <v>1504</v>
      </c>
      <c r="Q1257" s="449" t="s">
        <v>1507</v>
      </c>
      <c r="R1257" s="449" t="s">
        <v>1509</v>
      </c>
      <c r="S1257" s="620" t="s">
        <v>1510</v>
      </c>
      <c r="T1257" s="621"/>
      <c r="U1257" s="622"/>
      <c r="V1257" s="449" t="s">
        <v>1513</v>
      </c>
      <c r="W1257" s="449" t="s">
        <v>1558</v>
      </c>
      <c r="X1257" s="449" t="s">
        <v>1559</v>
      </c>
      <c r="Y1257" s="449" t="s">
        <v>1514</v>
      </c>
      <c r="Z1257" s="449" t="s">
        <v>1561</v>
      </c>
      <c r="AA1257" s="449" t="s">
        <v>1518</v>
      </c>
      <c r="AB1257" s="449" t="s">
        <v>1639</v>
      </c>
      <c r="AC1257" s="449" t="s">
        <v>1640</v>
      </c>
      <c r="AD1257" s="449" t="s">
        <v>1641</v>
      </c>
      <c r="AE1257" s="449" t="s">
        <v>1654</v>
      </c>
      <c r="AF1257" s="449" t="s">
        <v>1654</v>
      </c>
      <c r="AG1257" s="449" t="s">
        <v>1659</v>
      </c>
      <c r="AH1257" s="449" t="s">
        <v>1676</v>
      </c>
      <c r="AI1257" s="449" t="s">
        <v>1683</v>
      </c>
      <c r="AJ1257" s="449" t="s">
        <v>1694</v>
      </c>
      <c r="AK1257" s="449" t="s">
        <v>1706</v>
      </c>
      <c r="AL1257" s="540" t="s">
        <v>1710</v>
      </c>
      <c r="AM1257" s="540" t="s">
        <v>1802</v>
      </c>
    </row>
    <row r="1258" spans="1:42" ht="15.75" hidden="1" x14ac:dyDescent="0.25">
      <c r="A1258" s="50"/>
      <c r="B1258" s="50"/>
      <c r="C1258" s="54">
        <v>3</v>
      </c>
      <c r="D1258" s="53"/>
      <c r="E1258" s="53"/>
      <c r="F1258" s="53"/>
      <c r="G1258" s="102">
        <f>G979+G182</f>
        <v>7435.9079100000008</v>
      </c>
      <c r="I1258" s="115"/>
      <c r="J1258" s="509" t="s">
        <v>588</v>
      </c>
      <c r="K1258" s="348">
        <v>3.5</v>
      </c>
      <c r="L1258" s="348">
        <v>3400</v>
      </c>
      <c r="M1258" s="409">
        <v>2000</v>
      </c>
      <c r="N1258" s="348">
        <v>84</v>
      </c>
      <c r="O1258" s="348">
        <v>868</v>
      </c>
      <c r="P1258" s="348">
        <v>124.4</v>
      </c>
      <c r="Q1258" s="348">
        <v>71.400000000000006</v>
      </c>
      <c r="R1258" s="348">
        <v>678</v>
      </c>
      <c r="S1258" s="408">
        <f>S1260-S1259</f>
        <v>19666.400000000001</v>
      </c>
      <c r="T1258" s="408">
        <f>T1260-T1259</f>
        <v>7077.4000000000015</v>
      </c>
      <c r="U1258" s="408">
        <f>U1260-U1259</f>
        <v>32510.000000000004</v>
      </c>
      <c r="V1258" s="348">
        <v>19</v>
      </c>
      <c r="W1258" s="409">
        <v>10</v>
      </c>
      <c r="X1258" s="409">
        <v>150</v>
      </c>
      <c r="Y1258" s="409">
        <v>1.64</v>
      </c>
      <c r="Z1258" s="409">
        <v>200</v>
      </c>
      <c r="AA1258" s="348">
        <v>0</v>
      </c>
      <c r="AB1258" s="348">
        <v>0</v>
      </c>
      <c r="AC1258" s="348">
        <v>135.5</v>
      </c>
      <c r="AD1258" s="348">
        <v>690.8</v>
      </c>
      <c r="AE1258" s="348">
        <v>9.8149999999999995</v>
      </c>
      <c r="AF1258" s="348">
        <v>12.185</v>
      </c>
      <c r="AG1258" s="348">
        <v>106.89</v>
      </c>
      <c r="AH1258" s="348">
        <f>21.5+41.001</f>
        <v>62.500999999999998</v>
      </c>
      <c r="AI1258" s="348">
        <v>152</v>
      </c>
      <c r="AJ1258" s="348">
        <v>205.9</v>
      </c>
      <c r="AK1258" s="348">
        <v>463.7</v>
      </c>
      <c r="AL1258" s="409">
        <v>63.805999999999997</v>
      </c>
      <c r="AM1258" s="409">
        <v>12.227</v>
      </c>
      <c r="AN1258" s="1">
        <f>SUM(K1258:AM1258)</f>
        <v>68779.063999999998</v>
      </c>
    </row>
    <row r="1259" spans="1:42" s="204" customFormat="1" ht="15.75" hidden="1" x14ac:dyDescent="0.25">
      <c r="A1259" s="50"/>
      <c r="B1259" s="50"/>
      <c r="C1259" s="54" t="s">
        <v>588</v>
      </c>
      <c r="D1259" s="53"/>
      <c r="E1259" s="53"/>
      <c r="F1259" s="53"/>
      <c r="G1259" s="102">
        <f>G1258-G1260</f>
        <v>6987.9079100000008</v>
      </c>
      <c r="H1259" s="517"/>
      <c r="I1259" s="115"/>
      <c r="J1259" s="509" t="s">
        <v>589</v>
      </c>
      <c r="K1259" s="348">
        <v>65.2</v>
      </c>
      <c r="L1259" s="348">
        <f>2161.1+498.9</f>
        <v>2660</v>
      </c>
      <c r="M1259" s="348">
        <f>1731.8-730</f>
        <v>1001.8</v>
      </c>
      <c r="N1259" s="348">
        <v>0</v>
      </c>
      <c r="O1259" s="348">
        <v>516.6</v>
      </c>
      <c r="P1259" s="348">
        <v>166.7</v>
      </c>
      <c r="Q1259" s="348">
        <v>1666.6</v>
      </c>
      <c r="R1259" s="348">
        <v>74.900000000000006</v>
      </c>
      <c r="S1259" s="409">
        <v>4071.2</v>
      </c>
      <c r="T1259" s="409">
        <v>1155.4000000000001</v>
      </c>
      <c r="U1259" s="409">
        <v>3375.3</v>
      </c>
      <c r="V1259" s="348">
        <f>пр.1дох.21!C113</f>
        <v>0</v>
      </c>
      <c r="W1259" s="409">
        <v>0</v>
      </c>
      <c r="X1259" s="409">
        <v>0</v>
      </c>
      <c r="Y1259" s="348">
        <v>0</v>
      </c>
      <c r="Z1259" s="348">
        <f>пр.1дох.21!C120</f>
        <v>247.3</v>
      </c>
      <c r="AA1259" s="348">
        <v>0</v>
      </c>
      <c r="AB1259" s="348">
        <v>0</v>
      </c>
      <c r="AC1259" s="348">
        <f>пр.1дох.21!C122</f>
        <v>2729.2570000000001</v>
      </c>
      <c r="AD1259" s="348">
        <f>пр.1дох.21!C121</f>
        <v>16158.20347</v>
      </c>
      <c r="AE1259" s="348">
        <v>0</v>
      </c>
      <c r="AF1259" s="348">
        <v>285</v>
      </c>
      <c r="AG1259" s="348">
        <v>2500</v>
      </c>
      <c r="AH1259" s="348">
        <f>501.7+449.3</f>
        <v>951</v>
      </c>
      <c r="AI1259" s="348">
        <v>448</v>
      </c>
      <c r="AJ1259" s="348">
        <v>4816.3</v>
      </c>
      <c r="AK1259" s="348">
        <v>4173.5</v>
      </c>
      <c r="AL1259" s="409">
        <v>1492.7</v>
      </c>
      <c r="AM1259" s="409">
        <v>268</v>
      </c>
      <c r="AN1259" s="204">
        <f t="shared" ref="AN1259:AN1260" si="7">SUM(K1259:AM1259)</f>
        <v>48822.960470000005</v>
      </c>
      <c r="AP1259" s="229">
        <f>T1253+AN1259</f>
        <v>90270.371470000013</v>
      </c>
    </row>
    <row r="1260" spans="1:42" s="204" customFormat="1" ht="15.75" hidden="1" x14ac:dyDescent="0.25">
      <c r="A1260" s="50"/>
      <c r="B1260" s="50"/>
      <c r="C1260" s="54" t="s">
        <v>589</v>
      </c>
      <c r="D1260" s="53"/>
      <c r="E1260" s="53"/>
      <c r="F1260" s="53"/>
      <c r="G1260" s="102">
        <f>G213-AI1258</f>
        <v>448</v>
      </c>
      <c r="H1260" s="517"/>
      <c r="I1260" s="115"/>
      <c r="J1260" s="507" t="s">
        <v>1550</v>
      </c>
      <c r="K1260" s="400">
        <f t="shared" ref="K1260:R1260" si="8">K1258+K1259</f>
        <v>68.7</v>
      </c>
      <c r="L1260" s="400">
        <f t="shared" si="8"/>
        <v>6060</v>
      </c>
      <c r="M1260" s="400">
        <f t="shared" si="8"/>
        <v>3001.8</v>
      </c>
      <c r="N1260" s="400">
        <f t="shared" si="8"/>
        <v>84</v>
      </c>
      <c r="O1260" s="400">
        <f t="shared" si="8"/>
        <v>1384.6</v>
      </c>
      <c r="P1260" s="400">
        <f t="shared" si="8"/>
        <v>291.10000000000002</v>
      </c>
      <c r="Q1260" s="400">
        <f t="shared" si="8"/>
        <v>1738</v>
      </c>
      <c r="R1260" s="400">
        <f t="shared" si="8"/>
        <v>752.9</v>
      </c>
      <c r="S1260" s="400">
        <f>G798</f>
        <v>23737.600000000002</v>
      </c>
      <c r="T1260" s="400">
        <f>G332</f>
        <v>8232.8000000000011</v>
      </c>
      <c r="U1260" s="400">
        <f>G407</f>
        <v>35885.300000000003</v>
      </c>
      <c r="V1260" s="400">
        <f t="shared" ref="V1260:AL1260" si="9">V1258+V1259</f>
        <v>19</v>
      </c>
      <c r="W1260" s="400">
        <f t="shared" si="9"/>
        <v>10</v>
      </c>
      <c r="X1260" s="400">
        <f t="shared" si="9"/>
        <v>150</v>
      </c>
      <c r="Y1260" s="400">
        <f t="shared" si="9"/>
        <v>1.64</v>
      </c>
      <c r="Z1260" s="400">
        <f t="shared" si="9"/>
        <v>447.3</v>
      </c>
      <c r="AA1260" s="400">
        <f t="shared" si="9"/>
        <v>0</v>
      </c>
      <c r="AB1260" s="400">
        <f t="shared" si="9"/>
        <v>0</v>
      </c>
      <c r="AC1260" s="400">
        <f t="shared" si="9"/>
        <v>2864.7570000000001</v>
      </c>
      <c r="AD1260" s="400">
        <f t="shared" si="9"/>
        <v>16849.00347</v>
      </c>
      <c r="AE1260" s="400">
        <f t="shared" si="9"/>
        <v>9.8149999999999995</v>
      </c>
      <c r="AF1260" s="400">
        <f t="shared" si="9"/>
        <v>297.185</v>
      </c>
      <c r="AG1260" s="400">
        <f t="shared" si="9"/>
        <v>2606.89</v>
      </c>
      <c r="AH1260" s="400">
        <f t="shared" si="9"/>
        <v>1013.501</v>
      </c>
      <c r="AI1260" s="400">
        <f t="shared" si="9"/>
        <v>600</v>
      </c>
      <c r="AJ1260" s="400">
        <f t="shared" si="9"/>
        <v>5022.2</v>
      </c>
      <c r="AK1260" s="400">
        <f t="shared" si="9"/>
        <v>4637.2</v>
      </c>
      <c r="AL1260" s="541">
        <f t="shared" si="9"/>
        <v>1556.5060000000001</v>
      </c>
      <c r="AM1260" s="541">
        <f t="shared" ref="AM1260" si="10">AM1258+AM1259</f>
        <v>280.22699999999998</v>
      </c>
      <c r="AN1260" s="204">
        <f t="shared" si="7"/>
        <v>117602.02447</v>
      </c>
    </row>
    <row r="1261" spans="1:42" ht="15.75" hidden="1" x14ac:dyDescent="0.25">
      <c r="A1261" s="50"/>
      <c r="B1261" s="50"/>
      <c r="C1261" s="54">
        <v>4</v>
      </c>
      <c r="D1261" s="53"/>
      <c r="E1261" s="53"/>
      <c r="F1261" s="53"/>
      <c r="G1261" s="102">
        <f>G986+G298+G214</f>
        <v>8485.7000000000007</v>
      </c>
      <c r="I1261" s="115"/>
      <c r="K1261" s="417" t="s">
        <v>1292</v>
      </c>
      <c r="L1261" s="417" t="s">
        <v>1500</v>
      </c>
      <c r="M1261" s="417" t="s">
        <v>1420</v>
      </c>
      <c r="N1261" s="417" t="s">
        <v>1420</v>
      </c>
      <c r="O1261" s="417" t="s">
        <v>1420</v>
      </c>
      <c r="P1261" s="417" t="s">
        <v>1505</v>
      </c>
      <c r="Q1261" s="417" t="s">
        <v>1508</v>
      </c>
      <c r="R1261" s="417" t="s">
        <v>1420</v>
      </c>
      <c r="S1261" s="450" t="s">
        <v>1511</v>
      </c>
      <c r="T1261" s="417" t="s">
        <v>1512</v>
      </c>
      <c r="U1261" s="450" t="s">
        <v>1292</v>
      </c>
      <c r="V1261" s="417" t="s">
        <v>1515</v>
      </c>
      <c r="W1261" s="417" t="s">
        <v>1293</v>
      </c>
      <c r="X1261" s="417" t="s">
        <v>1560</v>
      </c>
      <c r="Y1261" s="417" t="s">
        <v>1516</v>
      </c>
      <c r="Z1261" s="417" t="s">
        <v>1291</v>
      </c>
      <c r="AA1261" s="417" t="s">
        <v>1519</v>
      </c>
      <c r="AB1261" s="417" t="s">
        <v>1291</v>
      </c>
      <c r="AC1261" s="417" t="s">
        <v>1420</v>
      </c>
      <c r="AD1261" s="417" t="s">
        <v>1642</v>
      </c>
      <c r="AE1261" s="417" t="s">
        <v>1505</v>
      </c>
      <c r="AF1261" s="417" t="s">
        <v>1420</v>
      </c>
      <c r="AG1261" s="417" t="s">
        <v>1505</v>
      </c>
      <c r="AH1261" s="417" t="s">
        <v>1440</v>
      </c>
      <c r="AI1261" s="417" t="s">
        <v>1684</v>
      </c>
      <c r="AJ1261" s="417" t="s">
        <v>1700</v>
      </c>
      <c r="AK1261" s="417" t="s">
        <v>1440</v>
      </c>
      <c r="AL1261" s="542" t="s">
        <v>1440</v>
      </c>
      <c r="AM1261" s="542" t="s">
        <v>1803</v>
      </c>
    </row>
    <row r="1262" spans="1:42" ht="15.75" hidden="1" x14ac:dyDescent="0.25">
      <c r="A1262" s="50"/>
      <c r="B1262" s="50"/>
      <c r="C1262" s="54" t="s">
        <v>588</v>
      </c>
      <c r="D1262" s="53"/>
      <c r="E1262" s="53"/>
      <c r="F1262" s="53"/>
      <c r="G1262" s="102">
        <f>G1261-G1263</f>
        <v>8271.5</v>
      </c>
      <c r="I1262" s="115"/>
      <c r="AE1262" s="1"/>
      <c r="AF1262" s="1"/>
      <c r="AG1262" s="1"/>
      <c r="AH1262" s="1"/>
      <c r="AI1262" s="1"/>
    </row>
    <row r="1263" spans="1:42" ht="15.75" hidden="1" x14ac:dyDescent="0.25">
      <c r="A1263" s="50"/>
      <c r="B1263" s="50"/>
      <c r="C1263" s="54" t="s">
        <v>589</v>
      </c>
      <c r="D1263" s="53"/>
      <c r="E1263" s="53"/>
      <c r="F1263" s="53"/>
      <c r="G1263" s="102">
        <f>G307+G235+G227+G218-V1258-X1258-AA1258</f>
        <v>214.2</v>
      </c>
      <c r="I1263" s="115"/>
      <c r="AE1263" s="1"/>
      <c r="AF1263" s="1"/>
      <c r="AG1263" s="1"/>
      <c r="AH1263" s="1"/>
      <c r="AI1263" s="1"/>
    </row>
    <row r="1264" spans="1:42" ht="15.75" hidden="1" x14ac:dyDescent="0.25">
      <c r="A1264" s="50"/>
      <c r="B1264" s="50"/>
      <c r="C1264" s="54">
        <v>5</v>
      </c>
      <c r="D1264" s="53"/>
      <c r="E1264" s="53"/>
      <c r="F1264" s="53"/>
      <c r="G1264" s="102">
        <f>G1007+G605</f>
        <v>201358.07167999999</v>
      </c>
      <c r="I1264" s="115"/>
      <c r="K1264" s="204" t="s">
        <v>1688</v>
      </c>
      <c r="L1264" s="115"/>
      <c r="M1264" s="204"/>
      <c r="N1264" s="204"/>
      <c r="O1264" s="204"/>
      <c r="P1264" s="204"/>
      <c r="Q1264" s="204"/>
      <c r="R1264" s="204"/>
      <c r="S1264" s="204"/>
      <c r="T1264" s="204"/>
      <c r="U1264" s="204"/>
      <c r="V1264" s="204"/>
      <c r="W1264" s="204"/>
      <c r="X1264" s="204"/>
      <c r="Y1264" s="204"/>
      <c r="Z1264" s="204"/>
      <c r="AA1264" s="204"/>
      <c r="AB1264" s="229"/>
    </row>
    <row r="1265" spans="1:28" ht="15.75" hidden="1" x14ac:dyDescent="0.25">
      <c r="A1265" s="50"/>
      <c r="B1265" s="50"/>
      <c r="C1265" s="54" t="s">
        <v>588</v>
      </c>
      <c r="D1265" s="53"/>
      <c r="E1265" s="53"/>
      <c r="F1265" s="53"/>
      <c r="G1265" s="102">
        <f>G1264-G1266</f>
        <v>149473.61450999998</v>
      </c>
      <c r="H1265" s="528"/>
      <c r="I1265" s="115"/>
      <c r="J1265" s="500" t="s">
        <v>118</v>
      </c>
      <c r="K1265" s="115">
        <f>L1249+Y1259+Z1259+AB1259+G75</f>
        <v>4225.8</v>
      </c>
      <c r="L1265" s="115"/>
      <c r="M1265" s="115"/>
      <c r="N1265" s="115"/>
      <c r="O1265" s="115"/>
      <c r="P1265" s="115"/>
      <c r="Q1265" s="115"/>
      <c r="R1265" s="115"/>
      <c r="S1265" s="204"/>
      <c r="T1265" s="204"/>
      <c r="U1265" s="115"/>
      <c r="V1265" s="115" t="str">
        <f>E229</f>
        <v>01 0 03 74040</v>
      </c>
      <c r="W1265" s="115">
        <f>E259</f>
        <v>0</v>
      </c>
      <c r="X1265" s="115" t="str">
        <f>E246</f>
        <v>55 0 00 00000</v>
      </c>
      <c r="Y1265" s="115" t="e">
        <f>E123+E62</f>
        <v>#VALUE!</v>
      </c>
      <c r="Z1265" s="115" t="str">
        <f>E277</f>
        <v>63 0 01 01590</v>
      </c>
      <c r="AA1265" s="115">
        <f>E318</f>
        <v>0</v>
      </c>
      <c r="AB1265" s="204"/>
    </row>
    <row r="1266" spans="1:28" ht="15.75" hidden="1" x14ac:dyDescent="0.25">
      <c r="A1266" s="50"/>
      <c r="B1266" s="50"/>
      <c r="C1266" s="54" t="s">
        <v>589</v>
      </c>
      <c r="D1266" s="53"/>
      <c r="E1266" s="53"/>
      <c r="F1266" s="53"/>
      <c r="G1266" s="102">
        <f>G1039+G1132+G1149-K1248+G1104-Q1248-AH1258-AD1258+G1142+G1024+G1146-AK1258+G1155-AL1258</f>
        <v>51884.457170000009</v>
      </c>
      <c r="H1266" s="528"/>
      <c r="I1266" s="115"/>
      <c r="J1266" s="500" t="s">
        <v>215</v>
      </c>
      <c r="K1266" s="204">
        <f>AI1259</f>
        <v>448</v>
      </c>
      <c r="L1266" s="204"/>
      <c r="M1266" s="204"/>
      <c r="N1266" s="204"/>
      <c r="O1266" s="204"/>
      <c r="P1266" s="204"/>
      <c r="Q1266" s="204"/>
      <c r="R1266" s="204"/>
      <c r="S1266" s="204"/>
      <c r="T1266" s="204"/>
      <c r="U1266" s="204"/>
      <c r="V1266" s="204"/>
      <c r="W1266" s="204"/>
      <c r="X1266" s="204"/>
      <c r="Y1266" s="204"/>
      <c r="Z1266" s="204"/>
      <c r="AA1266" s="204"/>
    </row>
    <row r="1267" spans="1:28" ht="15.75" hidden="1" x14ac:dyDescent="0.25">
      <c r="A1267" s="50"/>
      <c r="B1267" s="50"/>
      <c r="C1267" s="54">
        <v>7</v>
      </c>
      <c r="D1267" s="53"/>
      <c r="E1267" s="53"/>
      <c r="F1267" s="53"/>
      <c r="G1267" s="102">
        <f>G629+G318</f>
        <v>398874.81100000005</v>
      </c>
      <c r="I1267" s="115"/>
      <c r="J1267" s="500" t="s">
        <v>150</v>
      </c>
      <c r="K1267" s="115">
        <f>X1259+AA1259+G227</f>
        <v>264.2</v>
      </c>
    </row>
    <row r="1268" spans="1:28" ht="15.75" hidden="1" x14ac:dyDescent="0.25">
      <c r="A1268" s="50"/>
      <c r="B1268" s="50"/>
      <c r="C1268" s="54" t="s">
        <v>588</v>
      </c>
      <c r="D1268" s="53"/>
      <c r="E1268" s="53"/>
      <c r="F1268" s="53"/>
      <c r="G1268" s="102">
        <f>G1267-G1269</f>
        <v>143818.44400000013</v>
      </c>
      <c r="H1268" s="528"/>
      <c r="I1268" s="115"/>
      <c r="J1268" s="500" t="s">
        <v>234</v>
      </c>
      <c r="K1268" s="229">
        <f>K1249+Q1249+AD1259+AH1259+G1138+G1042</f>
        <v>45708.457170000001</v>
      </c>
      <c r="L1268" s="229">
        <f>G1266-K1268</f>
        <v>6176.0000000000073</v>
      </c>
    </row>
    <row r="1269" spans="1:28" ht="15.75" hidden="1" x14ac:dyDescent="0.25">
      <c r="A1269" s="50"/>
      <c r="B1269" s="50"/>
      <c r="C1269" s="54" t="s">
        <v>589</v>
      </c>
      <c r="D1269" s="53"/>
      <c r="E1269" s="53"/>
      <c r="F1269" s="53"/>
      <c r="G1269" s="102">
        <f>G801+G704+G636+G348+G771+G677+G756-P1248+G775-R1248-S1248+G831+G798+G760+G752+G748+G744+G674+G670+G332-L1258-M1258-N1258-O1258-P1258-Q1258-R1258-S1258-T1258-AC1258-AE1258-AF1258-AG1258+G683+G687+G763+G767+G392</f>
        <v>255056.36699999991</v>
      </c>
      <c r="H1269" s="528"/>
      <c r="I1269" s="115"/>
      <c r="J1269" s="500" t="s">
        <v>264</v>
      </c>
      <c r="K1269" s="229">
        <f>P1249+R1249+S1249+L1259+M1259+N1259+O1259+P1259+Q1259+R1259+S1259+T1259+AE1259+AF1259+AG1259+G348+G395+G636+G704+G801+AC1259</f>
        <v>254726.27200000003</v>
      </c>
      <c r="L1269" s="229">
        <f>G1269-K1269</f>
        <v>330.09499999988475</v>
      </c>
    </row>
    <row r="1270" spans="1:28" ht="15.75" hidden="1" x14ac:dyDescent="0.25">
      <c r="A1270" s="50"/>
      <c r="B1270" s="50"/>
      <c r="C1270" s="54">
        <v>8</v>
      </c>
      <c r="D1270" s="53"/>
      <c r="E1270" s="53"/>
      <c r="F1270" s="53"/>
      <c r="G1270" s="102">
        <f>G396</f>
        <v>85236.564099999989</v>
      </c>
      <c r="I1270" s="115"/>
      <c r="J1270" s="500" t="s">
        <v>299</v>
      </c>
      <c r="K1270" s="115">
        <f>K1259+U1259+G420+G475</f>
        <v>7067.5</v>
      </c>
    </row>
    <row r="1271" spans="1:28" ht="15.75" hidden="1" x14ac:dyDescent="0.25">
      <c r="A1271" s="50"/>
      <c r="B1271" s="50"/>
      <c r="C1271" s="54" t="s">
        <v>588</v>
      </c>
      <c r="D1271" s="53"/>
      <c r="E1271" s="53"/>
      <c r="F1271" s="53"/>
      <c r="G1271" s="102">
        <f>G1270-G1272</f>
        <v>68169.064099999989</v>
      </c>
      <c r="H1271" s="528"/>
      <c r="I1271" s="115"/>
      <c r="J1271" s="500" t="s">
        <v>244</v>
      </c>
      <c r="K1271" s="115">
        <f>G251</f>
        <v>3619.2000000000007</v>
      </c>
    </row>
    <row r="1272" spans="1:28" ht="15.75" hidden="1" x14ac:dyDescent="0.25">
      <c r="A1272" s="50"/>
      <c r="B1272" s="50"/>
      <c r="C1272" s="54" t="s">
        <v>589</v>
      </c>
      <c r="D1272" s="53"/>
      <c r="E1272" s="53"/>
      <c r="F1272" s="53"/>
      <c r="G1272" s="102">
        <f>G420+G439+G443-M1248-O1248+G432+G407-K1258-U1258+G438+G475</f>
        <v>17067.499999999996</v>
      </c>
      <c r="H1272" s="528"/>
      <c r="I1272" s="115"/>
      <c r="J1272" s="500" t="s">
        <v>491</v>
      </c>
      <c r="K1272" s="229">
        <f>T1249+G907+AJ1259</f>
        <v>6279.8</v>
      </c>
    </row>
    <row r="1273" spans="1:28" ht="15.75" hidden="1" x14ac:dyDescent="0.25">
      <c r="A1273" s="50"/>
      <c r="B1273" s="50"/>
      <c r="C1273" s="54">
        <v>10</v>
      </c>
      <c r="D1273" s="53"/>
      <c r="E1273" s="53"/>
      <c r="F1273" s="53"/>
      <c r="G1273" s="102">
        <f>G1205+G503+G238+G615</f>
        <v>16120.630000000001</v>
      </c>
      <c r="I1273" s="115"/>
      <c r="J1273" s="500" t="s">
        <v>238</v>
      </c>
    </row>
    <row r="1274" spans="1:28" ht="15.75" hidden="1" x14ac:dyDescent="0.25">
      <c r="A1274" s="50"/>
      <c r="B1274" s="50"/>
      <c r="C1274" s="54" t="s">
        <v>588</v>
      </c>
      <c r="D1274" s="53"/>
      <c r="E1274" s="53"/>
      <c r="F1274" s="53"/>
      <c r="G1274" s="102">
        <f>G1273-G1275</f>
        <v>12511.43</v>
      </c>
      <c r="H1274" s="528"/>
      <c r="I1274" s="115"/>
    </row>
    <row r="1275" spans="1:28" ht="15.75" hidden="1" x14ac:dyDescent="0.25">
      <c r="A1275" s="50"/>
      <c r="B1275" s="50"/>
      <c r="C1275" s="54" t="s">
        <v>589</v>
      </c>
      <c r="D1275" s="53"/>
      <c r="E1275" s="53"/>
      <c r="F1275" s="53"/>
      <c r="G1275" s="102">
        <f>G253+G508+G615-N1248+G248-W1258</f>
        <v>3609.2000000000007</v>
      </c>
      <c r="H1275" s="528"/>
      <c r="I1275" s="115"/>
      <c r="K1275" s="229"/>
    </row>
    <row r="1276" spans="1:28" ht="15.75" hidden="1" x14ac:dyDescent="0.25">
      <c r="A1276" s="50"/>
      <c r="B1276" s="50"/>
      <c r="C1276" s="54">
        <v>11</v>
      </c>
      <c r="D1276" s="53"/>
      <c r="E1276" s="53"/>
      <c r="F1276" s="53"/>
      <c r="G1276" s="102">
        <f>G877</f>
        <v>70582.803799999994</v>
      </c>
      <c r="I1276" s="115"/>
    </row>
    <row r="1277" spans="1:28" ht="15.75" hidden="1" x14ac:dyDescent="0.25">
      <c r="A1277" s="50"/>
      <c r="B1277" s="50"/>
      <c r="C1277" s="54" t="s">
        <v>588</v>
      </c>
      <c r="D1277" s="53"/>
      <c r="E1277" s="53"/>
      <c r="F1277" s="53"/>
      <c r="G1277" s="102">
        <f>G1276-G1278</f>
        <v>64303.003799999991</v>
      </c>
      <c r="H1277" s="528"/>
      <c r="I1277" s="115"/>
    </row>
    <row r="1278" spans="1:28" ht="15.75" hidden="1" x14ac:dyDescent="0.25">
      <c r="A1278" s="50"/>
      <c r="B1278" s="50"/>
      <c r="C1278" s="54" t="s">
        <v>589</v>
      </c>
      <c r="D1278" s="53"/>
      <c r="E1278" s="53"/>
      <c r="F1278" s="53"/>
      <c r="G1278" s="102">
        <f>G907+G915-T1248+G911-AJ1258</f>
        <v>6279.8</v>
      </c>
      <c r="H1278" s="528"/>
      <c r="I1278" s="115"/>
    </row>
    <row r="1279" spans="1:28" ht="15.75" hidden="1" x14ac:dyDescent="0.25">
      <c r="A1279" s="50"/>
      <c r="B1279" s="50"/>
      <c r="C1279" s="54">
        <v>12</v>
      </c>
      <c r="D1279" s="53"/>
      <c r="E1279" s="53"/>
      <c r="F1279" s="53"/>
      <c r="G1279" s="102">
        <f>G528</f>
        <v>5633.9500000000007</v>
      </c>
      <c r="I1279" s="115"/>
    </row>
    <row r="1280" spans="1:28" ht="15.75" hidden="1" x14ac:dyDescent="0.25">
      <c r="A1280" s="50"/>
      <c r="B1280" s="50"/>
      <c r="C1280" s="55"/>
      <c r="D1280" s="53"/>
      <c r="E1280" s="53"/>
      <c r="F1280" s="53"/>
      <c r="G1280" s="387">
        <f>G1254+G1257+G1258+G1261+G1264+G1267+G1270+G1273+G1276+G1279</f>
        <v>971180.05836999998</v>
      </c>
      <c r="I1280" s="115"/>
    </row>
    <row r="1281" spans="1:9" ht="15.75" hidden="1" x14ac:dyDescent="0.25">
      <c r="A1281" s="50"/>
      <c r="B1281" s="50"/>
      <c r="C1281" s="54" t="s">
        <v>588</v>
      </c>
      <c r="D1281" s="53"/>
      <c r="E1281" s="53"/>
      <c r="F1281" s="53"/>
      <c r="G1281" s="387">
        <f>G1255+G1257+G1259+G1262+G1265+G1268+G1271+G1274+G1277+G1279</f>
        <v>632200.43420000002</v>
      </c>
      <c r="H1281" s="528"/>
      <c r="I1281" s="115"/>
    </row>
    <row r="1282" spans="1:9" ht="15.75" hidden="1" x14ac:dyDescent="0.25">
      <c r="A1282" s="50"/>
      <c r="B1282" s="50"/>
      <c r="C1282" s="54" t="s">
        <v>589</v>
      </c>
      <c r="D1282" s="53"/>
      <c r="E1282" s="53"/>
      <c r="F1282" s="53"/>
      <c r="G1282" s="387">
        <f>G1256+G1263+G1266+G1269+G1272+G1275+G1278+G1260</f>
        <v>338979.62416999991</v>
      </c>
      <c r="H1282" s="528"/>
      <c r="I1282" s="115"/>
    </row>
    <row r="1283" spans="1:9" hidden="1" x14ac:dyDescent="0.25"/>
    <row r="1284" spans="1:9" ht="18.75" hidden="1" x14ac:dyDescent="0.3">
      <c r="D1284" s="204" t="s">
        <v>590</v>
      </c>
      <c r="E1284" s="204">
        <v>50</v>
      </c>
      <c r="G1284" s="571">
        <f>G994</f>
        <v>4844.5</v>
      </c>
    </row>
    <row r="1285" spans="1:9" ht="18.75" hidden="1" x14ac:dyDescent="0.3">
      <c r="E1285" s="204">
        <v>51</v>
      </c>
      <c r="G1285" s="571">
        <f>G262+G300+G369+G492+G505</f>
        <v>3324.3500000000004</v>
      </c>
    </row>
    <row r="1286" spans="1:9" ht="18.75" hidden="1" x14ac:dyDescent="0.3">
      <c r="E1286" s="204">
        <v>52</v>
      </c>
      <c r="G1286" s="571">
        <f>G631+G699+G790+G829</f>
        <v>354344.60000000003</v>
      </c>
    </row>
    <row r="1287" spans="1:9" ht="18.75" hidden="1" x14ac:dyDescent="0.3">
      <c r="E1287" s="204">
        <v>53</v>
      </c>
      <c r="G1287" s="571">
        <f>G233</f>
        <v>100</v>
      </c>
    </row>
    <row r="1288" spans="1:9" ht="18.75" hidden="1" x14ac:dyDescent="0.3">
      <c r="E1288" s="204">
        <v>54</v>
      </c>
      <c r="G1288" s="571">
        <f>G97+G49</f>
        <v>624.54</v>
      </c>
    </row>
    <row r="1289" spans="1:9" ht="18.75" hidden="1" x14ac:dyDescent="0.3">
      <c r="E1289" s="204">
        <v>55</v>
      </c>
      <c r="G1289" s="571">
        <f>G246</f>
        <v>0</v>
      </c>
    </row>
    <row r="1290" spans="1:9" ht="18.75" hidden="1" x14ac:dyDescent="0.3">
      <c r="E1290" s="204">
        <v>56</v>
      </c>
      <c r="G1290" s="571"/>
    </row>
    <row r="1291" spans="1:9" ht="18.75" hidden="1" x14ac:dyDescent="0.3">
      <c r="E1291" s="204">
        <v>57</v>
      </c>
      <c r="G1291" s="571">
        <f>G879+G951</f>
        <v>58697.759999999995</v>
      </c>
    </row>
    <row r="1292" spans="1:9" ht="18.75" hidden="1" x14ac:dyDescent="0.3">
      <c r="E1292" s="204">
        <v>58</v>
      </c>
      <c r="G1292" s="571">
        <f>G320+G530+G398</f>
        <v>87163.94</v>
      </c>
    </row>
    <row r="1293" spans="1:9" ht="18.75" hidden="1" x14ac:dyDescent="0.3">
      <c r="E1293" s="204">
        <v>59</v>
      </c>
      <c r="G1293" s="571">
        <f>G688+G779+G1197+G447+G498+G358</f>
        <v>108.5</v>
      </c>
    </row>
    <row r="1294" spans="1:9" ht="18.75" hidden="1" x14ac:dyDescent="0.3">
      <c r="E1294" s="204">
        <v>60</v>
      </c>
      <c r="G1294" s="571">
        <f>G1100</f>
        <v>10811.800999999999</v>
      </c>
    </row>
    <row r="1295" spans="1:9" ht="18.75" hidden="1" x14ac:dyDescent="0.3">
      <c r="E1295" s="204">
        <v>61</v>
      </c>
      <c r="G1295" s="571">
        <f>G216</f>
        <v>19</v>
      </c>
    </row>
    <row r="1296" spans="1:9" ht="18.75" hidden="1" x14ac:dyDescent="0.3">
      <c r="E1296" s="204">
        <v>62</v>
      </c>
      <c r="G1296" s="571">
        <f>G1056</f>
        <v>57060.592710000004</v>
      </c>
    </row>
    <row r="1297" spans="5:10" ht="18.75" hidden="1" x14ac:dyDescent="0.3">
      <c r="E1297" s="204">
        <v>63</v>
      </c>
      <c r="G1297" s="571">
        <f>G271+G624+G872</f>
        <v>20</v>
      </c>
    </row>
    <row r="1298" spans="5:10" ht="18.75" hidden="1" x14ac:dyDescent="0.3">
      <c r="E1298" s="204">
        <v>64</v>
      </c>
      <c r="G1298" s="571">
        <f>G156+G363+G452+G693+G784+G823+G919+G288+G550+G204</f>
        <v>4364.4000000000005</v>
      </c>
    </row>
    <row r="1299" spans="5:10" ht="18.75" hidden="1" x14ac:dyDescent="0.3">
      <c r="E1299" s="204">
        <v>65</v>
      </c>
      <c r="G1299" s="571">
        <f>G1147</f>
        <v>24365.510000000002</v>
      </c>
    </row>
    <row r="1300" spans="5:10" ht="18.75" hidden="1" x14ac:dyDescent="0.3">
      <c r="E1300" s="204">
        <v>66</v>
      </c>
      <c r="G1300" s="571">
        <f>G600</f>
        <v>652.7600000000001</v>
      </c>
    </row>
    <row r="1301" spans="5:10" ht="18.75" hidden="1" x14ac:dyDescent="0.3">
      <c r="E1301" s="204">
        <v>67</v>
      </c>
      <c r="G1301" s="571">
        <f>G165</f>
        <v>0</v>
      </c>
    </row>
    <row r="1302" spans="5:10" ht="18.75" hidden="1" x14ac:dyDescent="0.3">
      <c r="E1302" s="204">
        <v>69</v>
      </c>
      <c r="G1302" s="571">
        <f>G170+G293</f>
        <v>44.16</v>
      </c>
    </row>
    <row r="1303" spans="5:10" s="204" customFormat="1" ht="18.75" hidden="1" x14ac:dyDescent="0.3">
      <c r="E1303" s="204">
        <v>70</v>
      </c>
      <c r="G1303" s="571">
        <f>G1093</f>
        <v>0</v>
      </c>
      <c r="H1303" s="517"/>
      <c r="J1303" s="500"/>
    </row>
    <row r="1304" spans="5:10" ht="18.75" hidden="1" x14ac:dyDescent="0.3">
      <c r="G1304" s="571">
        <f>SUM(G1284:G1303)</f>
        <v>606546.41371000011</v>
      </c>
      <c r="I1304" s="115"/>
    </row>
    <row r="1305" spans="5:10" hidden="1" x14ac:dyDescent="0.25">
      <c r="I1305" s="115"/>
    </row>
  </sheetData>
  <mergeCells count="4">
    <mergeCell ref="S1257:U1257"/>
    <mergeCell ref="A5:G5"/>
    <mergeCell ref="K1246:T1246"/>
    <mergeCell ref="K1256:AF1256"/>
  </mergeCells>
  <pageMargins left="0.23622047244094491" right="0.23622047244094491" top="0.74803149606299213" bottom="0.74803149606299213" header="0.31496062992125984" footer="0.31496062992125984"/>
  <pageSetup paperSize="9" scale="86" orientation="portrait" r:id="rId1"/>
  <rowBreaks count="2" manualBreakCount="2">
    <brk id="1188" max="6" man="1"/>
    <brk id="1245" max="6" man="1"/>
  </rowBreaks>
  <colBreaks count="3" manualBreakCount="3">
    <brk id="9" max="1201" man="1"/>
    <brk id="16" max="1201" man="1"/>
    <brk id="23" max="118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8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2" t="s">
        <v>108</v>
      </c>
      <c r="G1" s="63"/>
      <c r="H1" s="173"/>
    </row>
    <row r="2" spans="1:9" ht="18.75" x14ac:dyDescent="0.3">
      <c r="A2" s="63"/>
      <c r="B2" s="63"/>
      <c r="C2" s="63"/>
      <c r="D2" s="63"/>
      <c r="E2" s="62"/>
      <c r="F2" s="152" t="s">
        <v>0</v>
      </c>
      <c r="G2" s="63"/>
      <c r="H2" s="173"/>
    </row>
    <row r="3" spans="1:9" ht="18.75" x14ac:dyDescent="0.3">
      <c r="A3" s="63"/>
      <c r="B3" s="63"/>
      <c r="C3" s="63"/>
      <c r="D3" s="63"/>
      <c r="E3" s="62"/>
      <c r="F3" s="152" t="s">
        <v>737</v>
      </c>
      <c r="G3" s="63"/>
      <c r="H3" s="173"/>
    </row>
    <row r="4" spans="1:9" ht="15.75" x14ac:dyDescent="0.25">
      <c r="A4" s="628"/>
      <c r="B4" s="628"/>
      <c r="C4" s="628"/>
      <c r="D4" s="628"/>
      <c r="E4" s="628"/>
      <c r="F4" s="628"/>
      <c r="G4" s="628"/>
      <c r="H4" s="173"/>
    </row>
    <row r="5" spans="1:9" ht="15.75" x14ac:dyDescent="0.25">
      <c r="A5" s="619" t="s">
        <v>109</v>
      </c>
      <c r="B5" s="619"/>
      <c r="C5" s="619"/>
      <c r="D5" s="619"/>
      <c r="E5" s="619"/>
      <c r="F5" s="619"/>
      <c r="G5" s="619"/>
      <c r="H5" s="173"/>
    </row>
    <row r="6" spans="1:9" ht="15.75" x14ac:dyDescent="0.25">
      <c r="A6" s="170"/>
      <c r="B6" s="170"/>
      <c r="C6" s="170"/>
      <c r="D6" s="170"/>
      <c r="E6" s="170"/>
      <c r="F6" s="170"/>
      <c r="G6" s="170"/>
      <c r="H6" s="173"/>
    </row>
    <row r="7" spans="1:9" ht="15.75" x14ac:dyDescent="0.25">
      <c r="A7" s="13"/>
      <c r="B7" s="13"/>
      <c r="C7" s="13"/>
      <c r="D7" s="13"/>
      <c r="E7" s="13"/>
      <c r="F7" s="13"/>
      <c r="G7" s="100" t="s">
        <v>1</v>
      </c>
      <c r="H7" s="173"/>
    </row>
    <row r="8" spans="1:9" ht="47.25" x14ac:dyDescent="0.25">
      <c r="A8" s="14" t="s">
        <v>110</v>
      </c>
      <c r="B8" s="14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14" t="s">
        <v>4</v>
      </c>
      <c r="H8" s="173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3"/>
    </row>
    <row r="10" spans="1:9" ht="31.5" x14ac:dyDescent="0.25">
      <c r="A10" s="19" t="s">
        <v>116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3"/>
      <c r="I10" s="113"/>
    </row>
    <row r="11" spans="1:9" ht="15.75" x14ac:dyDescent="0.25">
      <c r="A11" s="23" t="s">
        <v>117</v>
      </c>
      <c r="B11" s="19">
        <v>901</v>
      </c>
      <c r="C11" s="24" t="s">
        <v>118</v>
      </c>
      <c r="D11" s="20"/>
      <c r="E11" s="20"/>
      <c r="F11" s="20"/>
      <c r="G11" s="21">
        <f>G12+G22</f>
        <v>14164.460000000001</v>
      </c>
      <c r="H11" s="173"/>
    </row>
    <row r="12" spans="1:9" ht="63" x14ac:dyDescent="0.25">
      <c r="A12" s="23" t="s">
        <v>119</v>
      </c>
      <c r="B12" s="19">
        <v>901</v>
      </c>
      <c r="C12" s="24" t="s">
        <v>118</v>
      </c>
      <c r="D12" s="24" t="s">
        <v>120</v>
      </c>
      <c r="E12" s="24"/>
      <c r="F12" s="24"/>
      <c r="G12" s="21">
        <f>G13</f>
        <v>14114.460000000001</v>
      </c>
      <c r="H12" s="173"/>
    </row>
    <row r="13" spans="1:9" ht="15.75" x14ac:dyDescent="0.25">
      <c r="A13" s="25" t="s">
        <v>121</v>
      </c>
      <c r="B13" s="16">
        <v>901</v>
      </c>
      <c r="C13" s="20" t="s">
        <v>118</v>
      </c>
      <c r="D13" s="20" t="s">
        <v>120</v>
      </c>
      <c r="E13" s="20" t="s">
        <v>122</v>
      </c>
      <c r="F13" s="20"/>
      <c r="G13" s="26">
        <f>G14</f>
        <v>14114.460000000001</v>
      </c>
      <c r="H13" s="173"/>
    </row>
    <row r="14" spans="1:9" ht="31.5" x14ac:dyDescent="0.25">
      <c r="A14" s="25" t="s">
        <v>123</v>
      </c>
      <c r="B14" s="16">
        <v>901</v>
      </c>
      <c r="C14" s="20" t="s">
        <v>118</v>
      </c>
      <c r="D14" s="20" t="s">
        <v>120</v>
      </c>
      <c r="E14" s="20" t="s">
        <v>124</v>
      </c>
      <c r="F14" s="20"/>
      <c r="G14" s="26">
        <f>G15</f>
        <v>14114.460000000001</v>
      </c>
      <c r="H14" s="173"/>
    </row>
    <row r="15" spans="1:9" ht="47.25" x14ac:dyDescent="0.25">
      <c r="A15" s="25" t="s">
        <v>125</v>
      </c>
      <c r="B15" s="16">
        <v>901</v>
      </c>
      <c r="C15" s="20" t="s">
        <v>118</v>
      </c>
      <c r="D15" s="20" t="s">
        <v>120</v>
      </c>
      <c r="E15" s="20" t="s">
        <v>126</v>
      </c>
      <c r="F15" s="20"/>
      <c r="G15" s="26">
        <f>G16+G18+G20</f>
        <v>14114.460000000001</v>
      </c>
      <c r="H15" s="173"/>
    </row>
    <row r="16" spans="1:9" ht="94.5" x14ac:dyDescent="0.25">
      <c r="A16" s="25" t="s">
        <v>127</v>
      </c>
      <c r="B16" s="16">
        <v>901</v>
      </c>
      <c r="C16" s="20" t="s">
        <v>118</v>
      </c>
      <c r="D16" s="20" t="s">
        <v>120</v>
      </c>
      <c r="E16" s="20" t="s">
        <v>126</v>
      </c>
      <c r="F16" s="20" t="s">
        <v>128</v>
      </c>
      <c r="G16" s="26">
        <f>G17</f>
        <v>12784.1</v>
      </c>
      <c r="H16" s="173"/>
    </row>
    <row r="17" spans="1:8" ht="31.5" x14ac:dyDescent="0.25">
      <c r="A17" s="25" t="s">
        <v>129</v>
      </c>
      <c r="B17" s="16">
        <v>901</v>
      </c>
      <c r="C17" s="20" t="s">
        <v>118</v>
      </c>
      <c r="D17" s="20" t="s">
        <v>120</v>
      </c>
      <c r="E17" s="20" t="s">
        <v>126</v>
      </c>
      <c r="F17" s="20" t="s">
        <v>130</v>
      </c>
      <c r="G17" s="27">
        <v>12784.1</v>
      </c>
      <c r="H17" s="173"/>
    </row>
    <row r="18" spans="1:8" ht="31.5" x14ac:dyDescent="0.25">
      <c r="A18" s="25" t="s">
        <v>131</v>
      </c>
      <c r="B18" s="16">
        <v>901</v>
      </c>
      <c r="C18" s="20" t="s">
        <v>118</v>
      </c>
      <c r="D18" s="20" t="s">
        <v>120</v>
      </c>
      <c r="E18" s="20" t="s">
        <v>126</v>
      </c>
      <c r="F18" s="20" t="s">
        <v>132</v>
      </c>
      <c r="G18" s="26">
        <f>G19</f>
        <v>1302.3599999999999</v>
      </c>
      <c r="H18" s="173"/>
    </row>
    <row r="19" spans="1:8" ht="47.25" x14ac:dyDescent="0.25">
      <c r="A19" s="25" t="s">
        <v>133</v>
      </c>
      <c r="B19" s="16">
        <v>901</v>
      </c>
      <c r="C19" s="20" t="s">
        <v>118</v>
      </c>
      <c r="D19" s="20" t="s">
        <v>120</v>
      </c>
      <c r="E19" s="20" t="s">
        <v>126</v>
      </c>
      <c r="F19" s="20" t="s">
        <v>134</v>
      </c>
      <c r="G19" s="27">
        <v>1302.3599999999999</v>
      </c>
      <c r="H19" s="173"/>
    </row>
    <row r="20" spans="1:8" ht="15.75" x14ac:dyDescent="0.25">
      <c r="A20" s="25" t="s">
        <v>135</v>
      </c>
      <c r="B20" s="16">
        <v>901</v>
      </c>
      <c r="C20" s="20" t="s">
        <v>118</v>
      </c>
      <c r="D20" s="20" t="s">
        <v>120</v>
      </c>
      <c r="E20" s="20" t="s">
        <v>126</v>
      </c>
      <c r="F20" s="20" t="s">
        <v>136</v>
      </c>
      <c r="G20" s="26">
        <f>G21</f>
        <v>28</v>
      </c>
      <c r="H20" s="173"/>
    </row>
    <row r="21" spans="1:8" ht="15.75" x14ac:dyDescent="0.25">
      <c r="A21" s="25" t="s">
        <v>568</v>
      </c>
      <c r="B21" s="16">
        <v>901</v>
      </c>
      <c r="C21" s="20" t="s">
        <v>118</v>
      </c>
      <c r="D21" s="20" t="s">
        <v>120</v>
      </c>
      <c r="E21" s="20" t="s">
        <v>126</v>
      </c>
      <c r="F21" s="20" t="s">
        <v>138</v>
      </c>
      <c r="G21" s="26">
        <v>28</v>
      </c>
      <c r="H21" s="173"/>
    </row>
    <row r="22" spans="1:8" ht="31.7" customHeight="1" x14ac:dyDescent="0.25">
      <c r="A22" s="23" t="s">
        <v>139</v>
      </c>
      <c r="B22" s="19">
        <v>901</v>
      </c>
      <c r="C22" s="24" t="s">
        <v>118</v>
      </c>
      <c r="D22" s="24" t="s">
        <v>140</v>
      </c>
      <c r="E22" s="24"/>
      <c r="F22" s="24"/>
      <c r="G22" s="21">
        <f>G23</f>
        <v>50</v>
      </c>
      <c r="H22" s="173"/>
    </row>
    <row r="23" spans="1:8" ht="15.75" x14ac:dyDescent="0.25">
      <c r="A23" s="25" t="s">
        <v>141</v>
      </c>
      <c r="B23" s="16">
        <v>901</v>
      </c>
      <c r="C23" s="20" t="s">
        <v>118</v>
      </c>
      <c r="D23" s="20" t="s">
        <v>140</v>
      </c>
      <c r="E23" s="20" t="s">
        <v>142</v>
      </c>
      <c r="F23" s="20"/>
      <c r="G23" s="26">
        <f>G24</f>
        <v>50</v>
      </c>
      <c r="H23" s="173"/>
    </row>
    <row r="24" spans="1:8" ht="15.75" x14ac:dyDescent="0.25">
      <c r="A24" s="25" t="s">
        <v>143</v>
      </c>
      <c r="B24" s="16">
        <v>901</v>
      </c>
      <c r="C24" s="20" t="s">
        <v>118</v>
      </c>
      <c r="D24" s="20" t="s">
        <v>140</v>
      </c>
      <c r="E24" s="20" t="s">
        <v>144</v>
      </c>
      <c r="F24" s="20"/>
      <c r="G24" s="26">
        <f>G25</f>
        <v>50</v>
      </c>
      <c r="H24" s="173"/>
    </row>
    <row r="25" spans="1:8" ht="15.75" x14ac:dyDescent="0.25">
      <c r="A25" s="25" t="s">
        <v>135</v>
      </c>
      <c r="B25" s="16">
        <v>901</v>
      </c>
      <c r="C25" s="20" t="s">
        <v>118</v>
      </c>
      <c r="D25" s="20" t="s">
        <v>140</v>
      </c>
      <c r="E25" s="20" t="s">
        <v>144</v>
      </c>
      <c r="F25" s="20" t="s">
        <v>145</v>
      </c>
      <c r="G25" s="26">
        <f>G26</f>
        <v>50</v>
      </c>
      <c r="H25" s="173"/>
    </row>
    <row r="26" spans="1:8" ht="15.75" x14ac:dyDescent="0.25">
      <c r="A26" s="25" t="s">
        <v>146</v>
      </c>
      <c r="B26" s="16">
        <v>901</v>
      </c>
      <c r="C26" s="20" t="s">
        <v>118</v>
      </c>
      <c r="D26" s="20" t="s">
        <v>140</v>
      </c>
      <c r="E26" s="20" t="s">
        <v>144</v>
      </c>
      <c r="F26" s="20" t="s">
        <v>147</v>
      </c>
      <c r="G26" s="26">
        <v>50</v>
      </c>
      <c r="H26" s="173"/>
    </row>
    <row r="27" spans="1:8" ht="31.5" x14ac:dyDescent="0.25">
      <c r="A27" s="19" t="s">
        <v>148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3"/>
    </row>
    <row r="28" spans="1:8" ht="15.75" x14ac:dyDescent="0.25">
      <c r="A28" s="23" t="s">
        <v>117</v>
      </c>
      <c r="B28" s="19">
        <v>902</v>
      </c>
      <c r="C28" s="24" t="s">
        <v>118</v>
      </c>
      <c r="D28" s="20"/>
      <c r="E28" s="20"/>
      <c r="F28" s="20"/>
      <c r="G28" s="21">
        <f>G29+G48+G56</f>
        <v>66062.7</v>
      </c>
      <c r="H28" s="173"/>
    </row>
    <row r="29" spans="1:8" ht="78.75" x14ac:dyDescent="0.25">
      <c r="A29" s="23" t="s">
        <v>149</v>
      </c>
      <c r="B29" s="19">
        <v>902</v>
      </c>
      <c r="C29" s="24" t="s">
        <v>118</v>
      </c>
      <c r="D29" s="24" t="s">
        <v>150</v>
      </c>
      <c r="E29" s="24"/>
      <c r="F29" s="24"/>
      <c r="G29" s="21">
        <f>G30</f>
        <v>51508.2</v>
      </c>
      <c r="H29" s="173"/>
    </row>
    <row r="30" spans="1:8" ht="15.75" x14ac:dyDescent="0.25">
      <c r="A30" s="25" t="s">
        <v>121</v>
      </c>
      <c r="B30" s="16">
        <v>902</v>
      </c>
      <c r="C30" s="20" t="s">
        <v>118</v>
      </c>
      <c r="D30" s="20" t="s">
        <v>150</v>
      </c>
      <c r="E30" s="20" t="s">
        <v>122</v>
      </c>
      <c r="F30" s="20"/>
      <c r="G30" s="27">
        <f>G31+G42</f>
        <v>51508.2</v>
      </c>
      <c r="H30" s="173"/>
    </row>
    <row r="31" spans="1:8" ht="31.5" x14ac:dyDescent="0.25">
      <c r="A31" s="25" t="s">
        <v>123</v>
      </c>
      <c r="B31" s="16">
        <v>902</v>
      </c>
      <c r="C31" s="20" t="s">
        <v>118</v>
      </c>
      <c r="D31" s="20" t="s">
        <v>150</v>
      </c>
      <c r="E31" s="20" t="s">
        <v>124</v>
      </c>
      <c r="F31" s="20"/>
      <c r="G31" s="27">
        <f>G32+G39</f>
        <v>43489.2</v>
      </c>
      <c r="H31" s="173"/>
    </row>
    <row r="32" spans="1:8" ht="47.25" x14ac:dyDescent="0.25">
      <c r="A32" s="25" t="s">
        <v>125</v>
      </c>
      <c r="B32" s="16">
        <v>902</v>
      </c>
      <c r="C32" s="20" t="s">
        <v>118</v>
      </c>
      <c r="D32" s="20" t="s">
        <v>150</v>
      </c>
      <c r="E32" s="20" t="s">
        <v>126</v>
      </c>
      <c r="F32" s="20"/>
      <c r="G32" s="26">
        <f>G33+G35+G37</f>
        <v>39943.599999999999</v>
      </c>
      <c r="H32" s="173"/>
    </row>
    <row r="33" spans="1:10" ht="94.5" x14ac:dyDescent="0.25">
      <c r="A33" s="25" t="s">
        <v>127</v>
      </c>
      <c r="B33" s="16">
        <v>902</v>
      </c>
      <c r="C33" s="20" t="s">
        <v>118</v>
      </c>
      <c r="D33" s="20" t="s">
        <v>150</v>
      </c>
      <c r="E33" s="20" t="s">
        <v>126</v>
      </c>
      <c r="F33" s="20" t="s">
        <v>128</v>
      </c>
      <c r="G33" s="26">
        <f>G34</f>
        <v>34230.5</v>
      </c>
      <c r="H33" s="173"/>
    </row>
    <row r="34" spans="1:10" ht="31.5" x14ac:dyDescent="0.25">
      <c r="A34" s="25" t="s">
        <v>129</v>
      </c>
      <c r="B34" s="16">
        <v>902</v>
      </c>
      <c r="C34" s="20" t="s">
        <v>118</v>
      </c>
      <c r="D34" s="20" t="s">
        <v>150</v>
      </c>
      <c r="E34" s="20" t="s">
        <v>126</v>
      </c>
      <c r="F34" s="20" t="s">
        <v>130</v>
      </c>
      <c r="G34" s="153">
        <f>36517.7-553.5-1733.7</f>
        <v>34230.5</v>
      </c>
      <c r="H34" s="154" t="s">
        <v>715</v>
      </c>
      <c r="J34" s="168" t="s">
        <v>757</v>
      </c>
    </row>
    <row r="35" spans="1:10" ht="31.5" x14ac:dyDescent="0.25">
      <c r="A35" s="25" t="s">
        <v>131</v>
      </c>
      <c r="B35" s="16">
        <v>902</v>
      </c>
      <c r="C35" s="20" t="s">
        <v>118</v>
      </c>
      <c r="D35" s="20" t="s">
        <v>150</v>
      </c>
      <c r="E35" s="20" t="s">
        <v>126</v>
      </c>
      <c r="F35" s="20" t="s">
        <v>132</v>
      </c>
      <c r="G35" s="26">
        <f>G36</f>
        <v>5592.4</v>
      </c>
      <c r="H35" s="173"/>
    </row>
    <row r="36" spans="1:10" ht="47.25" x14ac:dyDescent="0.25">
      <c r="A36" s="25" t="s">
        <v>133</v>
      </c>
      <c r="B36" s="16">
        <v>902</v>
      </c>
      <c r="C36" s="20" t="s">
        <v>118</v>
      </c>
      <c r="D36" s="20" t="s">
        <v>150</v>
      </c>
      <c r="E36" s="20" t="s">
        <v>126</v>
      </c>
      <c r="F36" s="20" t="s">
        <v>134</v>
      </c>
      <c r="G36" s="27">
        <f>3962.7+1800-140.3-30</f>
        <v>5592.4</v>
      </c>
      <c r="H36" s="105"/>
      <c r="I36" s="124"/>
    </row>
    <row r="37" spans="1:10" ht="15.75" x14ac:dyDescent="0.25">
      <c r="A37" s="25" t="s">
        <v>135</v>
      </c>
      <c r="B37" s="16">
        <v>902</v>
      </c>
      <c r="C37" s="20" t="s">
        <v>118</v>
      </c>
      <c r="D37" s="20" t="s">
        <v>150</v>
      </c>
      <c r="E37" s="20" t="s">
        <v>126</v>
      </c>
      <c r="F37" s="20" t="s">
        <v>145</v>
      </c>
      <c r="G37" s="26">
        <f>G38</f>
        <v>120.7</v>
      </c>
      <c r="H37" s="173"/>
    </row>
    <row r="38" spans="1:10" ht="15.75" x14ac:dyDescent="0.25">
      <c r="A38" s="25" t="s">
        <v>568</v>
      </c>
      <c r="B38" s="16">
        <v>902</v>
      </c>
      <c r="C38" s="20" t="s">
        <v>118</v>
      </c>
      <c r="D38" s="20" t="s">
        <v>150</v>
      </c>
      <c r="E38" s="20" t="s">
        <v>126</v>
      </c>
      <c r="F38" s="20" t="s">
        <v>138</v>
      </c>
      <c r="G38" s="27">
        <f>90.7+30</f>
        <v>120.7</v>
      </c>
      <c r="H38" s="105"/>
      <c r="I38" s="123"/>
    </row>
    <row r="39" spans="1:10" ht="31.5" x14ac:dyDescent="0.25">
      <c r="A39" s="25" t="s">
        <v>151</v>
      </c>
      <c r="B39" s="16">
        <v>902</v>
      </c>
      <c r="C39" s="20" t="s">
        <v>118</v>
      </c>
      <c r="D39" s="20" t="s">
        <v>150</v>
      </c>
      <c r="E39" s="20" t="s">
        <v>152</v>
      </c>
      <c r="F39" s="20"/>
      <c r="G39" s="26">
        <f>G40</f>
        <v>3545.6</v>
      </c>
      <c r="H39" s="173"/>
    </row>
    <row r="40" spans="1:10" ht="94.5" x14ac:dyDescent="0.25">
      <c r="A40" s="25" t="s">
        <v>127</v>
      </c>
      <c r="B40" s="16">
        <v>902</v>
      </c>
      <c r="C40" s="20" t="s">
        <v>118</v>
      </c>
      <c r="D40" s="20" t="s">
        <v>150</v>
      </c>
      <c r="E40" s="20" t="s">
        <v>152</v>
      </c>
      <c r="F40" s="20" t="s">
        <v>128</v>
      </c>
      <c r="G40" s="26">
        <f>G41</f>
        <v>3545.6</v>
      </c>
      <c r="H40" s="173"/>
    </row>
    <row r="41" spans="1:10" ht="31.5" x14ac:dyDescent="0.25">
      <c r="A41" s="25" t="s">
        <v>129</v>
      </c>
      <c r="B41" s="16">
        <v>902</v>
      </c>
      <c r="C41" s="20" t="s">
        <v>118</v>
      </c>
      <c r="D41" s="20" t="s">
        <v>150</v>
      </c>
      <c r="E41" s="20" t="s">
        <v>152</v>
      </c>
      <c r="F41" s="20" t="s">
        <v>130</v>
      </c>
      <c r="G41" s="27">
        <v>3545.6</v>
      </c>
      <c r="H41" s="173"/>
    </row>
    <row r="42" spans="1:10" ht="15.75" x14ac:dyDescent="0.25">
      <c r="A42" s="25" t="s">
        <v>141</v>
      </c>
      <c r="B42" s="16">
        <v>902</v>
      </c>
      <c r="C42" s="20" t="s">
        <v>118</v>
      </c>
      <c r="D42" s="20" t="s">
        <v>150</v>
      </c>
      <c r="E42" s="20" t="s">
        <v>142</v>
      </c>
      <c r="F42" s="20"/>
      <c r="G42" s="28">
        <f>G43</f>
        <v>8019</v>
      </c>
      <c r="H42" s="173"/>
    </row>
    <row r="43" spans="1:10" ht="31.5" x14ac:dyDescent="0.25">
      <c r="A43" s="25" t="s">
        <v>153</v>
      </c>
      <c r="B43" s="16">
        <v>902</v>
      </c>
      <c r="C43" s="20" t="s">
        <v>118</v>
      </c>
      <c r="D43" s="20" t="s">
        <v>150</v>
      </c>
      <c r="E43" s="20" t="s">
        <v>154</v>
      </c>
      <c r="F43" s="20"/>
      <c r="G43" s="26">
        <f>G44+G46</f>
        <v>8019</v>
      </c>
      <c r="H43" s="173"/>
    </row>
    <row r="44" spans="1:10" ht="94.5" x14ac:dyDescent="0.25">
      <c r="A44" s="25" t="s">
        <v>127</v>
      </c>
      <c r="B44" s="16">
        <v>902</v>
      </c>
      <c r="C44" s="20" t="s">
        <v>118</v>
      </c>
      <c r="D44" s="20" t="s">
        <v>150</v>
      </c>
      <c r="E44" s="20" t="s">
        <v>154</v>
      </c>
      <c r="F44" s="20" t="s">
        <v>128</v>
      </c>
      <c r="G44" s="26">
        <f>G45</f>
        <v>5761.2</v>
      </c>
      <c r="H44" s="173"/>
    </row>
    <row r="45" spans="1:10" ht="31.5" x14ac:dyDescent="0.25">
      <c r="A45" s="25" t="s">
        <v>129</v>
      </c>
      <c r="B45" s="16">
        <v>902</v>
      </c>
      <c r="C45" s="20" t="s">
        <v>118</v>
      </c>
      <c r="D45" s="20" t="s">
        <v>150</v>
      </c>
      <c r="E45" s="20" t="s">
        <v>154</v>
      </c>
      <c r="F45" s="20" t="s">
        <v>130</v>
      </c>
      <c r="G45" s="153">
        <f>6958.6+88.4-2398.3+1112.5</f>
        <v>5761.2</v>
      </c>
      <c r="H45" s="105" t="s">
        <v>716</v>
      </c>
      <c r="I45" s="123"/>
      <c r="J45" s="167" t="s">
        <v>758</v>
      </c>
    </row>
    <row r="46" spans="1:10" ht="31.5" x14ac:dyDescent="0.25">
      <c r="A46" s="25" t="s">
        <v>131</v>
      </c>
      <c r="B46" s="16">
        <v>902</v>
      </c>
      <c r="C46" s="20" t="s">
        <v>118</v>
      </c>
      <c r="D46" s="20" t="s">
        <v>150</v>
      </c>
      <c r="E46" s="20" t="s">
        <v>154</v>
      </c>
      <c r="F46" s="20" t="s">
        <v>132</v>
      </c>
      <c r="G46" s="26">
        <f>G47</f>
        <v>2257.8000000000002</v>
      </c>
      <c r="H46" s="173"/>
    </row>
    <row r="47" spans="1:10" ht="47.25" x14ac:dyDescent="0.25">
      <c r="A47" s="25" t="s">
        <v>133</v>
      </c>
      <c r="B47" s="16">
        <v>902</v>
      </c>
      <c r="C47" s="20" t="s">
        <v>118</v>
      </c>
      <c r="D47" s="20" t="s">
        <v>150</v>
      </c>
      <c r="E47" s="20" t="s">
        <v>154</v>
      </c>
      <c r="F47" s="20" t="s">
        <v>134</v>
      </c>
      <c r="G47" s="153">
        <f>2109.3+129.9+835.5-1438.1+621.2</f>
        <v>2257.8000000000002</v>
      </c>
      <c r="H47" s="105" t="s">
        <v>717</v>
      </c>
      <c r="I47" s="124"/>
    </row>
    <row r="48" spans="1:10" ht="63" x14ac:dyDescent="0.25">
      <c r="A48" s="23" t="s">
        <v>119</v>
      </c>
      <c r="B48" s="19">
        <v>902</v>
      </c>
      <c r="C48" s="24" t="s">
        <v>118</v>
      </c>
      <c r="D48" s="24" t="s">
        <v>120</v>
      </c>
      <c r="E48" s="24"/>
      <c r="F48" s="20"/>
      <c r="G48" s="21">
        <f>G49</f>
        <v>1081.7</v>
      </c>
      <c r="H48" s="173"/>
    </row>
    <row r="49" spans="1:11" ht="21.2" customHeight="1" x14ac:dyDescent="0.25">
      <c r="A49" s="25" t="s">
        <v>121</v>
      </c>
      <c r="B49" s="16">
        <v>902</v>
      </c>
      <c r="C49" s="20" t="s">
        <v>118</v>
      </c>
      <c r="D49" s="20" t="s">
        <v>120</v>
      </c>
      <c r="E49" s="20" t="s">
        <v>122</v>
      </c>
      <c r="F49" s="20"/>
      <c r="G49" s="26">
        <f>G50</f>
        <v>1081.7</v>
      </c>
      <c r="H49" s="173"/>
    </row>
    <row r="50" spans="1:11" ht="31.5" x14ac:dyDescent="0.25">
      <c r="A50" s="25" t="s">
        <v>123</v>
      </c>
      <c r="B50" s="16">
        <v>902</v>
      </c>
      <c r="C50" s="20" t="s">
        <v>118</v>
      </c>
      <c r="D50" s="20" t="s">
        <v>120</v>
      </c>
      <c r="E50" s="20" t="s">
        <v>124</v>
      </c>
      <c r="F50" s="20"/>
      <c r="G50" s="26">
        <f>G51</f>
        <v>1081.7</v>
      </c>
      <c r="H50" s="173"/>
      <c r="K50" s="26"/>
    </row>
    <row r="51" spans="1:11" ht="47.25" x14ac:dyDescent="0.25">
      <c r="A51" s="25" t="s">
        <v>125</v>
      </c>
      <c r="B51" s="16">
        <v>902</v>
      </c>
      <c r="C51" s="20" t="s">
        <v>118</v>
      </c>
      <c r="D51" s="20" t="s">
        <v>120</v>
      </c>
      <c r="E51" s="20" t="s">
        <v>126</v>
      </c>
      <c r="F51" s="20"/>
      <c r="G51" s="26">
        <f>G52+G54</f>
        <v>1081.7</v>
      </c>
      <c r="H51" s="173"/>
      <c r="K51" s="26"/>
    </row>
    <row r="52" spans="1:11" ht="94.5" x14ac:dyDescent="0.25">
      <c r="A52" s="25" t="s">
        <v>127</v>
      </c>
      <c r="B52" s="16">
        <v>902</v>
      </c>
      <c r="C52" s="20" t="s">
        <v>118</v>
      </c>
      <c r="D52" s="20" t="s">
        <v>120</v>
      </c>
      <c r="E52" s="20" t="s">
        <v>126</v>
      </c>
      <c r="F52" s="20" t="s">
        <v>128</v>
      </c>
      <c r="G52" s="26">
        <f>G53</f>
        <v>1081.7</v>
      </c>
      <c r="H52" s="173"/>
      <c r="K52" s="27"/>
    </row>
    <row r="53" spans="1:11" ht="31.5" x14ac:dyDescent="0.25">
      <c r="A53" s="25" t="s">
        <v>129</v>
      </c>
      <c r="B53" s="16">
        <v>902</v>
      </c>
      <c r="C53" s="20" t="s">
        <v>118</v>
      </c>
      <c r="D53" s="20" t="s">
        <v>120</v>
      </c>
      <c r="E53" s="20" t="s">
        <v>126</v>
      </c>
      <c r="F53" s="20" t="s">
        <v>130</v>
      </c>
      <c r="G53" s="27">
        <f>1081.7</f>
        <v>1081.7</v>
      </c>
      <c r="H53" s="173"/>
      <c r="I53" s="114"/>
      <c r="K53" s="26"/>
    </row>
    <row r="54" spans="1:11" ht="31.5" hidden="1" x14ac:dyDescent="0.25">
      <c r="A54" s="25" t="s">
        <v>131</v>
      </c>
      <c r="B54" s="16">
        <v>902</v>
      </c>
      <c r="C54" s="20" t="s">
        <v>118</v>
      </c>
      <c r="D54" s="20" t="s">
        <v>120</v>
      </c>
      <c r="E54" s="20" t="s">
        <v>126</v>
      </c>
      <c r="F54" s="20" t="s">
        <v>132</v>
      </c>
      <c r="G54" s="27">
        <f>G55</f>
        <v>0</v>
      </c>
      <c r="H54" s="173"/>
      <c r="K54" s="26"/>
    </row>
    <row r="55" spans="1:11" ht="47.25" hidden="1" x14ac:dyDescent="0.25">
      <c r="A55" s="25" t="s">
        <v>133</v>
      </c>
      <c r="B55" s="16">
        <v>902</v>
      </c>
      <c r="C55" s="20" t="s">
        <v>118</v>
      </c>
      <c r="D55" s="20" t="s">
        <v>120</v>
      </c>
      <c r="E55" s="20" t="s">
        <v>126</v>
      </c>
      <c r="F55" s="20" t="s">
        <v>134</v>
      </c>
      <c r="G55" s="27"/>
      <c r="H55" s="173"/>
      <c r="I55" s="114"/>
      <c r="K55" s="26"/>
    </row>
    <row r="56" spans="1:11" ht="15.75" x14ac:dyDescent="0.25">
      <c r="A56" s="23" t="s">
        <v>139</v>
      </c>
      <c r="B56" s="19">
        <v>902</v>
      </c>
      <c r="C56" s="24" t="s">
        <v>118</v>
      </c>
      <c r="D56" s="24" t="s">
        <v>140</v>
      </c>
      <c r="E56" s="24"/>
      <c r="F56" s="24"/>
      <c r="G56" s="21">
        <f>G57+G61+G73+G86+G97+G90</f>
        <v>13472.8</v>
      </c>
      <c r="H56" s="173"/>
      <c r="I56" s="113"/>
      <c r="K56" s="26"/>
    </row>
    <row r="57" spans="1:11" ht="63" x14ac:dyDescent="0.25">
      <c r="A57" s="25" t="s">
        <v>155</v>
      </c>
      <c r="B57" s="16">
        <v>902</v>
      </c>
      <c r="C57" s="20" t="s">
        <v>118</v>
      </c>
      <c r="D57" s="20" t="s">
        <v>140</v>
      </c>
      <c r="E57" s="20" t="s">
        <v>156</v>
      </c>
      <c r="F57" s="20"/>
      <c r="G57" s="26">
        <f>G58</f>
        <v>250</v>
      </c>
      <c r="H57" s="173"/>
    </row>
    <row r="58" spans="1:11" ht="31.5" x14ac:dyDescent="0.25">
      <c r="A58" s="25" t="s">
        <v>157</v>
      </c>
      <c r="B58" s="16">
        <v>902</v>
      </c>
      <c r="C58" s="20" t="s">
        <v>118</v>
      </c>
      <c r="D58" s="20" t="s">
        <v>140</v>
      </c>
      <c r="E58" s="20" t="s">
        <v>158</v>
      </c>
      <c r="F58" s="20"/>
      <c r="G58" s="26">
        <f>G59</f>
        <v>250</v>
      </c>
      <c r="H58" s="173"/>
    </row>
    <row r="59" spans="1:11" ht="15.75" x14ac:dyDescent="0.25">
      <c r="A59" s="25" t="s">
        <v>135</v>
      </c>
      <c r="B59" s="16">
        <v>902</v>
      </c>
      <c r="C59" s="20" t="s">
        <v>118</v>
      </c>
      <c r="D59" s="20" t="s">
        <v>140</v>
      </c>
      <c r="E59" s="20" t="s">
        <v>158</v>
      </c>
      <c r="F59" s="20" t="s">
        <v>145</v>
      </c>
      <c r="G59" s="26">
        <f>G60</f>
        <v>250</v>
      </c>
      <c r="H59" s="173"/>
    </row>
    <row r="60" spans="1:11" ht="78.75" x14ac:dyDescent="0.25">
      <c r="A60" s="25" t="s">
        <v>159</v>
      </c>
      <c r="B60" s="16">
        <v>902</v>
      </c>
      <c r="C60" s="20" t="s">
        <v>118</v>
      </c>
      <c r="D60" s="20" t="s">
        <v>140</v>
      </c>
      <c r="E60" s="20" t="s">
        <v>158</v>
      </c>
      <c r="F60" s="20" t="s">
        <v>160</v>
      </c>
      <c r="G60" s="26">
        <f>100+150</f>
        <v>250</v>
      </c>
      <c r="H60" s="173"/>
      <c r="I60" s="114"/>
    </row>
    <row r="61" spans="1:11" ht="47.25" x14ac:dyDescent="0.25">
      <c r="A61" s="25" t="s">
        <v>161</v>
      </c>
      <c r="B61" s="16">
        <v>902</v>
      </c>
      <c r="C61" s="20" t="s">
        <v>118</v>
      </c>
      <c r="D61" s="20" t="s">
        <v>140</v>
      </c>
      <c r="E61" s="20" t="s">
        <v>162</v>
      </c>
      <c r="F61" s="20"/>
      <c r="G61" s="26">
        <f>G62+G65+G70</f>
        <v>653.5</v>
      </c>
      <c r="H61" s="173"/>
    </row>
    <row r="62" spans="1:11" ht="31.5" x14ac:dyDescent="0.25">
      <c r="A62" s="29" t="s">
        <v>163</v>
      </c>
      <c r="B62" s="16">
        <v>902</v>
      </c>
      <c r="C62" s="20" t="s">
        <v>118</v>
      </c>
      <c r="D62" s="20" t="s">
        <v>140</v>
      </c>
      <c r="E62" s="40" t="s">
        <v>164</v>
      </c>
      <c r="F62" s="20"/>
      <c r="G62" s="26">
        <f>G63</f>
        <v>428.1</v>
      </c>
      <c r="H62" s="173"/>
    </row>
    <row r="63" spans="1:11" ht="31.5" x14ac:dyDescent="0.25">
      <c r="A63" s="25" t="s">
        <v>131</v>
      </c>
      <c r="B63" s="16">
        <v>902</v>
      </c>
      <c r="C63" s="20" t="s">
        <v>118</v>
      </c>
      <c r="D63" s="20" t="s">
        <v>140</v>
      </c>
      <c r="E63" s="40" t="s">
        <v>164</v>
      </c>
      <c r="F63" s="20" t="s">
        <v>132</v>
      </c>
      <c r="G63" s="26">
        <f>G64</f>
        <v>428.1</v>
      </c>
      <c r="H63" s="173"/>
    </row>
    <row r="64" spans="1:11" ht="47.25" x14ac:dyDescent="0.25">
      <c r="A64" s="25" t="s">
        <v>133</v>
      </c>
      <c r="B64" s="16">
        <v>902</v>
      </c>
      <c r="C64" s="20" t="s">
        <v>118</v>
      </c>
      <c r="D64" s="20" t="s">
        <v>140</v>
      </c>
      <c r="E64" s="40" t="s">
        <v>164</v>
      </c>
      <c r="F64" s="20" t="s">
        <v>134</v>
      </c>
      <c r="G64" s="26">
        <f>494.3-66.2</f>
        <v>428.1</v>
      </c>
      <c r="H64" s="173"/>
    </row>
    <row r="65" spans="1:8" ht="63" x14ac:dyDescent="0.25">
      <c r="A65" s="174" t="s">
        <v>165</v>
      </c>
      <c r="B65" s="16">
        <v>902</v>
      </c>
      <c r="C65" s="20" t="s">
        <v>118</v>
      </c>
      <c r="D65" s="20" t="s">
        <v>140</v>
      </c>
      <c r="E65" s="40" t="s">
        <v>166</v>
      </c>
      <c r="F65" s="20"/>
      <c r="G65" s="26">
        <f>G66+G68</f>
        <v>224.89999999999998</v>
      </c>
      <c r="H65" s="173"/>
    </row>
    <row r="66" spans="1:8" ht="94.5" x14ac:dyDescent="0.25">
      <c r="A66" s="25" t="s">
        <v>127</v>
      </c>
      <c r="B66" s="16">
        <v>902</v>
      </c>
      <c r="C66" s="20" t="s">
        <v>118</v>
      </c>
      <c r="D66" s="20" t="s">
        <v>140</v>
      </c>
      <c r="E66" s="40" t="s">
        <v>166</v>
      </c>
      <c r="F66" s="20" t="s">
        <v>128</v>
      </c>
      <c r="G66" s="26">
        <f>G67</f>
        <v>159.69999999999999</v>
      </c>
      <c r="H66" s="173"/>
    </row>
    <row r="67" spans="1:8" ht="31.5" x14ac:dyDescent="0.25">
      <c r="A67" s="25" t="s">
        <v>129</v>
      </c>
      <c r="B67" s="16">
        <v>902</v>
      </c>
      <c r="C67" s="20" t="s">
        <v>118</v>
      </c>
      <c r="D67" s="20" t="s">
        <v>140</v>
      </c>
      <c r="E67" s="40" t="s">
        <v>166</v>
      </c>
      <c r="F67" s="20" t="s">
        <v>130</v>
      </c>
      <c r="G67" s="26">
        <v>159.69999999999999</v>
      </c>
      <c r="H67" s="173"/>
    </row>
    <row r="68" spans="1:8" ht="31.5" x14ac:dyDescent="0.25">
      <c r="A68" s="25" t="s">
        <v>131</v>
      </c>
      <c r="B68" s="16">
        <v>902</v>
      </c>
      <c r="C68" s="20" t="s">
        <v>118</v>
      </c>
      <c r="D68" s="20" t="s">
        <v>140</v>
      </c>
      <c r="E68" s="40" t="s">
        <v>166</v>
      </c>
      <c r="F68" s="20" t="s">
        <v>132</v>
      </c>
      <c r="G68" s="26">
        <f>G69</f>
        <v>65.2</v>
      </c>
      <c r="H68" s="173"/>
    </row>
    <row r="69" spans="1:8" ht="47.25" x14ac:dyDescent="0.25">
      <c r="A69" s="25" t="s">
        <v>133</v>
      </c>
      <c r="B69" s="16">
        <v>902</v>
      </c>
      <c r="C69" s="20" t="s">
        <v>118</v>
      </c>
      <c r="D69" s="20" t="s">
        <v>140</v>
      </c>
      <c r="E69" s="40" t="s">
        <v>166</v>
      </c>
      <c r="F69" s="20" t="s">
        <v>134</v>
      </c>
      <c r="G69" s="26">
        <f>66.2-0.5-0.5</f>
        <v>65.2</v>
      </c>
      <c r="H69" s="105"/>
    </row>
    <row r="70" spans="1:8" ht="47.25" x14ac:dyDescent="0.25">
      <c r="A70" s="33" t="s">
        <v>191</v>
      </c>
      <c r="B70" s="16">
        <v>902</v>
      </c>
      <c r="C70" s="20" t="s">
        <v>118</v>
      </c>
      <c r="D70" s="20" t="s">
        <v>140</v>
      </c>
      <c r="E70" s="40" t="s">
        <v>682</v>
      </c>
      <c r="F70" s="20"/>
      <c r="G70" s="26">
        <f>G71</f>
        <v>0.5</v>
      </c>
      <c r="H70" s="107"/>
    </row>
    <row r="71" spans="1:8" ht="31.5" x14ac:dyDescent="0.25">
      <c r="A71" s="25" t="s">
        <v>131</v>
      </c>
      <c r="B71" s="16">
        <v>902</v>
      </c>
      <c r="C71" s="20" t="s">
        <v>118</v>
      </c>
      <c r="D71" s="20" t="s">
        <v>140</v>
      </c>
      <c r="E71" s="40" t="s">
        <v>682</v>
      </c>
      <c r="F71" s="20" t="s">
        <v>132</v>
      </c>
      <c r="G71" s="26">
        <f>G72</f>
        <v>0.5</v>
      </c>
      <c r="H71" s="173"/>
    </row>
    <row r="72" spans="1:8" ht="47.25" x14ac:dyDescent="0.25">
      <c r="A72" s="25" t="s">
        <v>133</v>
      </c>
      <c r="B72" s="16">
        <v>902</v>
      </c>
      <c r="C72" s="20" t="s">
        <v>118</v>
      </c>
      <c r="D72" s="20" t="s">
        <v>140</v>
      </c>
      <c r="E72" s="40" t="s">
        <v>682</v>
      </c>
      <c r="F72" s="20" t="s">
        <v>134</v>
      </c>
      <c r="G72" s="26">
        <v>0.5</v>
      </c>
      <c r="H72" s="105"/>
    </row>
    <row r="73" spans="1:8" ht="94.5" x14ac:dyDescent="0.25">
      <c r="A73" s="29" t="s">
        <v>167</v>
      </c>
      <c r="B73" s="16">
        <v>902</v>
      </c>
      <c r="C73" s="9" t="s">
        <v>118</v>
      </c>
      <c r="D73" s="9" t="s">
        <v>140</v>
      </c>
      <c r="E73" s="5" t="s">
        <v>168</v>
      </c>
      <c r="F73" s="9"/>
      <c r="G73" s="26">
        <f>G74+G78+G82</f>
        <v>80</v>
      </c>
      <c r="H73" s="173"/>
    </row>
    <row r="74" spans="1:8" ht="78.75" x14ac:dyDescent="0.25">
      <c r="A74" s="29" t="s">
        <v>169</v>
      </c>
      <c r="B74" s="16">
        <v>902</v>
      </c>
      <c r="C74" s="9" t="s">
        <v>118</v>
      </c>
      <c r="D74" s="9" t="s">
        <v>140</v>
      </c>
      <c r="E74" s="30" t="s">
        <v>170</v>
      </c>
      <c r="F74" s="9"/>
      <c r="G74" s="26">
        <f>G75</f>
        <v>15</v>
      </c>
      <c r="H74" s="173"/>
    </row>
    <row r="75" spans="1:8" ht="31.5" x14ac:dyDescent="0.25">
      <c r="A75" s="174" t="s">
        <v>171</v>
      </c>
      <c r="B75" s="16">
        <v>902</v>
      </c>
      <c r="C75" s="9" t="s">
        <v>118</v>
      </c>
      <c r="D75" s="9" t="s">
        <v>140</v>
      </c>
      <c r="E75" s="5" t="s">
        <v>172</v>
      </c>
      <c r="F75" s="9"/>
      <c r="G75" s="26">
        <f>G76</f>
        <v>15</v>
      </c>
      <c r="H75" s="173"/>
    </row>
    <row r="76" spans="1:8" ht="31.5" x14ac:dyDescent="0.25">
      <c r="A76" s="25" t="s">
        <v>131</v>
      </c>
      <c r="B76" s="16">
        <v>902</v>
      </c>
      <c r="C76" s="9" t="s">
        <v>118</v>
      </c>
      <c r="D76" s="9" t="s">
        <v>140</v>
      </c>
      <c r="E76" s="5" t="s">
        <v>172</v>
      </c>
      <c r="F76" s="9" t="s">
        <v>132</v>
      </c>
      <c r="G76" s="26">
        <f>G77</f>
        <v>15</v>
      </c>
      <c r="H76" s="173"/>
    </row>
    <row r="77" spans="1:8" ht="47.25" x14ac:dyDescent="0.25">
      <c r="A77" s="25" t="s">
        <v>133</v>
      </c>
      <c r="B77" s="16">
        <v>902</v>
      </c>
      <c r="C77" s="9" t="s">
        <v>118</v>
      </c>
      <c r="D77" s="9" t="s">
        <v>140</v>
      </c>
      <c r="E77" s="5" t="s">
        <v>172</v>
      </c>
      <c r="F77" s="9" t="s">
        <v>134</v>
      </c>
      <c r="G77" s="26">
        <v>15</v>
      </c>
      <c r="H77" s="173"/>
    </row>
    <row r="78" spans="1:8" ht="63" x14ac:dyDescent="0.25">
      <c r="A78" s="29" t="s">
        <v>173</v>
      </c>
      <c r="B78" s="16">
        <v>902</v>
      </c>
      <c r="C78" s="9" t="s">
        <v>118</v>
      </c>
      <c r="D78" s="9" t="s">
        <v>140</v>
      </c>
      <c r="E78" s="30" t="s">
        <v>174</v>
      </c>
      <c r="F78" s="9"/>
      <c r="G78" s="26">
        <f>G79</f>
        <v>50</v>
      </c>
      <c r="H78" s="173"/>
    </row>
    <row r="79" spans="1:8" ht="31.5" x14ac:dyDescent="0.25">
      <c r="A79" s="45" t="s">
        <v>175</v>
      </c>
      <c r="B79" s="16">
        <v>902</v>
      </c>
      <c r="C79" s="9" t="s">
        <v>118</v>
      </c>
      <c r="D79" s="9" t="s">
        <v>140</v>
      </c>
      <c r="E79" s="5" t="s">
        <v>176</v>
      </c>
      <c r="F79" s="9"/>
      <c r="G79" s="26">
        <f>G80</f>
        <v>50</v>
      </c>
      <c r="H79" s="173"/>
    </row>
    <row r="80" spans="1:8" ht="31.5" x14ac:dyDescent="0.25">
      <c r="A80" s="25" t="s">
        <v>131</v>
      </c>
      <c r="B80" s="16">
        <v>902</v>
      </c>
      <c r="C80" s="9" t="s">
        <v>118</v>
      </c>
      <c r="D80" s="9" t="s">
        <v>140</v>
      </c>
      <c r="E80" s="5" t="s">
        <v>176</v>
      </c>
      <c r="F80" s="9" t="s">
        <v>132</v>
      </c>
      <c r="G80" s="26">
        <f>G81</f>
        <v>50</v>
      </c>
      <c r="H80" s="173"/>
    </row>
    <row r="81" spans="1:9" ht="47.25" x14ac:dyDescent="0.25">
      <c r="A81" s="25" t="s">
        <v>133</v>
      </c>
      <c r="B81" s="16">
        <v>902</v>
      </c>
      <c r="C81" s="9" t="s">
        <v>118</v>
      </c>
      <c r="D81" s="9" t="s">
        <v>140</v>
      </c>
      <c r="E81" s="5" t="s">
        <v>176</v>
      </c>
      <c r="F81" s="9" t="s">
        <v>134</v>
      </c>
      <c r="G81" s="26">
        <v>50</v>
      </c>
      <c r="H81" s="173"/>
    </row>
    <row r="82" spans="1:9" ht="47.25" x14ac:dyDescent="0.25">
      <c r="A82" s="25" t="s">
        <v>177</v>
      </c>
      <c r="B82" s="16">
        <v>902</v>
      </c>
      <c r="C82" s="9" t="s">
        <v>118</v>
      </c>
      <c r="D82" s="9" t="s">
        <v>140</v>
      </c>
      <c r="E82" s="5" t="s">
        <v>178</v>
      </c>
      <c r="F82" s="9"/>
      <c r="G82" s="26">
        <f>G83</f>
        <v>15</v>
      </c>
      <c r="H82" s="173"/>
    </row>
    <row r="83" spans="1:9" ht="15.75" x14ac:dyDescent="0.25">
      <c r="A83" s="45" t="s">
        <v>179</v>
      </c>
      <c r="B83" s="16">
        <v>902</v>
      </c>
      <c r="C83" s="9" t="s">
        <v>118</v>
      </c>
      <c r="D83" s="9" t="s">
        <v>140</v>
      </c>
      <c r="E83" s="5" t="s">
        <v>180</v>
      </c>
      <c r="F83" s="9"/>
      <c r="G83" s="26">
        <f>G84</f>
        <v>15</v>
      </c>
      <c r="H83" s="173"/>
    </row>
    <row r="84" spans="1:9" ht="31.5" x14ac:dyDescent="0.25">
      <c r="A84" s="25" t="s">
        <v>131</v>
      </c>
      <c r="B84" s="16">
        <v>902</v>
      </c>
      <c r="C84" s="9" t="s">
        <v>118</v>
      </c>
      <c r="D84" s="9" t="s">
        <v>140</v>
      </c>
      <c r="E84" s="5" t="s">
        <v>180</v>
      </c>
      <c r="F84" s="9" t="s">
        <v>132</v>
      </c>
      <c r="G84" s="26">
        <f>G85</f>
        <v>15</v>
      </c>
      <c r="H84" s="173"/>
    </row>
    <row r="85" spans="1:9" ht="47.25" x14ac:dyDescent="0.25">
      <c r="A85" s="25" t="s">
        <v>133</v>
      </c>
      <c r="B85" s="16">
        <v>902</v>
      </c>
      <c r="C85" s="9" t="s">
        <v>118</v>
      </c>
      <c r="D85" s="9" t="s">
        <v>140</v>
      </c>
      <c r="E85" s="5" t="s">
        <v>180</v>
      </c>
      <c r="F85" s="9" t="s">
        <v>134</v>
      </c>
      <c r="G85" s="26">
        <v>15</v>
      </c>
      <c r="H85" s="173"/>
    </row>
    <row r="86" spans="1:9" ht="47.25" x14ac:dyDescent="0.25">
      <c r="A86" s="31" t="s">
        <v>181</v>
      </c>
      <c r="B86" s="16">
        <v>902</v>
      </c>
      <c r="C86" s="20" t="s">
        <v>118</v>
      </c>
      <c r="D86" s="20" t="s">
        <v>140</v>
      </c>
      <c r="E86" s="30" t="s">
        <v>182</v>
      </c>
      <c r="F86" s="32"/>
      <c r="G86" s="26">
        <f>G87</f>
        <v>120</v>
      </c>
      <c r="H86" s="173"/>
    </row>
    <row r="87" spans="1:9" ht="31.5" x14ac:dyDescent="0.25">
      <c r="A87" s="25" t="s">
        <v>157</v>
      </c>
      <c r="B87" s="16">
        <v>902</v>
      </c>
      <c r="C87" s="20" t="s">
        <v>118</v>
      </c>
      <c r="D87" s="20" t="s">
        <v>140</v>
      </c>
      <c r="E87" s="20" t="s">
        <v>183</v>
      </c>
      <c r="F87" s="32"/>
      <c r="G87" s="26">
        <f>G88</f>
        <v>120</v>
      </c>
      <c r="H87" s="173"/>
    </row>
    <row r="88" spans="1:9" ht="15.75" x14ac:dyDescent="0.25">
      <c r="A88" s="29" t="s">
        <v>135</v>
      </c>
      <c r="B88" s="16">
        <v>902</v>
      </c>
      <c r="C88" s="20" t="s">
        <v>118</v>
      </c>
      <c r="D88" s="20" t="s">
        <v>140</v>
      </c>
      <c r="E88" s="20" t="s">
        <v>183</v>
      </c>
      <c r="F88" s="32" t="s">
        <v>145</v>
      </c>
      <c r="G88" s="26">
        <f>G89</f>
        <v>120</v>
      </c>
      <c r="H88" s="173"/>
    </row>
    <row r="89" spans="1:9" ht="63" x14ac:dyDescent="0.25">
      <c r="A89" s="29" t="s">
        <v>184</v>
      </c>
      <c r="B89" s="16">
        <v>902</v>
      </c>
      <c r="C89" s="20" t="s">
        <v>118</v>
      </c>
      <c r="D89" s="20" t="s">
        <v>140</v>
      </c>
      <c r="E89" s="20" t="s">
        <v>183</v>
      </c>
      <c r="F89" s="32" t="s">
        <v>160</v>
      </c>
      <c r="G89" s="26">
        <f>100+20</f>
        <v>120</v>
      </c>
      <c r="H89" s="105"/>
      <c r="I89" s="125"/>
    </row>
    <row r="90" spans="1:9" ht="63" x14ac:dyDescent="0.25">
      <c r="A90" s="29" t="s">
        <v>707</v>
      </c>
      <c r="B90" s="16">
        <v>902</v>
      </c>
      <c r="C90" s="20" t="s">
        <v>118</v>
      </c>
      <c r="D90" s="20" t="s">
        <v>140</v>
      </c>
      <c r="E90" s="20" t="s">
        <v>705</v>
      </c>
      <c r="F90" s="32"/>
      <c r="G90" s="26">
        <f>G91</f>
        <v>29</v>
      </c>
      <c r="H90" s="107"/>
    </row>
    <row r="91" spans="1:9" ht="31.5" x14ac:dyDescent="0.25">
      <c r="A91" s="31" t="s">
        <v>157</v>
      </c>
      <c r="B91" s="16">
        <v>902</v>
      </c>
      <c r="C91" s="20" t="s">
        <v>118</v>
      </c>
      <c r="D91" s="20" t="s">
        <v>140</v>
      </c>
      <c r="E91" s="20" t="s">
        <v>713</v>
      </c>
      <c r="F91" s="32"/>
      <c r="G91" s="26">
        <f>G92</f>
        <v>29</v>
      </c>
      <c r="H91" s="107"/>
    </row>
    <row r="92" spans="1:9" ht="31.5" x14ac:dyDescent="0.25">
      <c r="A92" s="25" t="s">
        <v>131</v>
      </c>
      <c r="B92" s="16">
        <v>902</v>
      </c>
      <c r="C92" s="20" t="s">
        <v>118</v>
      </c>
      <c r="D92" s="20" t="s">
        <v>140</v>
      </c>
      <c r="E92" s="20" t="s">
        <v>713</v>
      </c>
      <c r="F92" s="32" t="s">
        <v>132</v>
      </c>
      <c r="G92" s="26">
        <f>G93</f>
        <v>29</v>
      </c>
      <c r="H92" s="107"/>
    </row>
    <row r="93" spans="1:9" ht="47.25" x14ac:dyDescent="0.25">
      <c r="A93" s="25" t="s">
        <v>133</v>
      </c>
      <c r="B93" s="16">
        <v>902</v>
      </c>
      <c r="C93" s="20" t="s">
        <v>118</v>
      </c>
      <c r="D93" s="20" t="s">
        <v>140</v>
      </c>
      <c r="E93" s="20" t="s">
        <v>713</v>
      </c>
      <c r="F93" s="32" t="s">
        <v>134</v>
      </c>
      <c r="G93" s="26">
        <v>29</v>
      </c>
      <c r="H93" s="107"/>
      <c r="I93" s="123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7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7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7"/>
      <c r="I96" s="123"/>
    </row>
    <row r="97" spans="1:9" ht="15.75" x14ac:dyDescent="0.25">
      <c r="A97" s="25" t="s">
        <v>121</v>
      </c>
      <c r="B97" s="16">
        <v>902</v>
      </c>
      <c r="C97" s="20" t="s">
        <v>118</v>
      </c>
      <c r="D97" s="20" t="s">
        <v>140</v>
      </c>
      <c r="E97" s="20" t="s">
        <v>122</v>
      </c>
      <c r="F97" s="20"/>
      <c r="G97" s="26">
        <f>G98+G121</f>
        <v>12340.3</v>
      </c>
      <c r="H97" s="173"/>
    </row>
    <row r="98" spans="1:9" ht="31.5" x14ac:dyDescent="0.25">
      <c r="A98" s="25" t="s">
        <v>185</v>
      </c>
      <c r="B98" s="16">
        <v>902</v>
      </c>
      <c r="C98" s="20" t="s">
        <v>118</v>
      </c>
      <c r="D98" s="20" t="s">
        <v>140</v>
      </c>
      <c r="E98" s="20" t="s">
        <v>186</v>
      </c>
      <c r="F98" s="20"/>
      <c r="G98" s="26">
        <f>G104+G107+G113+G116</f>
        <v>3600.8999999999996</v>
      </c>
      <c r="H98" s="173"/>
    </row>
    <row r="99" spans="1:9" ht="47.25" hidden="1" x14ac:dyDescent="0.25">
      <c r="A99" s="25" t="s">
        <v>187</v>
      </c>
      <c r="B99" s="16">
        <v>902</v>
      </c>
      <c r="C99" s="20" t="s">
        <v>118</v>
      </c>
      <c r="D99" s="20" t="s">
        <v>140</v>
      </c>
      <c r="E99" s="20" t="s">
        <v>188</v>
      </c>
      <c r="F99" s="24"/>
      <c r="G99" s="26">
        <f>G100+G102</f>
        <v>0</v>
      </c>
      <c r="H99" s="173"/>
    </row>
    <row r="100" spans="1:9" ht="94.5" hidden="1" x14ac:dyDescent="0.25">
      <c r="A100" s="25" t="s">
        <v>127</v>
      </c>
      <c r="B100" s="16">
        <v>902</v>
      </c>
      <c r="C100" s="20" t="s">
        <v>118</v>
      </c>
      <c r="D100" s="20" t="s">
        <v>140</v>
      </c>
      <c r="E100" s="20" t="s">
        <v>188</v>
      </c>
      <c r="F100" s="20" t="s">
        <v>128</v>
      </c>
      <c r="G100" s="26">
        <f>G101</f>
        <v>0</v>
      </c>
      <c r="H100" s="173"/>
    </row>
    <row r="101" spans="1:9" ht="31.5" hidden="1" x14ac:dyDescent="0.25">
      <c r="A101" s="25" t="s">
        <v>129</v>
      </c>
      <c r="B101" s="16">
        <v>902</v>
      </c>
      <c r="C101" s="20" t="s">
        <v>118</v>
      </c>
      <c r="D101" s="20" t="s">
        <v>140</v>
      </c>
      <c r="E101" s="20" t="s">
        <v>188</v>
      </c>
      <c r="F101" s="20" t="s">
        <v>130</v>
      </c>
      <c r="G101" s="26">
        <v>0</v>
      </c>
      <c r="H101" s="173"/>
    </row>
    <row r="102" spans="1:9" ht="31.5" hidden="1" x14ac:dyDescent="0.25">
      <c r="A102" s="25" t="s">
        <v>131</v>
      </c>
      <c r="B102" s="16">
        <v>902</v>
      </c>
      <c r="C102" s="20" t="s">
        <v>118</v>
      </c>
      <c r="D102" s="20" t="s">
        <v>140</v>
      </c>
      <c r="E102" s="20" t="s">
        <v>188</v>
      </c>
      <c r="F102" s="20" t="s">
        <v>132</v>
      </c>
      <c r="G102" s="26">
        <f>G103</f>
        <v>0</v>
      </c>
      <c r="H102" s="173"/>
    </row>
    <row r="103" spans="1:9" ht="47.25" hidden="1" x14ac:dyDescent="0.25">
      <c r="A103" s="25" t="s">
        <v>133</v>
      </c>
      <c r="B103" s="16">
        <v>902</v>
      </c>
      <c r="C103" s="20" t="s">
        <v>118</v>
      </c>
      <c r="D103" s="20" t="s">
        <v>140</v>
      </c>
      <c r="E103" s="20" t="s">
        <v>188</v>
      </c>
      <c r="F103" s="20" t="s">
        <v>134</v>
      </c>
      <c r="G103" s="26">
        <v>0</v>
      </c>
      <c r="H103" s="173"/>
    </row>
    <row r="104" spans="1:9" ht="47.25" x14ac:dyDescent="0.25">
      <c r="A104" s="31" t="s">
        <v>189</v>
      </c>
      <c r="B104" s="16">
        <v>902</v>
      </c>
      <c r="C104" s="20" t="s">
        <v>118</v>
      </c>
      <c r="D104" s="20" t="s">
        <v>140</v>
      </c>
      <c r="E104" s="20" t="s">
        <v>190</v>
      </c>
      <c r="F104" s="20"/>
      <c r="G104" s="26">
        <f>G105</f>
        <v>701.8</v>
      </c>
      <c r="H104" s="173"/>
    </row>
    <row r="105" spans="1:9" ht="94.5" x14ac:dyDescent="0.25">
      <c r="A105" s="25" t="s">
        <v>127</v>
      </c>
      <c r="B105" s="16">
        <v>902</v>
      </c>
      <c r="C105" s="20" t="s">
        <v>118</v>
      </c>
      <c r="D105" s="20" t="s">
        <v>140</v>
      </c>
      <c r="E105" s="20" t="s">
        <v>190</v>
      </c>
      <c r="F105" s="20" t="s">
        <v>128</v>
      </c>
      <c r="G105" s="26">
        <f>G106</f>
        <v>701.8</v>
      </c>
      <c r="H105" s="173"/>
    </row>
    <row r="106" spans="1:9" ht="31.5" x14ac:dyDescent="0.25">
      <c r="A106" s="25" t="s">
        <v>129</v>
      </c>
      <c r="B106" s="16">
        <v>902</v>
      </c>
      <c r="C106" s="20" t="s">
        <v>118</v>
      </c>
      <c r="D106" s="20" t="s">
        <v>140</v>
      </c>
      <c r="E106" s="20" t="s">
        <v>190</v>
      </c>
      <c r="F106" s="20" t="s">
        <v>130</v>
      </c>
      <c r="G106" s="26">
        <v>701.8</v>
      </c>
      <c r="H106" s="173"/>
      <c r="I106" s="114"/>
    </row>
    <row r="107" spans="1:9" ht="47.25" x14ac:dyDescent="0.25">
      <c r="A107" s="33" t="s">
        <v>191</v>
      </c>
      <c r="B107" s="16">
        <v>902</v>
      </c>
      <c r="C107" s="20" t="s">
        <v>118</v>
      </c>
      <c r="D107" s="20" t="s">
        <v>140</v>
      </c>
      <c r="E107" s="20" t="s">
        <v>192</v>
      </c>
      <c r="F107" s="20"/>
      <c r="G107" s="26">
        <f>G108</f>
        <v>40</v>
      </c>
      <c r="H107" s="173"/>
    </row>
    <row r="108" spans="1:9" ht="31.5" x14ac:dyDescent="0.25">
      <c r="A108" s="25" t="s">
        <v>131</v>
      </c>
      <c r="B108" s="16">
        <v>902</v>
      </c>
      <c r="C108" s="20" t="s">
        <v>118</v>
      </c>
      <c r="D108" s="20" t="s">
        <v>140</v>
      </c>
      <c r="E108" s="20" t="s">
        <v>192</v>
      </c>
      <c r="F108" s="20" t="s">
        <v>132</v>
      </c>
      <c r="G108" s="26">
        <f>G109</f>
        <v>40</v>
      </c>
      <c r="H108" s="173"/>
    </row>
    <row r="109" spans="1:9" ht="47.25" x14ac:dyDescent="0.25">
      <c r="A109" s="25" t="s">
        <v>133</v>
      </c>
      <c r="B109" s="16">
        <v>902</v>
      </c>
      <c r="C109" s="20" t="s">
        <v>118</v>
      </c>
      <c r="D109" s="20" t="s">
        <v>140</v>
      </c>
      <c r="E109" s="20" t="s">
        <v>192</v>
      </c>
      <c r="F109" s="20" t="s">
        <v>134</v>
      </c>
      <c r="G109" s="26">
        <f>36+4</f>
        <v>40</v>
      </c>
      <c r="H109" s="173"/>
      <c r="I109" s="114"/>
    </row>
    <row r="110" spans="1:9" ht="31.5" hidden="1" x14ac:dyDescent="0.25">
      <c r="A110" s="31" t="s">
        <v>193</v>
      </c>
      <c r="B110" s="16">
        <v>902</v>
      </c>
      <c r="C110" s="20" t="s">
        <v>118</v>
      </c>
      <c r="D110" s="20" t="s">
        <v>140</v>
      </c>
      <c r="E110" s="20" t="s">
        <v>192</v>
      </c>
      <c r="F110" s="20"/>
      <c r="G110" s="26">
        <f>G111</f>
        <v>0</v>
      </c>
      <c r="H110" s="173"/>
    </row>
    <row r="111" spans="1:9" ht="31.5" hidden="1" x14ac:dyDescent="0.25">
      <c r="A111" s="25" t="s">
        <v>131</v>
      </c>
      <c r="B111" s="16">
        <v>902</v>
      </c>
      <c r="C111" s="20" t="s">
        <v>118</v>
      </c>
      <c r="D111" s="20" t="s">
        <v>140</v>
      </c>
      <c r="E111" s="20" t="s">
        <v>192</v>
      </c>
      <c r="F111" s="20" t="s">
        <v>132</v>
      </c>
      <c r="G111" s="26">
        <f>G112</f>
        <v>0</v>
      </c>
      <c r="H111" s="173"/>
    </row>
    <row r="112" spans="1:9" ht="47.25" hidden="1" x14ac:dyDescent="0.25">
      <c r="A112" s="25" t="s">
        <v>133</v>
      </c>
      <c r="B112" s="16">
        <v>902</v>
      </c>
      <c r="C112" s="20" t="s">
        <v>118</v>
      </c>
      <c r="D112" s="20" t="s">
        <v>140</v>
      </c>
      <c r="E112" s="20" t="s">
        <v>192</v>
      </c>
      <c r="F112" s="20" t="s">
        <v>134</v>
      </c>
      <c r="G112" s="26"/>
      <c r="H112" s="173"/>
    </row>
    <row r="113" spans="1:9" ht="63" x14ac:dyDescent="0.25">
      <c r="A113" s="31" t="s">
        <v>194</v>
      </c>
      <c r="B113" s="16">
        <v>902</v>
      </c>
      <c r="C113" s="20" t="s">
        <v>118</v>
      </c>
      <c r="D113" s="20" t="s">
        <v>140</v>
      </c>
      <c r="E113" s="20" t="s">
        <v>195</v>
      </c>
      <c r="F113" s="20"/>
      <c r="G113" s="26">
        <f>G114</f>
        <v>1752.9</v>
      </c>
      <c r="H113" s="173"/>
    </row>
    <row r="114" spans="1:9" ht="94.5" x14ac:dyDescent="0.25">
      <c r="A114" s="25" t="s">
        <v>127</v>
      </c>
      <c r="B114" s="16">
        <v>902</v>
      </c>
      <c r="C114" s="20" t="s">
        <v>118</v>
      </c>
      <c r="D114" s="20" t="s">
        <v>140</v>
      </c>
      <c r="E114" s="20" t="s">
        <v>195</v>
      </c>
      <c r="F114" s="20" t="s">
        <v>128</v>
      </c>
      <c r="G114" s="26">
        <f>G115</f>
        <v>1752.9</v>
      </c>
      <c r="H114" s="173"/>
    </row>
    <row r="115" spans="1:9" ht="31.5" x14ac:dyDescent="0.25">
      <c r="A115" s="25" t="s">
        <v>129</v>
      </c>
      <c r="B115" s="16">
        <v>902</v>
      </c>
      <c r="C115" s="20" t="s">
        <v>118</v>
      </c>
      <c r="D115" s="20" t="s">
        <v>140</v>
      </c>
      <c r="E115" s="20" t="s">
        <v>195</v>
      </c>
      <c r="F115" s="20" t="s">
        <v>130</v>
      </c>
      <c r="G115" s="26">
        <v>1752.9</v>
      </c>
      <c r="H115" s="173"/>
    </row>
    <row r="116" spans="1:9" ht="47.25" x14ac:dyDescent="0.25">
      <c r="A116" s="31" t="s">
        <v>196</v>
      </c>
      <c r="B116" s="16">
        <v>902</v>
      </c>
      <c r="C116" s="20" t="s">
        <v>118</v>
      </c>
      <c r="D116" s="20" t="s">
        <v>140</v>
      </c>
      <c r="E116" s="20" t="s">
        <v>197</v>
      </c>
      <c r="F116" s="20"/>
      <c r="G116" s="26">
        <f>G117+G119</f>
        <v>1106.1999999999998</v>
      </c>
      <c r="H116" s="173"/>
    </row>
    <row r="117" spans="1:9" ht="94.5" x14ac:dyDescent="0.25">
      <c r="A117" s="25" t="s">
        <v>127</v>
      </c>
      <c r="B117" s="16">
        <v>902</v>
      </c>
      <c r="C117" s="20" t="s">
        <v>118</v>
      </c>
      <c r="D117" s="20" t="s">
        <v>140</v>
      </c>
      <c r="E117" s="20" t="s">
        <v>197</v>
      </c>
      <c r="F117" s="20" t="s">
        <v>128</v>
      </c>
      <c r="G117" s="26">
        <f>G118</f>
        <v>1073.0999999999999</v>
      </c>
      <c r="H117" s="173"/>
    </row>
    <row r="118" spans="1:9" ht="31.5" x14ac:dyDescent="0.25">
      <c r="A118" s="25" t="s">
        <v>129</v>
      </c>
      <c r="B118" s="16">
        <v>902</v>
      </c>
      <c r="C118" s="20" t="s">
        <v>118</v>
      </c>
      <c r="D118" s="20" t="s">
        <v>140</v>
      </c>
      <c r="E118" s="20" t="s">
        <v>197</v>
      </c>
      <c r="F118" s="20" t="s">
        <v>130</v>
      </c>
      <c r="G118" s="26">
        <f>1537-463.9</f>
        <v>1073.0999999999999</v>
      </c>
      <c r="H118" s="173"/>
      <c r="I118" s="114"/>
    </row>
    <row r="119" spans="1:9" ht="47.25" x14ac:dyDescent="0.25">
      <c r="A119" s="25" t="s">
        <v>198</v>
      </c>
      <c r="B119" s="16">
        <v>902</v>
      </c>
      <c r="C119" s="20" t="s">
        <v>118</v>
      </c>
      <c r="D119" s="20" t="s">
        <v>140</v>
      </c>
      <c r="E119" s="20" t="s">
        <v>197</v>
      </c>
      <c r="F119" s="20" t="s">
        <v>132</v>
      </c>
      <c r="G119" s="26">
        <f>G120</f>
        <v>33.1</v>
      </c>
      <c r="H119" s="173"/>
    </row>
    <row r="120" spans="1:9" ht="47.25" x14ac:dyDescent="0.25">
      <c r="A120" s="25" t="s">
        <v>133</v>
      </c>
      <c r="B120" s="16">
        <v>902</v>
      </c>
      <c r="C120" s="20" t="s">
        <v>118</v>
      </c>
      <c r="D120" s="20" t="s">
        <v>140</v>
      </c>
      <c r="E120" s="20" t="s">
        <v>197</v>
      </c>
      <c r="F120" s="20" t="s">
        <v>134</v>
      </c>
      <c r="G120" s="26">
        <v>33.1</v>
      </c>
      <c r="H120" s="173"/>
    </row>
    <row r="121" spans="1:9" ht="15.75" x14ac:dyDescent="0.25">
      <c r="A121" s="25" t="s">
        <v>141</v>
      </c>
      <c r="B121" s="16">
        <v>902</v>
      </c>
      <c r="C121" s="20" t="s">
        <v>118</v>
      </c>
      <c r="D121" s="20" t="s">
        <v>140</v>
      </c>
      <c r="E121" s="20" t="s">
        <v>142</v>
      </c>
      <c r="F121" s="20"/>
      <c r="G121" s="26">
        <f>G134+G139+G144</f>
        <v>8739.4</v>
      </c>
      <c r="H121" s="173"/>
    </row>
    <row r="122" spans="1:9" ht="15.75" hidden="1" x14ac:dyDescent="0.25">
      <c r="A122" s="25" t="s">
        <v>199</v>
      </c>
      <c r="B122" s="16">
        <v>902</v>
      </c>
      <c r="C122" s="20" t="s">
        <v>118</v>
      </c>
      <c r="D122" s="20" t="s">
        <v>140</v>
      </c>
      <c r="E122" s="20" t="s">
        <v>200</v>
      </c>
      <c r="F122" s="20"/>
      <c r="G122" s="26">
        <f>G123</f>
        <v>0</v>
      </c>
      <c r="H122" s="173"/>
    </row>
    <row r="123" spans="1:9" ht="33" hidden="1" customHeight="1" x14ac:dyDescent="0.25">
      <c r="A123" s="25" t="s">
        <v>198</v>
      </c>
      <c r="B123" s="16">
        <v>902</v>
      </c>
      <c r="C123" s="20" t="s">
        <v>118</v>
      </c>
      <c r="D123" s="20" t="s">
        <v>140</v>
      </c>
      <c r="E123" s="20" t="s">
        <v>200</v>
      </c>
      <c r="F123" s="20" t="s">
        <v>132</v>
      </c>
      <c r="G123" s="26">
        <f>G124</f>
        <v>0</v>
      </c>
      <c r="H123" s="173"/>
    </row>
    <row r="124" spans="1:9" ht="47.25" hidden="1" x14ac:dyDescent="0.25">
      <c r="A124" s="25" t="s">
        <v>133</v>
      </c>
      <c r="B124" s="16">
        <v>902</v>
      </c>
      <c r="C124" s="20" t="s">
        <v>118</v>
      </c>
      <c r="D124" s="20" t="s">
        <v>140</v>
      </c>
      <c r="E124" s="20" t="s">
        <v>200</v>
      </c>
      <c r="F124" s="20" t="s">
        <v>134</v>
      </c>
      <c r="G124" s="26">
        <v>0</v>
      </c>
      <c r="H124" s="173"/>
    </row>
    <row r="125" spans="1:9" ht="15.75" hidden="1" x14ac:dyDescent="0.25">
      <c r="A125" s="25" t="s">
        <v>201</v>
      </c>
      <c r="B125" s="16">
        <v>902</v>
      </c>
      <c r="C125" s="20" t="s">
        <v>118</v>
      </c>
      <c r="D125" s="20" t="s">
        <v>140</v>
      </c>
      <c r="E125" s="20" t="s">
        <v>202</v>
      </c>
      <c r="F125" s="24"/>
      <c r="G125" s="26">
        <f>G126</f>
        <v>0</v>
      </c>
      <c r="H125" s="173"/>
    </row>
    <row r="126" spans="1:9" ht="47.25" hidden="1" x14ac:dyDescent="0.25">
      <c r="A126" s="25" t="s">
        <v>198</v>
      </c>
      <c r="B126" s="16">
        <v>902</v>
      </c>
      <c r="C126" s="20" t="s">
        <v>118</v>
      </c>
      <c r="D126" s="20" t="s">
        <v>140</v>
      </c>
      <c r="E126" s="20" t="s">
        <v>202</v>
      </c>
      <c r="F126" s="20" t="s">
        <v>132</v>
      </c>
      <c r="G126" s="26">
        <f>G127</f>
        <v>0</v>
      </c>
      <c r="H126" s="173"/>
    </row>
    <row r="127" spans="1:9" ht="47.25" hidden="1" x14ac:dyDescent="0.25">
      <c r="A127" s="25" t="s">
        <v>133</v>
      </c>
      <c r="B127" s="16">
        <v>902</v>
      </c>
      <c r="C127" s="20" t="s">
        <v>118</v>
      </c>
      <c r="D127" s="20" t="s">
        <v>140</v>
      </c>
      <c r="E127" s="20" t="s">
        <v>202</v>
      </c>
      <c r="F127" s="20" t="s">
        <v>134</v>
      </c>
      <c r="G127" s="26">
        <v>0</v>
      </c>
      <c r="H127" s="173"/>
    </row>
    <row r="128" spans="1:9" ht="31.5" hidden="1" x14ac:dyDescent="0.25">
      <c r="A128" s="25" t="s">
        <v>203</v>
      </c>
      <c r="B128" s="16">
        <v>902</v>
      </c>
      <c r="C128" s="20" t="s">
        <v>118</v>
      </c>
      <c r="D128" s="20" t="s">
        <v>140</v>
      </c>
      <c r="E128" s="20" t="s">
        <v>204</v>
      </c>
      <c r="F128" s="20"/>
      <c r="G128" s="26">
        <f>G129</f>
        <v>0</v>
      </c>
      <c r="H128" s="173"/>
    </row>
    <row r="129" spans="1:9" ht="47.25" hidden="1" x14ac:dyDescent="0.25">
      <c r="A129" s="25" t="s">
        <v>198</v>
      </c>
      <c r="B129" s="16">
        <v>902</v>
      </c>
      <c r="C129" s="20" t="s">
        <v>118</v>
      </c>
      <c r="D129" s="20" t="s">
        <v>140</v>
      </c>
      <c r="E129" s="20" t="s">
        <v>204</v>
      </c>
      <c r="F129" s="20" t="s">
        <v>132</v>
      </c>
      <c r="G129" s="26">
        <f>G130</f>
        <v>0</v>
      </c>
      <c r="H129" s="173"/>
    </row>
    <row r="130" spans="1:9" ht="47.25" hidden="1" x14ac:dyDescent="0.25">
      <c r="A130" s="25" t="s">
        <v>133</v>
      </c>
      <c r="B130" s="16">
        <v>902</v>
      </c>
      <c r="C130" s="20" t="s">
        <v>118</v>
      </c>
      <c r="D130" s="20" t="s">
        <v>140</v>
      </c>
      <c r="E130" s="20" t="s">
        <v>204</v>
      </c>
      <c r="F130" s="20" t="s">
        <v>134</v>
      </c>
      <c r="G130" s="26">
        <v>0</v>
      </c>
      <c r="H130" s="173"/>
    </row>
    <row r="131" spans="1:9" ht="15.75" hidden="1" x14ac:dyDescent="0.25">
      <c r="A131" s="25" t="s">
        <v>179</v>
      </c>
      <c r="B131" s="16">
        <v>902</v>
      </c>
      <c r="C131" s="20" t="s">
        <v>118</v>
      </c>
      <c r="D131" s="20" t="s">
        <v>140</v>
      </c>
      <c r="E131" s="20" t="s">
        <v>205</v>
      </c>
      <c r="F131" s="20"/>
      <c r="G131" s="26">
        <f>G132</f>
        <v>0</v>
      </c>
      <c r="H131" s="173"/>
    </row>
    <row r="132" spans="1:9" ht="47.25" hidden="1" x14ac:dyDescent="0.25">
      <c r="A132" s="25" t="s">
        <v>198</v>
      </c>
      <c r="B132" s="16">
        <v>902</v>
      </c>
      <c r="C132" s="20" t="s">
        <v>118</v>
      </c>
      <c r="D132" s="20" t="s">
        <v>140</v>
      </c>
      <c r="E132" s="20" t="s">
        <v>205</v>
      </c>
      <c r="F132" s="20" t="s">
        <v>132</v>
      </c>
      <c r="G132" s="26">
        <f>G133</f>
        <v>0</v>
      </c>
      <c r="H132" s="173"/>
    </row>
    <row r="133" spans="1:9" ht="47.25" hidden="1" x14ac:dyDescent="0.25">
      <c r="A133" s="25" t="s">
        <v>133</v>
      </c>
      <c r="B133" s="16">
        <v>902</v>
      </c>
      <c r="C133" s="20" t="s">
        <v>118</v>
      </c>
      <c r="D133" s="20" t="s">
        <v>140</v>
      </c>
      <c r="E133" s="20" t="s">
        <v>205</v>
      </c>
      <c r="F133" s="20" t="s">
        <v>134</v>
      </c>
      <c r="G133" s="26">
        <v>0</v>
      </c>
      <c r="H133" s="173"/>
    </row>
    <row r="134" spans="1:9" ht="31.5" x14ac:dyDescent="0.25">
      <c r="A134" s="25" t="s">
        <v>206</v>
      </c>
      <c r="B134" s="16">
        <v>902</v>
      </c>
      <c r="C134" s="20" t="s">
        <v>118</v>
      </c>
      <c r="D134" s="20" t="s">
        <v>140</v>
      </c>
      <c r="E134" s="20" t="s">
        <v>207</v>
      </c>
      <c r="F134" s="20"/>
      <c r="G134" s="26">
        <f>G135+G137</f>
        <v>6126.7</v>
      </c>
      <c r="H134" s="173"/>
    </row>
    <row r="135" spans="1:9" ht="94.5" x14ac:dyDescent="0.25">
      <c r="A135" s="25" t="s">
        <v>127</v>
      </c>
      <c r="B135" s="16">
        <v>902</v>
      </c>
      <c r="C135" s="20" t="s">
        <v>118</v>
      </c>
      <c r="D135" s="20" t="s">
        <v>140</v>
      </c>
      <c r="E135" s="20" t="s">
        <v>207</v>
      </c>
      <c r="F135" s="20" t="s">
        <v>128</v>
      </c>
      <c r="G135" s="26">
        <f>G136</f>
        <v>4952</v>
      </c>
      <c r="H135" s="173"/>
    </row>
    <row r="136" spans="1:9" ht="31.5" x14ac:dyDescent="0.25">
      <c r="A136" s="25" t="s">
        <v>208</v>
      </c>
      <c r="B136" s="16">
        <v>902</v>
      </c>
      <c r="C136" s="20" t="s">
        <v>118</v>
      </c>
      <c r="D136" s="20" t="s">
        <v>140</v>
      </c>
      <c r="E136" s="20" t="s">
        <v>207</v>
      </c>
      <c r="F136" s="20" t="s">
        <v>209</v>
      </c>
      <c r="G136" s="27">
        <f>5174.7-222.7</f>
        <v>4952</v>
      </c>
      <c r="H136" s="173"/>
    </row>
    <row r="137" spans="1:9" ht="47.25" x14ac:dyDescent="0.25">
      <c r="A137" s="25" t="s">
        <v>198</v>
      </c>
      <c r="B137" s="16">
        <v>902</v>
      </c>
      <c r="C137" s="20" t="s">
        <v>118</v>
      </c>
      <c r="D137" s="20" t="s">
        <v>140</v>
      </c>
      <c r="E137" s="20" t="s">
        <v>207</v>
      </c>
      <c r="F137" s="20" t="s">
        <v>132</v>
      </c>
      <c r="G137" s="26">
        <f>G138</f>
        <v>1174.7</v>
      </c>
      <c r="H137" s="173"/>
    </row>
    <row r="138" spans="1:9" ht="47.25" x14ac:dyDescent="0.25">
      <c r="A138" s="25" t="s">
        <v>133</v>
      </c>
      <c r="B138" s="16">
        <v>902</v>
      </c>
      <c r="C138" s="20" t="s">
        <v>118</v>
      </c>
      <c r="D138" s="20" t="s">
        <v>140</v>
      </c>
      <c r="E138" s="20" t="s">
        <v>207</v>
      </c>
      <c r="F138" s="20" t="s">
        <v>134</v>
      </c>
      <c r="G138" s="27">
        <f>724.7+450</f>
        <v>1174.7</v>
      </c>
      <c r="H138" s="173"/>
      <c r="I138" s="114"/>
    </row>
    <row r="139" spans="1:9" ht="47.25" x14ac:dyDescent="0.25">
      <c r="A139" s="25" t="s">
        <v>210</v>
      </c>
      <c r="B139" s="16">
        <v>902</v>
      </c>
      <c r="C139" s="20" t="s">
        <v>118</v>
      </c>
      <c r="D139" s="20" t="s">
        <v>140</v>
      </c>
      <c r="E139" s="20" t="s">
        <v>211</v>
      </c>
      <c r="F139" s="20"/>
      <c r="G139" s="26">
        <f>G140+G142</f>
        <v>2520.4</v>
      </c>
      <c r="H139" s="173"/>
    </row>
    <row r="140" spans="1:9" ht="94.5" x14ac:dyDescent="0.25">
      <c r="A140" s="25" t="s">
        <v>127</v>
      </c>
      <c r="B140" s="16">
        <v>902</v>
      </c>
      <c r="C140" s="20" t="s">
        <v>118</v>
      </c>
      <c r="D140" s="20" t="s">
        <v>140</v>
      </c>
      <c r="E140" s="20" t="s">
        <v>211</v>
      </c>
      <c r="F140" s="20" t="s">
        <v>128</v>
      </c>
      <c r="G140" s="26">
        <f>G141</f>
        <v>1895</v>
      </c>
      <c r="H140" s="173"/>
    </row>
    <row r="141" spans="1:9" ht="31.5" x14ac:dyDescent="0.25">
      <c r="A141" s="25" t="s">
        <v>129</v>
      </c>
      <c r="B141" s="16">
        <v>902</v>
      </c>
      <c r="C141" s="20" t="s">
        <v>118</v>
      </c>
      <c r="D141" s="20" t="s">
        <v>140</v>
      </c>
      <c r="E141" s="20" t="s">
        <v>211</v>
      </c>
      <c r="F141" s="20" t="s">
        <v>130</v>
      </c>
      <c r="G141" s="27">
        <f>1952.2-57.2</f>
        <v>1895</v>
      </c>
      <c r="H141" s="173"/>
      <c r="I141" s="114"/>
    </row>
    <row r="142" spans="1:9" ht="47.25" x14ac:dyDescent="0.25">
      <c r="A142" s="25" t="s">
        <v>198</v>
      </c>
      <c r="B142" s="16">
        <v>902</v>
      </c>
      <c r="C142" s="20" t="s">
        <v>118</v>
      </c>
      <c r="D142" s="20" t="s">
        <v>140</v>
      </c>
      <c r="E142" s="20" t="s">
        <v>211</v>
      </c>
      <c r="F142" s="20" t="s">
        <v>132</v>
      </c>
      <c r="G142" s="26">
        <f>G143</f>
        <v>625.4</v>
      </c>
      <c r="H142" s="173"/>
    </row>
    <row r="143" spans="1:9" ht="47.25" x14ac:dyDescent="0.25">
      <c r="A143" s="25" t="s">
        <v>133</v>
      </c>
      <c r="B143" s="16">
        <v>902</v>
      </c>
      <c r="C143" s="20" t="s">
        <v>118</v>
      </c>
      <c r="D143" s="20" t="s">
        <v>140</v>
      </c>
      <c r="E143" s="20" t="s">
        <v>211</v>
      </c>
      <c r="F143" s="20" t="s">
        <v>134</v>
      </c>
      <c r="G143" s="26">
        <f>821.9-196.5</f>
        <v>625.4</v>
      </c>
      <c r="H143" s="173"/>
    </row>
    <row r="144" spans="1:9" ht="15.75" x14ac:dyDescent="0.25">
      <c r="A144" s="45" t="s">
        <v>143</v>
      </c>
      <c r="B144" s="16">
        <v>902</v>
      </c>
      <c r="C144" s="20" t="s">
        <v>118</v>
      </c>
      <c r="D144" s="20" t="s">
        <v>140</v>
      </c>
      <c r="E144" s="20" t="s">
        <v>144</v>
      </c>
      <c r="F144" s="20"/>
      <c r="G144" s="26">
        <f>G145</f>
        <v>92.3</v>
      </c>
      <c r="H144" s="173"/>
    </row>
    <row r="145" spans="1:8" ht="15.75" x14ac:dyDescent="0.25">
      <c r="A145" s="25" t="s">
        <v>135</v>
      </c>
      <c r="B145" s="16">
        <v>902</v>
      </c>
      <c r="C145" s="20" t="s">
        <v>118</v>
      </c>
      <c r="D145" s="20" t="s">
        <v>140</v>
      </c>
      <c r="E145" s="20" t="s">
        <v>144</v>
      </c>
      <c r="F145" s="20" t="s">
        <v>145</v>
      </c>
      <c r="G145" s="26">
        <f>G146</f>
        <v>92.3</v>
      </c>
      <c r="H145" s="173"/>
    </row>
    <row r="146" spans="1:8" ht="15.75" x14ac:dyDescent="0.25">
      <c r="A146" s="25" t="s">
        <v>146</v>
      </c>
      <c r="B146" s="16">
        <v>902</v>
      </c>
      <c r="C146" s="20" t="s">
        <v>118</v>
      </c>
      <c r="D146" s="20" t="s">
        <v>140</v>
      </c>
      <c r="E146" s="20" t="s">
        <v>144</v>
      </c>
      <c r="F146" s="20" t="s">
        <v>147</v>
      </c>
      <c r="G146" s="26">
        <v>92.3</v>
      </c>
      <c r="H146" s="105"/>
    </row>
    <row r="147" spans="1:8" ht="15.75" hidden="1" x14ac:dyDescent="0.25">
      <c r="A147" s="23" t="s">
        <v>212</v>
      </c>
      <c r="B147" s="19">
        <v>902</v>
      </c>
      <c r="C147" s="24" t="s">
        <v>213</v>
      </c>
      <c r="D147" s="24"/>
      <c r="E147" s="24"/>
      <c r="F147" s="24"/>
      <c r="G147" s="21">
        <f>G148+G154</f>
        <v>0</v>
      </c>
      <c r="H147" s="173"/>
    </row>
    <row r="148" spans="1:8" ht="31.5" hidden="1" x14ac:dyDescent="0.25">
      <c r="A148" s="23" t="s">
        <v>214</v>
      </c>
      <c r="B148" s="19">
        <v>902</v>
      </c>
      <c r="C148" s="24" t="s">
        <v>213</v>
      </c>
      <c r="D148" s="24" t="s">
        <v>215</v>
      </c>
      <c r="E148" s="24"/>
      <c r="F148" s="24"/>
      <c r="G148" s="21">
        <f>G149</f>
        <v>0</v>
      </c>
      <c r="H148" s="173"/>
    </row>
    <row r="149" spans="1:8" ht="15.75" hidden="1" x14ac:dyDescent="0.25">
      <c r="A149" s="25" t="s">
        <v>121</v>
      </c>
      <c r="B149" s="16">
        <v>902</v>
      </c>
      <c r="C149" s="20" t="s">
        <v>213</v>
      </c>
      <c r="D149" s="20" t="s">
        <v>215</v>
      </c>
      <c r="E149" s="20" t="s">
        <v>122</v>
      </c>
      <c r="F149" s="20"/>
      <c r="G149" s="26">
        <f>G150</f>
        <v>0</v>
      </c>
      <c r="H149" s="173"/>
    </row>
    <row r="150" spans="1:8" ht="31.5" hidden="1" x14ac:dyDescent="0.25">
      <c r="A150" s="25" t="s">
        <v>185</v>
      </c>
      <c r="B150" s="16">
        <v>902</v>
      </c>
      <c r="C150" s="20" t="s">
        <v>213</v>
      </c>
      <c r="D150" s="20" t="s">
        <v>215</v>
      </c>
      <c r="E150" s="20" t="s">
        <v>186</v>
      </c>
      <c r="F150" s="20"/>
      <c r="G150" s="26">
        <f>G151</f>
        <v>0</v>
      </c>
      <c r="H150" s="173"/>
    </row>
    <row r="151" spans="1:8" ht="47.25" hidden="1" x14ac:dyDescent="0.25">
      <c r="A151" s="25" t="s">
        <v>216</v>
      </c>
      <c r="B151" s="16">
        <v>902</v>
      </c>
      <c r="C151" s="20" t="s">
        <v>213</v>
      </c>
      <c r="D151" s="20" t="s">
        <v>215</v>
      </c>
      <c r="E151" s="20" t="s">
        <v>217</v>
      </c>
      <c r="F151" s="20"/>
      <c r="G151" s="26">
        <f>G152</f>
        <v>0</v>
      </c>
      <c r="H151" s="173"/>
    </row>
    <row r="152" spans="1:8" ht="94.5" hidden="1" x14ac:dyDescent="0.25">
      <c r="A152" s="25" t="s">
        <v>127</v>
      </c>
      <c r="B152" s="16">
        <v>902</v>
      </c>
      <c r="C152" s="20" t="s">
        <v>213</v>
      </c>
      <c r="D152" s="20" t="s">
        <v>215</v>
      </c>
      <c r="E152" s="20" t="s">
        <v>217</v>
      </c>
      <c r="F152" s="20" t="s">
        <v>128</v>
      </c>
      <c r="G152" s="26">
        <f>G153</f>
        <v>0</v>
      </c>
      <c r="H152" s="173"/>
    </row>
    <row r="153" spans="1:8" ht="31.5" hidden="1" x14ac:dyDescent="0.25">
      <c r="A153" s="25" t="s">
        <v>129</v>
      </c>
      <c r="B153" s="16">
        <v>902</v>
      </c>
      <c r="C153" s="20" t="s">
        <v>213</v>
      </c>
      <c r="D153" s="20" t="s">
        <v>215</v>
      </c>
      <c r="E153" s="20" t="s">
        <v>217</v>
      </c>
      <c r="F153" s="20" t="s">
        <v>130</v>
      </c>
      <c r="G153" s="27"/>
      <c r="H153" s="173"/>
    </row>
    <row r="154" spans="1:8" ht="31.5" hidden="1" x14ac:dyDescent="0.25">
      <c r="A154" s="23" t="s">
        <v>218</v>
      </c>
      <c r="B154" s="19">
        <v>902</v>
      </c>
      <c r="C154" s="24" t="s">
        <v>213</v>
      </c>
      <c r="D154" s="24" t="s">
        <v>219</v>
      </c>
      <c r="E154" s="24"/>
      <c r="F154" s="24"/>
      <c r="G154" s="26">
        <f>G155</f>
        <v>0</v>
      </c>
      <c r="H154" s="173"/>
    </row>
    <row r="155" spans="1:8" ht="15.75" hidden="1" x14ac:dyDescent="0.25">
      <c r="A155" s="25" t="s">
        <v>121</v>
      </c>
      <c r="B155" s="16">
        <v>902</v>
      </c>
      <c r="C155" s="20" t="s">
        <v>213</v>
      </c>
      <c r="D155" s="20" t="s">
        <v>219</v>
      </c>
      <c r="E155" s="20" t="s">
        <v>122</v>
      </c>
      <c r="F155" s="20"/>
      <c r="G155" s="26">
        <f>G156</f>
        <v>0</v>
      </c>
      <c r="H155" s="173"/>
    </row>
    <row r="156" spans="1:8" ht="31.5" hidden="1" x14ac:dyDescent="0.25">
      <c r="A156" s="25" t="s">
        <v>220</v>
      </c>
      <c r="B156" s="16">
        <v>902</v>
      </c>
      <c r="C156" s="20" t="s">
        <v>213</v>
      </c>
      <c r="D156" s="20" t="s">
        <v>219</v>
      </c>
      <c r="E156" s="20" t="s">
        <v>221</v>
      </c>
      <c r="F156" s="20"/>
      <c r="G156" s="26">
        <f>G157</f>
        <v>0</v>
      </c>
      <c r="H156" s="173"/>
    </row>
    <row r="157" spans="1:8" ht="47.25" hidden="1" x14ac:dyDescent="0.25">
      <c r="A157" s="25" t="s">
        <v>198</v>
      </c>
      <c r="B157" s="16">
        <v>902</v>
      </c>
      <c r="C157" s="20" t="s">
        <v>213</v>
      </c>
      <c r="D157" s="20" t="s">
        <v>219</v>
      </c>
      <c r="E157" s="20" t="s">
        <v>221</v>
      </c>
      <c r="F157" s="20" t="s">
        <v>132</v>
      </c>
      <c r="G157" s="26">
        <f>G158</f>
        <v>0</v>
      </c>
      <c r="H157" s="173"/>
    </row>
    <row r="158" spans="1:8" ht="47.25" hidden="1" x14ac:dyDescent="0.25">
      <c r="A158" s="25" t="s">
        <v>133</v>
      </c>
      <c r="B158" s="16">
        <v>902</v>
      </c>
      <c r="C158" s="20" t="s">
        <v>213</v>
      </c>
      <c r="D158" s="20" t="s">
        <v>219</v>
      </c>
      <c r="E158" s="20" t="s">
        <v>221</v>
      </c>
      <c r="F158" s="20" t="s">
        <v>134</v>
      </c>
      <c r="G158" s="26">
        <v>0</v>
      </c>
      <c r="H158" s="173"/>
    </row>
    <row r="159" spans="1:8" ht="31.5" x14ac:dyDescent="0.25">
      <c r="A159" s="23" t="s">
        <v>222</v>
      </c>
      <c r="B159" s="19">
        <v>902</v>
      </c>
      <c r="C159" s="24" t="s">
        <v>215</v>
      </c>
      <c r="D159" s="24"/>
      <c r="E159" s="24"/>
      <c r="F159" s="24"/>
      <c r="G159" s="21">
        <f>G160</f>
        <v>7159.4000000000005</v>
      </c>
      <c r="H159" s="173"/>
    </row>
    <row r="160" spans="1:8" ht="63" x14ac:dyDescent="0.25">
      <c r="A160" s="23" t="s">
        <v>223</v>
      </c>
      <c r="B160" s="19">
        <v>902</v>
      </c>
      <c r="C160" s="24" t="s">
        <v>215</v>
      </c>
      <c r="D160" s="24" t="s">
        <v>219</v>
      </c>
      <c r="E160" s="20"/>
      <c r="F160" s="20"/>
      <c r="G160" s="21">
        <f>G161</f>
        <v>7159.4000000000005</v>
      </c>
      <c r="H160" s="173"/>
    </row>
    <row r="161" spans="1:9" ht="15.75" x14ac:dyDescent="0.25">
      <c r="A161" s="25" t="s">
        <v>121</v>
      </c>
      <c r="B161" s="16">
        <v>902</v>
      </c>
      <c r="C161" s="20" t="s">
        <v>215</v>
      </c>
      <c r="D161" s="20" t="s">
        <v>219</v>
      </c>
      <c r="E161" s="20" t="s">
        <v>122</v>
      </c>
      <c r="F161" s="20"/>
      <c r="G161" s="26">
        <f>G162</f>
        <v>7159.4000000000005</v>
      </c>
      <c r="H161" s="173"/>
    </row>
    <row r="162" spans="1:9" ht="15.75" x14ac:dyDescent="0.25">
      <c r="A162" s="25" t="s">
        <v>141</v>
      </c>
      <c r="B162" s="16">
        <v>902</v>
      </c>
      <c r="C162" s="20" t="s">
        <v>215</v>
      </c>
      <c r="D162" s="20" t="s">
        <v>219</v>
      </c>
      <c r="E162" s="20" t="s">
        <v>142</v>
      </c>
      <c r="F162" s="20"/>
      <c r="G162" s="26">
        <f>G163+G169+G174</f>
        <v>7159.4000000000005</v>
      </c>
      <c r="H162" s="173"/>
    </row>
    <row r="163" spans="1:9" ht="47.25" x14ac:dyDescent="0.25">
      <c r="A163" s="25" t="s">
        <v>224</v>
      </c>
      <c r="B163" s="16">
        <v>902</v>
      </c>
      <c r="C163" s="20" t="s">
        <v>215</v>
      </c>
      <c r="D163" s="20" t="s">
        <v>219</v>
      </c>
      <c r="E163" s="20" t="s">
        <v>225</v>
      </c>
      <c r="F163" s="20"/>
      <c r="G163" s="26">
        <f>G164</f>
        <v>2064.1</v>
      </c>
      <c r="H163" s="173"/>
    </row>
    <row r="164" spans="1:9" ht="47.25" x14ac:dyDescent="0.25">
      <c r="A164" s="25" t="s">
        <v>198</v>
      </c>
      <c r="B164" s="16">
        <v>902</v>
      </c>
      <c r="C164" s="20" t="s">
        <v>215</v>
      </c>
      <c r="D164" s="20" t="s">
        <v>219</v>
      </c>
      <c r="E164" s="20" t="s">
        <v>225</v>
      </c>
      <c r="F164" s="20" t="s">
        <v>132</v>
      </c>
      <c r="G164" s="26">
        <f>G165</f>
        <v>2064.1</v>
      </c>
      <c r="H164" s="173"/>
    </row>
    <row r="165" spans="1:9" ht="47.25" x14ac:dyDescent="0.25">
      <c r="A165" s="25" t="s">
        <v>133</v>
      </c>
      <c r="B165" s="16">
        <v>902</v>
      </c>
      <c r="C165" s="20" t="s">
        <v>215</v>
      </c>
      <c r="D165" s="20" t="s">
        <v>219</v>
      </c>
      <c r="E165" s="20" t="s">
        <v>225</v>
      </c>
      <c r="F165" s="20" t="s">
        <v>134</v>
      </c>
      <c r="G165" s="156">
        <f>1908.4+354-98.3-100</f>
        <v>2064.1</v>
      </c>
      <c r="H165" s="105" t="s">
        <v>719</v>
      </c>
      <c r="I165" s="124"/>
    </row>
    <row r="166" spans="1:9" ht="15.75" hidden="1" x14ac:dyDescent="0.25">
      <c r="A166" s="25" t="s">
        <v>226</v>
      </c>
      <c r="B166" s="16">
        <v>902</v>
      </c>
      <c r="C166" s="20" t="s">
        <v>215</v>
      </c>
      <c r="D166" s="20" t="s">
        <v>219</v>
      </c>
      <c r="E166" s="20" t="s">
        <v>227</v>
      </c>
      <c r="F166" s="20"/>
      <c r="G166" s="26">
        <f>G167</f>
        <v>0</v>
      </c>
      <c r="H166" s="173"/>
    </row>
    <row r="167" spans="1:9" ht="47.25" hidden="1" x14ac:dyDescent="0.25">
      <c r="A167" s="25" t="s">
        <v>198</v>
      </c>
      <c r="B167" s="16">
        <v>902</v>
      </c>
      <c r="C167" s="20" t="s">
        <v>215</v>
      </c>
      <c r="D167" s="20" t="s">
        <v>219</v>
      </c>
      <c r="E167" s="20" t="s">
        <v>227</v>
      </c>
      <c r="F167" s="20" t="s">
        <v>132</v>
      </c>
      <c r="G167" s="26">
        <f>G168</f>
        <v>0</v>
      </c>
      <c r="H167" s="173"/>
    </row>
    <row r="168" spans="1:9" ht="47.25" hidden="1" x14ac:dyDescent="0.25">
      <c r="A168" s="25" t="s">
        <v>133</v>
      </c>
      <c r="B168" s="16">
        <v>902</v>
      </c>
      <c r="C168" s="20" t="s">
        <v>215</v>
      </c>
      <c r="D168" s="20" t="s">
        <v>219</v>
      </c>
      <c r="E168" s="20" t="s">
        <v>227</v>
      </c>
      <c r="F168" s="20" t="s">
        <v>134</v>
      </c>
      <c r="G168" s="26">
        <v>0</v>
      </c>
      <c r="H168" s="173"/>
    </row>
    <row r="169" spans="1:9" ht="31.5" x14ac:dyDescent="0.25">
      <c r="A169" s="25" t="s">
        <v>228</v>
      </c>
      <c r="B169" s="16">
        <v>902</v>
      </c>
      <c r="C169" s="20" t="s">
        <v>215</v>
      </c>
      <c r="D169" s="20" t="s">
        <v>219</v>
      </c>
      <c r="E169" s="20" t="s">
        <v>229</v>
      </c>
      <c r="F169" s="20"/>
      <c r="G169" s="26">
        <f>G170+G172</f>
        <v>4997</v>
      </c>
      <c r="H169" s="173"/>
    </row>
    <row r="170" spans="1:9" ht="94.5" x14ac:dyDescent="0.25">
      <c r="A170" s="25" t="s">
        <v>127</v>
      </c>
      <c r="B170" s="16">
        <v>902</v>
      </c>
      <c r="C170" s="20" t="s">
        <v>215</v>
      </c>
      <c r="D170" s="20" t="s">
        <v>219</v>
      </c>
      <c r="E170" s="20" t="s">
        <v>229</v>
      </c>
      <c r="F170" s="20" t="s">
        <v>128</v>
      </c>
      <c r="G170" s="26">
        <f>G171</f>
        <v>4692.3</v>
      </c>
      <c r="H170" s="173"/>
    </row>
    <row r="171" spans="1:9" ht="31.5" x14ac:dyDescent="0.25">
      <c r="A171" s="25" t="s">
        <v>208</v>
      </c>
      <c r="B171" s="16">
        <v>902</v>
      </c>
      <c r="C171" s="20" t="s">
        <v>215</v>
      </c>
      <c r="D171" s="20" t="s">
        <v>219</v>
      </c>
      <c r="E171" s="20" t="s">
        <v>229</v>
      </c>
      <c r="F171" s="20" t="s">
        <v>209</v>
      </c>
      <c r="G171" s="27">
        <f>4586.3+106</f>
        <v>4692.3</v>
      </c>
      <c r="H171" s="173"/>
    </row>
    <row r="172" spans="1:9" ht="47.25" x14ac:dyDescent="0.25">
      <c r="A172" s="25" t="s">
        <v>198</v>
      </c>
      <c r="B172" s="16">
        <v>902</v>
      </c>
      <c r="C172" s="20" t="s">
        <v>215</v>
      </c>
      <c r="D172" s="20" t="s">
        <v>219</v>
      </c>
      <c r="E172" s="20" t="s">
        <v>229</v>
      </c>
      <c r="F172" s="20" t="s">
        <v>132</v>
      </c>
      <c r="G172" s="26">
        <f>G173</f>
        <v>304.7</v>
      </c>
      <c r="H172" s="173"/>
    </row>
    <row r="173" spans="1:9" ht="47.25" x14ac:dyDescent="0.25">
      <c r="A173" s="25" t="s">
        <v>133</v>
      </c>
      <c r="B173" s="16">
        <v>902</v>
      </c>
      <c r="C173" s="20" t="s">
        <v>215</v>
      </c>
      <c r="D173" s="20" t="s">
        <v>219</v>
      </c>
      <c r="E173" s="20" t="s">
        <v>229</v>
      </c>
      <c r="F173" s="20" t="s">
        <v>134</v>
      </c>
      <c r="G173" s="153">
        <f>204.7+100</f>
        <v>304.7</v>
      </c>
      <c r="H173" s="154" t="s">
        <v>720</v>
      </c>
    </row>
    <row r="174" spans="1:9" ht="15.75" x14ac:dyDescent="0.25">
      <c r="A174" s="25" t="s">
        <v>230</v>
      </c>
      <c r="B174" s="16">
        <v>902</v>
      </c>
      <c r="C174" s="20" t="s">
        <v>215</v>
      </c>
      <c r="D174" s="20" t="s">
        <v>219</v>
      </c>
      <c r="E174" s="20" t="s">
        <v>231</v>
      </c>
      <c r="F174" s="20"/>
      <c r="G174" s="27">
        <f>G175</f>
        <v>98.3</v>
      </c>
      <c r="H174" s="173"/>
    </row>
    <row r="175" spans="1:9" ht="47.25" x14ac:dyDescent="0.25">
      <c r="A175" s="25" t="s">
        <v>198</v>
      </c>
      <c r="B175" s="16">
        <v>902</v>
      </c>
      <c r="C175" s="20" t="s">
        <v>215</v>
      </c>
      <c r="D175" s="20" t="s">
        <v>219</v>
      </c>
      <c r="E175" s="20" t="s">
        <v>231</v>
      </c>
      <c r="F175" s="20" t="s">
        <v>132</v>
      </c>
      <c r="G175" s="27">
        <f>G176</f>
        <v>98.3</v>
      </c>
      <c r="H175" s="173"/>
    </row>
    <row r="176" spans="1:9" ht="47.25" x14ac:dyDescent="0.25">
      <c r="A176" s="25" t="s">
        <v>133</v>
      </c>
      <c r="B176" s="16">
        <v>902</v>
      </c>
      <c r="C176" s="20" t="s">
        <v>215</v>
      </c>
      <c r="D176" s="20" t="s">
        <v>219</v>
      </c>
      <c r="E176" s="20" t="s">
        <v>231</v>
      </c>
      <c r="F176" s="20" t="s">
        <v>134</v>
      </c>
      <c r="G176" s="27">
        <v>98.3</v>
      </c>
      <c r="H176" s="105"/>
      <c r="I176" s="123"/>
    </row>
    <row r="177" spans="1:9" ht="15.75" x14ac:dyDescent="0.25">
      <c r="A177" s="23" t="s">
        <v>232</v>
      </c>
      <c r="B177" s="19">
        <v>902</v>
      </c>
      <c r="C177" s="24" t="s">
        <v>150</v>
      </c>
      <c r="D177" s="24"/>
      <c r="E177" s="24"/>
      <c r="F177" s="20"/>
      <c r="G177" s="21">
        <f>G184+G178</f>
        <v>1821.3999999999999</v>
      </c>
      <c r="H177" s="173"/>
    </row>
    <row r="178" spans="1:9" ht="15.75" x14ac:dyDescent="0.25">
      <c r="A178" s="23" t="s">
        <v>233</v>
      </c>
      <c r="B178" s="19">
        <v>902</v>
      </c>
      <c r="C178" s="24" t="s">
        <v>150</v>
      </c>
      <c r="D178" s="24" t="s">
        <v>234</v>
      </c>
      <c r="E178" s="24"/>
      <c r="F178" s="20"/>
      <c r="G178" s="21">
        <f>G179</f>
        <v>450</v>
      </c>
      <c r="H178" s="173"/>
    </row>
    <row r="179" spans="1:9" ht="15.75" x14ac:dyDescent="0.25">
      <c r="A179" s="25" t="s">
        <v>121</v>
      </c>
      <c r="B179" s="16">
        <v>902</v>
      </c>
      <c r="C179" s="20" t="s">
        <v>150</v>
      </c>
      <c r="D179" s="20" t="s">
        <v>234</v>
      </c>
      <c r="E179" s="20" t="s">
        <v>122</v>
      </c>
      <c r="F179" s="20"/>
      <c r="G179" s="26">
        <f>G180</f>
        <v>450</v>
      </c>
      <c r="H179" s="173"/>
    </row>
    <row r="180" spans="1:9" ht="31.5" x14ac:dyDescent="0.25">
      <c r="A180" s="25" t="s">
        <v>185</v>
      </c>
      <c r="B180" s="16">
        <v>902</v>
      </c>
      <c r="C180" s="20" t="s">
        <v>150</v>
      </c>
      <c r="D180" s="20" t="s">
        <v>234</v>
      </c>
      <c r="E180" s="20" t="s">
        <v>186</v>
      </c>
      <c r="F180" s="20"/>
      <c r="G180" s="26">
        <f>G181</f>
        <v>450</v>
      </c>
      <c r="H180" s="173"/>
    </row>
    <row r="181" spans="1:9" ht="31.5" x14ac:dyDescent="0.25">
      <c r="A181" s="25" t="s">
        <v>235</v>
      </c>
      <c r="B181" s="16">
        <v>902</v>
      </c>
      <c r="C181" s="20" t="s">
        <v>150</v>
      </c>
      <c r="D181" s="20" t="s">
        <v>234</v>
      </c>
      <c r="E181" s="20" t="s">
        <v>236</v>
      </c>
      <c r="F181" s="20"/>
      <c r="G181" s="26">
        <f>G182</f>
        <v>450</v>
      </c>
      <c r="H181" s="173"/>
    </row>
    <row r="182" spans="1:9" ht="15.75" x14ac:dyDescent="0.25">
      <c r="A182" s="25" t="s">
        <v>135</v>
      </c>
      <c r="B182" s="16">
        <v>902</v>
      </c>
      <c r="C182" s="20" t="s">
        <v>150</v>
      </c>
      <c r="D182" s="20" t="s">
        <v>234</v>
      </c>
      <c r="E182" s="20" t="s">
        <v>236</v>
      </c>
      <c r="F182" s="20" t="s">
        <v>145</v>
      </c>
      <c r="G182" s="26">
        <f>G183</f>
        <v>450</v>
      </c>
      <c r="H182" s="173"/>
    </row>
    <row r="183" spans="1:9" ht="63" x14ac:dyDescent="0.25">
      <c r="A183" s="25" t="s">
        <v>184</v>
      </c>
      <c r="B183" s="16">
        <v>902</v>
      </c>
      <c r="C183" s="20" t="s">
        <v>150</v>
      </c>
      <c r="D183" s="20" t="s">
        <v>234</v>
      </c>
      <c r="E183" s="20" t="s">
        <v>236</v>
      </c>
      <c r="F183" s="20" t="s">
        <v>160</v>
      </c>
      <c r="G183" s="155">
        <f>310+140</f>
        <v>450</v>
      </c>
      <c r="H183" s="154" t="s">
        <v>718</v>
      </c>
      <c r="I183" s="114"/>
    </row>
    <row r="184" spans="1:9" ht="31.5" x14ac:dyDescent="0.25">
      <c r="A184" s="23" t="s">
        <v>237</v>
      </c>
      <c r="B184" s="19">
        <v>902</v>
      </c>
      <c r="C184" s="24" t="s">
        <v>150</v>
      </c>
      <c r="D184" s="24" t="s">
        <v>238</v>
      </c>
      <c r="E184" s="24"/>
      <c r="F184" s="24"/>
      <c r="G184" s="21">
        <f>G185</f>
        <v>1371.3999999999999</v>
      </c>
      <c r="H184" s="173"/>
    </row>
    <row r="185" spans="1:9" ht="15.75" x14ac:dyDescent="0.25">
      <c r="A185" s="25" t="s">
        <v>121</v>
      </c>
      <c r="B185" s="16">
        <v>902</v>
      </c>
      <c r="C185" s="20" t="s">
        <v>150</v>
      </c>
      <c r="D185" s="20" t="s">
        <v>238</v>
      </c>
      <c r="E185" s="20" t="s">
        <v>122</v>
      </c>
      <c r="F185" s="24"/>
      <c r="G185" s="26">
        <f>G186</f>
        <v>1371.3999999999999</v>
      </c>
      <c r="H185" s="173"/>
    </row>
    <row r="186" spans="1:9" ht="31.5" x14ac:dyDescent="0.25">
      <c r="A186" s="25" t="s">
        <v>185</v>
      </c>
      <c r="B186" s="16">
        <v>902</v>
      </c>
      <c r="C186" s="20" t="s">
        <v>150</v>
      </c>
      <c r="D186" s="20" t="s">
        <v>238</v>
      </c>
      <c r="E186" s="20" t="s">
        <v>186</v>
      </c>
      <c r="F186" s="24"/>
      <c r="G186" s="26">
        <f>G190+G187</f>
        <v>1371.3999999999999</v>
      </c>
      <c r="H186" s="173"/>
    </row>
    <row r="187" spans="1:9" ht="31.5" x14ac:dyDescent="0.25">
      <c r="A187" s="25" t="s">
        <v>239</v>
      </c>
      <c r="B187" s="16">
        <v>902</v>
      </c>
      <c r="C187" s="20" t="s">
        <v>150</v>
      </c>
      <c r="D187" s="20" t="s">
        <v>238</v>
      </c>
      <c r="E187" s="20" t="s">
        <v>240</v>
      </c>
      <c r="F187" s="24"/>
      <c r="G187" s="26">
        <f>G188</f>
        <v>90</v>
      </c>
      <c r="H187" s="173"/>
    </row>
    <row r="188" spans="1:9" ht="15.75" x14ac:dyDescent="0.25">
      <c r="A188" s="25" t="s">
        <v>135</v>
      </c>
      <c r="B188" s="16">
        <v>902</v>
      </c>
      <c r="C188" s="20" t="s">
        <v>150</v>
      </c>
      <c r="D188" s="20" t="s">
        <v>238</v>
      </c>
      <c r="E188" s="20" t="s">
        <v>240</v>
      </c>
      <c r="F188" s="20" t="s">
        <v>145</v>
      </c>
      <c r="G188" s="26">
        <f>G189</f>
        <v>90</v>
      </c>
      <c r="H188" s="173"/>
    </row>
    <row r="189" spans="1:9" ht="63" x14ac:dyDescent="0.25">
      <c r="A189" s="25" t="s">
        <v>184</v>
      </c>
      <c r="B189" s="16">
        <v>902</v>
      </c>
      <c r="C189" s="20" t="s">
        <v>150</v>
      </c>
      <c r="D189" s="20" t="s">
        <v>238</v>
      </c>
      <c r="E189" s="20" t="s">
        <v>240</v>
      </c>
      <c r="F189" s="20" t="s">
        <v>160</v>
      </c>
      <c r="G189" s="159">
        <v>90</v>
      </c>
      <c r="H189" s="154" t="s">
        <v>727</v>
      </c>
    </row>
    <row r="190" spans="1:9" ht="63" x14ac:dyDescent="0.25">
      <c r="A190" s="31" t="s">
        <v>241</v>
      </c>
      <c r="B190" s="16">
        <v>902</v>
      </c>
      <c r="C190" s="20" t="s">
        <v>150</v>
      </c>
      <c r="D190" s="20" t="s">
        <v>238</v>
      </c>
      <c r="E190" s="20" t="s">
        <v>242</v>
      </c>
      <c r="F190" s="20"/>
      <c r="G190" s="26">
        <f>G191+G193</f>
        <v>1281.3999999999999</v>
      </c>
      <c r="H190" s="173"/>
    </row>
    <row r="191" spans="1:9" ht="94.5" x14ac:dyDescent="0.25">
      <c r="A191" s="25" t="s">
        <v>127</v>
      </c>
      <c r="B191" s="16">
        <v>902</v>
      </c>
      <c r="C191" s="20" t="s">
        <v>150</v>
      </c>
      <c r="D191" s="20" t="s">
        <v>238</v>
      </c>
      <c r="E191" s="20" t="s">
        <v>242</v>
      </c>
      <c r="F191" s="20" t="s">
        <v>128</v>
      </c>
      <c r="G191" s="26">
        <f>G192</f>
        <v>1116.3999999999999</v>
      </c>
      <c r="H191" s="173"/>
    </row>
    <row r="192" spans="1:9" ht="31.5" x14ac:dyDescent="0.25">
      <c r="A192" s="25" t="s">
        <v>129</v>
      </c>
      <c r="B192" s="16">
        <v>902</v>
      </c>
      <c r="C192" s="20" t="s">
        <v>150</v>
      </c>
      <c r="D192" s="20" t="s">
        <v>238</v>
      </c>
      <c r="E192" s="20" t="s">
        <v>242</v>
      </c>
      <c r="F192" s="20" t="s">
        <v>130</v>
      </c>
      <c r="G192" s="26">
        <f>1302-123.4-62.2</f>
        <v>1116.3999999999999</v>
      </c>
      <c r="H192" s="173"/>
      <c r="I192" s="114"/>
    </row>
    <row r="193" spans="1:8" ht="31.5" x14ac:dyDescent="0.25">
      <c r="A193" s="25" t="s">
        <v>131</v>
      </c>
      <c r="B193" s="16">
        <v>902</v>
      </c>
      <c r="C193" s="20" t="s">
        <v>150</v>
      </c>
      <c r="D193" s="20" t="s">
        <v>238</v>
      </c>
      <c r="E193" s="20" t="s">
        <v>242</v>
      </c>
      <c r="F193" s="20" t="s">
        <v>132</v>
      </c>
      <c r="G193" s="26">
        <f>G194</f>
        <v>165</v>
      </c>
      <c r="H193" s="173"/>
    </row>
    <row r="194" spans="1:8" ht="47.25" x14ac:dyDescent="0.25">
      <c r="A194" s="25" t="s">
        <v>133</v>
      </c>
      <c r="B194" s="16">
        <v>902</v>
      </c>
      <c r="C194" s="20" t="s">
        <v>150</v>
      </c>
      <c r="D194" s="20" t="s">
        <v>238</v>
      </c>
      <c r="E194" s="20" t="s">
        <v>242</v>
      </c>
      <c r="F194" s="20" t="s">
        <v>134</v>
      </c>
      <c r="G194" s="26">
        <f>102.8+62.2</f>
        <v>165</v>
      </c>
      <c r="H194" s="173"/>
    </row>
    <row r="195" spans="1:8" ht="16.5" customHeight="1" x14ac:dyDescent="0.25">
      <c r="A195" s="23" t="s">
        <v>243</v>
      </c>
      <c r="B195" s="19">
        <v>902</v>
      </c>
      <c r="C195" s="24" t="s">
        <v>244</v>
      </c>
      <c r="D195" s="24"/>
      <c r="E195" s="24"/>
      <c r="F195" s="24"/>
      <c r="G195" s="21">
        <f>G196+G202+G212</f>
        <v>12224.9</v>
      </c>
      <c r="H195" s="173"/>
    </row>
    <row r="196" spans="1:8" ht="15.75" x14ac:dyDescent="0.25">
      <c r="A196" s="23" t="s">
        <v>245</v>
      </c>
      <c r="B196" s="19">
        <v>902</v>
      </c>
      <c r="C196" s="24" t="s">
        <v>244</v>
      </c>
      <c r="D196" s="24" t="s">
        <v>118</v>
      </c>
      <c r="E196" s="24"/>
      <c r="F196" s="24"/>
      <c r="G196" s="21">
        <f>G197</f>
        <v>9066.4</v>
      </c>
      <c r="H196" s="173"/>
    </row>
    <row r="197" spans="1:8" ht="15.75" x14ac:dyDescent="0.25">
      <c r="A197" s="25" t="s">
        <v>121</v>
      </c>
      <c r="B197" s="16">
        <v>902</v>
      </c>
      <c r="C197" s="20" t="s">
        <v>244</v>
      </c>
      <c r="D197" s="20" t="s">
        <v>118</v>
      </c>
      <c r="E197" s="20" t="s">
        <v>122</v>
      </c>
      <c r="F197" s="20"/>
      <c r="G197" s="26">
        <f>G198</f>
        <v>9066.4</v>
      </c>
      <c r="H197" s="173"/>
    </row>
    <row r="198" spans="1:8" ht="15.75" x14ac:dyDescent="0.25">
      <c r="A198" s="25" t="s">
        <v>141</v>
      </c>
      <c r="B198" s="16">
        <v>902</v>
      </c>
      <c r="C198" s="20" t="s">
        <v>244</v>
      </c>
      <c r="D198" s="20" t="s">
        <v>118</v>
      </c>
      <c r="E198" s="20" t="s">
        <v>142</v>
      </c>
      <c r="F198" s="20"/>
      <c r="G198" s="26">
        <f>G199</f>
        <v>9066.4</v>
      </c>
      <c r="H198" s="173"/>
    </row>
    <row r="199" spans="1:8" ht="15.75" x14ac:dyDescent="0.25">
      <c r="A199" s="25" t="s">
        <v>246</v>
      </c>
      <c r="B199" s="16">
        <v>902</v>
      </c>
      <c r="C199" s="20" t="s">
        <v>244</v>
      </c>
      <c r="D199" s="20" t="s">
        <v>118</v>
      </c>
      <c r="E199" s="20" t="s">
        <v>247</v>
      </c>
      <c r="F199" s="20"/>
      <c r="G199" s="26">
        <f>G200</f>
        <v>9066.4</v>
      </c>
      <c r="H199" s="173"/>
    </row>
    <row r="200" spans="1:8" ht="31.5" x14ac:dyDescent="0.25">
      <c r="A200" s="25" t="s">
        <v>248</v>
      </c>
      <c r="B200" s="16">
        <v>902</v>
      </c>
      <c r="C200" s="20" t="s">
        <v>244</v>
      </c>
      <c r="D200" s="20" t="s">
        <v>118</v>
      </c>
      <c r="E200" s="20" t="s">
        <v>247</v>
      </c>
      <c r="F200" s="20" t="s">
        <v>249</v>
      </c>
      <c r="G200" s="26">
        <f>G201</f>
        <v>9066.4</v>
      </c>
      <c r="H200" s="173"/>
    </row>
    <row r="201" spans="1:8" ht="31.5" x14ac:dyDescent="0.25">
      <c r="A201" s="25" t="s">
        <v>250</v>
      </c>
      <c r="B201" s="16">
        <v>902</v>
      </c>
      <c r="C201" s="20" t="s">
        <v>244</v>
      </c>
      <c r="D201" s="20" t="s">
        <v>118</v>
      </c>
      <c r="E201" s="20" t="s">
        <v>247</v>
      </c>
      <c r="F201" s="20" t="s">
        <v>251</v>
      </c>
      <c r="G201" s="27">
        <v>9066.4</v>
      </c>
      <c r="H201" s="173"/>
    </row>
    <row r="202" spans="1:8" ht="15.75" x14ac:dyDescent="0.25">
      <c r="A202" s="23" t="s">
        <v>252</v>
      </c>
      <c r="B202" s="19">
        <v>902</v>
      </c>
      <c r="C202" s="24" t="s">
        <v>244</v>
      </c>
      <c r="D202" s="24" t="s">
        <v>215</v>
      </c>
      <c r="E202" s="20"/>
      <c r="F202" s="20"/>
      <c r="G202" s="21">
        <f>G203+G207</f>
        <v>10</v>
      </c>
      <c r="H202" s="173"/>
    </row>
    <row r="203" spans="1:8" ht="78.75" x14ac:dyDescent="0.25">
      <c r="A203" s="25" t="s">
        <v>253</v>
      </c>
      <c r="B203" s="16">
        <v>902</v>
      </c>
      <c r="C203" s="20" t="s">
        <v>244</v>
      </c>
      <c r="D203" s="20" t="s">
        <v>215</v>
      </c>
      <c r="E203" s="20" t="s">
        <v>254</v>
      </c>
      <c r="F203" s="20"/>
      <c r="G203" s="26">
        <f>G204</f>
        <v>10</v>
      </c>
      <c r="H203" s="173"/>
    </row>
    <row r="204" spans="1:8" ht="31.5" x14ac:dyDescent="0.25">
      <c r="A204" s="25" t="s">
        <v>157</v>
      </c>
      <c r="B204" s="16">
        <v>902</v>
      </c>
      <c r="C204" s="20" t="s">
        <v>244</v>
      </c>
      <c r="D204" s="20" t="s">
        <v>215</v>
      </c>
      <c r="E204" s="20" t="s">
        <v>255</v>
      </c>
      <c r="F204" s="20"/>
      <c r="G204" s="26">
        <f>G205</f>
        <v>10</v>
      </c>
      <c r="H204" s="173"/>
    </row>
    <row r="205" spans="1:8" ht="31.5" x14ac:dyDescent="0.25">
      <c r="A205" s="25" t="s">
        <v>248</v>
      </c>
      <c r="B205" s="16">
        <v>902</v>
      </c>
      <c r="C205" s="20" t="s">
        <v>244</v>
      </c>
      <c r="D205" s="20" t="s">
        <v>215</v>
      </c>
      <c r="E205" s="20" t="s">
        <v>255</v>
      </c>
      <c r="F205" s="20" t="s">
        <v>249</v>
      </c>
      <c r="G205" s="26">
        <f>G206</f>
        <v>10</v>
      </c>
      <c r="H205" s="173"/>
    </row>
    <row r="206" spans="1:8" ht="31.5" x14ac:dyDescent="0.25">
      <c r="A206" s="25" t="s">
        <v>250</v>
      </c>
      <c r="B206" s="16">
        <v>902</v>
      </c>
      <c r="C206" s="20" t="s">
        <v>244</v>
      </c>
      <c r="D206" s="20" t="s">
        <v>215</v>
      </c>
      <c r="E206" s="20" t="s">
        <v>255</v>
      </c>
      <c r="F206" s="20" t="s">
        <v>251</v>
      </c>
      <c r="G206" s="26">
        <v>10</v>
      </c>
      <c r="H206" s="173"/>
    </row>
    <row r="207" spans="1:8" ht="15.75" hidden="1" x14ac:dyDescent="0.25">
      <c r="A207" s="25" t="s">
        <v>121</v>
      </c>
      <c r="B207" s="16">
        <v>902</v>
      </c>
      <c r="C207" s="20" t="s">
        <v>244</v>
      </c>
      <c r="D207" s="20" t="s">
        <v>215</v>
      </c>
      <c r="E207" s="20" t="s">
        <v>122</v>
      </c>
      <c r="F207" s="20"/>
      <c r="G207" s="26">
        <f>G208</f>
        <v>0</v>
      </c>
      <c r="H207" s="173"/>
    </row>
    <row r="208" spans="1:8" ht="31.5" hidden="1" x14ac:dyDescent="0.25">
      <c r="A208" s="25" t="s">
        <v>185</v>
      </c>
      <c r="B208" s="16">
        <v>902</v>
      </c>
      <c r="C208" s="20" t="s">
        <v>244</v>
      </c>
      <c r="D208" s="20" t="s">
        <v>215</v>
      </c>
      <c r="E208" s="20" t="s">
        <v>186</v>
      </c>
      <c r="F208" s="20"/>
      <c r="G208" s="26">
        <f>G209</f>
        <v>0</v>
      </c>
      <c r="H208" s="173"/>
    </row>
    <row r="209" spans="1:12" ht="47.25" hidden="1" x14ac:dyDescent="0.25">
      <c r="A209" s="31" t="s">
        <v>256</v>
      </c>
      <c r="B209" s="16">
        <v>902</v>
      </c>
      <c r="C209" s="20" t="s">
        <v>244</v>
      </c>
      <c r="D209" s="20" t="s">
        <v>215</v>
      </c>
      <c r="E209" s="20" t="s">
        <v>257</v>
      </c>
      <c r="F209" s="20"/>
      <c r="G209" s="26">
        <f>G210</f>
        <v>0</v>
      </c>
      <c r="H209" s="173"/>
    </row>
    <row r="210" spans="1:12" ht="31.5" hidden="1" x14ac:dyDescent="0.25">
      <c r="A210" s="25" t="s">
        <v>248</v>
      </c>
      <c r="B210" s="16">
        <v>902</v>
      </c>
      <c r="C210" s="20" t="s">
        <v>244</v>
      </c>
      <c r="D210" s="20" t="s">
        <v>215</v>
      </c>
      <c r="E210" s="20" t="s">
        <v>257</v>
      </c>
      <c r="F210" s="20" t="s">
        <v>249</v>
      </c>
      <c r="G210" s="26">
        <f>G211</f>
        <v>0</v>
      </c>
      <c r="H210" s="173"/>
    </row>
    <row r="211" spans="1:12" ht="31.5" hidden="1" x14ac:dyDescent="0.25">
      <c r="A211" s="25" t="s">
        <v>250</v>
      </c>
      <c r="B211" s="16">
        <v>902</v>
      </c>
      <c r="C211" s="20" t="s">
        <v>244</v>
      </c>
      <c r="D211" s="20" t="s">
        <v>215</v>
      </c>
      <c r="E211" s="20" t="s">
        <v>257</v>
      </c>
      <c r="F211" s="20" t="s">
        <v>251</v>
      </c>
      <c r="G211" s="26">
        <f>6250-6250</f>
        <v>0</v>
      </c>
      <c r="H211" s="105"/>
      <c r="I211" s="114"/>
    </row>
    <row r="212" spans="1:12" ht="31.5" x14ac:dyDescent="0.25">
      <c r="A212" s="23" t="s">
        <v>258</v>
      </c>
      <c r="B212" s="19">
        <v>902</v>
      </c>
      <c r="C212" s="24" t="s">
        <v>244</v>
      </c>
      <c r="D212" s="24" t="s">
        <v>120</v>
      </c>
      <c r="E212" s="24"/>
      <c r="F212" s="24"/>
      <c r="G212" s="21">
        <f>G213</f>
        <v>3148.5000000000005</v>
      </c>
      <c r="H212" s="173"/>
    </row>
    <row r="213" spans="1:12" ht="15.75" x14ac:dyDescent="0.25">
      <c r="A213" s="25" t="s">
        <v>121</v>
      </c>
      <c r="B213" s="16">
        <v>902</v>
      </c>
      <c r="C213" s="20" t="s">
        <v>244</v>
      </c>
      <c r="D213" s="20" t="s">
        <v>120</v>
      </c>
      <c r="E213" s="20" t="s">
        <v>122</v>
      </c>
      <c r="F213" s="24"/>
      <c r="G213" s="26">
        <f>G214</f>
        <v>3148.5000000000005</v>
      </c>
      <c r="H213" s="173"/>
    </row>
    <row r="214" spans="1:12" ht="31.5" x14ac:dyDescent="0.25">
      <c r="A214" s="25" t="s">
        <v>185</v>
      </c>
      <c r="B214" s="16">
        <v>902</v>
      </c>
      <c r="C214" s="20" t="s">
        <v>244</v>
      </c>
      <c r="D214" s="20" t="s">
        <v>120</v>
      </c>
      <c r="E214" s="20" t="s">
        <v>186</v>
      </c>
      <c r="F214" s="20"/>
      <c r="G214" s="26">
        <f>G215</f>
        <v>3148.5000000000005</v>
      </c>
      <c r="H214" s="173"/>
    </row>
    <row r="215" spans="1:12" ht="47.25" x14ac:dyDescent="0.25">
      <c r="A215" s="31" t="s">
        <v>259</v>
      </c>
      <c r="B215" s="16">
        <v>902</v>
      </c>
      <c r="C215" s="20" t="s">
        <v>244</v>
      </c>
      <c r="D215" s="20" t="s">
        <v>120</v>
      </c>
      <c r="E215" s="20" t="s">
        <v>260</v>
      </c>
      <c r="F215" s="20"/>
      <c r="G215" s="26">
        <f>G216+G218</f>
        <v>3148.5000000000005</v>
      </c>
      <c r="H215" s="173"/>
    </row>
    <row r="216" spans="1:12" ht="94.5" x14ac:dyDescent="0.25">
      <c r="A216" s="25" t="s">
        <v>127</v>
      </c>
      <c r="B216" s="16">
        <v>902</v>
      </c>
      <c r="C216" s="20" t="s">
        <v>244</v>
      </c>
      <c r="D216" s="20" t="s">
        <v>120</v>
      </c>
      <c r="E216" s="20" t="s">
        <v>260</v>
      </c>
      <c r="F216" s="20" t="s">
        <v>128</v>
      </c>
      <c r="G216" s="26">
        <f>G217</f>
        <v>2884.1000000000004</v>
      </c>
      <c r="H216" s="173"/>
    </row>
    <row r="217" spans="1:12" ht="31.5" x14ac:dyDescent="0.25">
      <c r="A217" s="25" t="s">
        <v>129</v>
      </c>
      <c r="B217" s="16">
        <v>902</v>
      </c>
      <c r="C217" s="20" t="s">
        <v>244</v>
      </c>
      <c r="D217" s="20" t="s">
        <v>120</v>
      </c>
      <c r="E217" s="20" t="s">
        <v>260</v>
      </c>
      <c r="F217" s="20" t="s">
        <v>130</v>
      </c>
      <c r="G217" s="27">
        <f>2826.8+14.8+42.5</f>
        <v>2884.1000000000004</v>
      </c>
      <c r="H217" s="105"/>
    </row>
    <row r="218" spans="1:12" ht="31.5" x14ac:dyDescent="0.25">
      <c r="A218" s="25" t="s">
        <v>131</v>
      </c>
      <c r="B218" s="16">
        <v>902</v>
      </c>
      <c r="C218" s="20" t="s">
        <v>244</v>
      </c>
      <c r="D218" s="20" t="s">
        <v>120</v>
      </c>
      <c r="E218" s="20" t="s">
        <v>260</v>
      </c>
      <c r="F218" s="20" t="s">
        <v>132</v>
      </c>
      <c r="G218" s="26">
        <f>G219</f>
        <v>264.39999999999998</v>
      </c>
      <c r="H218" s="173"/>
    </row>
    <row r="219" spans="1:12" ht="47.25" x14ac:dyDescent="0.25">
      <c r="A219" s="25" t="s">
        <v>133</v>
      </c>
      <c r="B219" s="16">
        <v>902</v>
      </c>
      <c r="C219" s="20" t="s">
        <v>244</v>
      </c>
      <c r="D219" s="20" t="s">
        <v>120</v>
      </c>
      <c r="E219" s="20" t="s">
        <v>260</v>
      </c>
      <c r="F219" s="20" t="s">
        <v>134</v>
      </c>
      <c r="G219" s="27">
        <f>433.9-112.2-14.8-42.5</f>
        <v>264.39999999999998</v>
      </c>
      <c r="H219" s="105"/>
      <c r="I219" s="114"/>
    </row>
    <row r="220" spans="1:12" ht="47.25" x14ac:dyDescent="0.25">
      <c r="A220" s="19" t="s">
        <v>261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3"/>
      <c r="L220" s="115"/>
    </row>
    <row r="221" spans="1:12" ht="15.75" hidden="1" x14ac:dyDescent="0.25">
      <c r="A221" s="23" t="s">
        <v>117</v>
      </c>
      <c r="B221" s="19">
        <v>903</v>
      </c>
      <c r="C221" s="24" t="s">
        <v>118</v>
      </c>
      <c r="D221" s="24"/>
      <c r="E221" s="24"/>
      <c r="F221" s="24"/>
      <c r="G221" s="21">
        <f t="shared" ref="G221:G226" si="0">G222</f>
        <v>0</v>
      </c>
      <c r="H221" s="173"/>
    </row>
    <row r="222" spans="1:12" ht="15.75" hidden="1" x14ac:dyDescent="0.25">
      <c r="A222" s="34" t="s">
        <v>139</v>
      </c>
      <c r="B222" s="19">
        <v>903</v>
      </c>
      <c r="C222" s="24" t="s">
        <v>118</v>
      </c>
      <c r="D222" s="24" t="s">
        <v>140</v>
      </c>
      <c r="E222" s="24"/>
      <c r="F222" s="24"/>
      <c r="G222" s="21">
        <f t="shared" si="0"/>
        <v>0</v>
      </c>
      <c r="H222" s="173"/>
    </row>
    <row r="223" spans="1:12" ht="15.75" hidden="1" x14ac:dyDescent="0.25">
      <c r="A223" s="31" t="s">
        <v>121</v>
      </c>
      <c r="B223" s="16">
        <v>903</v>
      </c>
      <c r="C223" s="20" t="s">
        <v>118</v>
      </c>
      <c r="D223" s="20" t="s">
        <v>140</v>
      </c>
      <c r="E223" s="20" t="s">
        <v>122</v>
      </c>
      <c r="F223" s="20"/>
      <c r="G223" s="26">
        <f t="shared" si="0"/>
        <v>0</v>
      </c>
      <c r="H223" s="173"/>
    </row>
    <row r="224" spans="1:12" ht="15.75" hidden="1" x14ac:dyDescent="0.25">
      <c r="A224" s="31" t="s">
        <v>141</v>
      </c>
      <c r="B224" s="16">
        <v>903</v>
      </c>
      <c r="C224" s="20" t="s">
        <v>118</v>
      </c>
      <c r="D224" s="20" t="s">
        <v>140</v>
      </c>
      <c r="E224" s="20" t="s">
        <v>142</v>
      </c>
      <c r="F224" s="20"/>
      <c r="G224" s="26">
        <f t="shared" si="0"/>
        <v>0</v>
      </c>
      <c r="H224" s="173"/>
    </row>
    <row r="225" spans="1:8" ht="15.75" hidden="1" x14ac:dyDescent="0.25">
      <c r="A225" s="25" t="s">
        <v>179</v>
      </c>
      <c r="B225" s="16">
        <v>903</v>
      </c>
      <c r="C225" s="20" t="s">
        <v>118</v>
      </c>
      <c r="D225" s="20" t="s">
        <v>140</v>
      </c>
      <c r="E225" s="20" t="s">
        <v>262</v>
      </c>
      <c r="F225" s="20"/>
      <c r="G225" s="26">
        <f t="shared" si="0"/>
        <v>0</v>
      </c>
      <c r="H225" s="173"/>
    </row>
    <row r="226" spans="1:8" ht="31.5" hidden="1" x14ac:dyDescent="0.25">
      <c r="A226" s="25" t="s">
        <v>131</v>
      </c>
      <c r="B226" s="16">
        <v>903</v>
      </c>
      <c r="C226" s="20" t="s">
        <v>118</v>
      </c>
      <c r="D226" s="20" t="s">
        <v>140</v>
      </c>
      <c r="E226" s="20" t="s">
        <v>262</v>
      </c>
      <c r="F226" s="20" t="s">
        <v>132</v>
      </c>
      <c r="G226" s="26">
        <f t="shared" si="0"/>
        <v>0</v>
      </c>
      <c r="H226" s="173"/>
    </row>
    <row r="227" spans="1:8" ht="47.25" hidden="1" x14ac:dyDescent="0.25">
      <c r="A227" s="25" t="s">
        <v>133</v>
      </c>
      <c r="B227" s="16">
        <v>903</v>
      </c>
      <c r="C227" s="20" t="s">
        <v>118</v>
      </c>
      <c r="D227" s="20" t="s">
        <v>140</v>
      </c>
      <c r="E227" s="20" t="s">
        <v>262</v>
      </c>
      <c r="F227" s="20" t="s">
        <v>134</v>
      </c>
      <c r="G227" s="26"/>
      <c r="H227" s="173"/>
    </row>
    <row r="228" spans="1:8" ht="15.75" x14ac:dyDescent="0.25">
      <c r="A228" s="23" t="s">
        <v>117</v>
      </c>
      <c r="B228" s="19">
        <v>903</v>
      </c>
      <c r="C228" s="24" t="s">
        <v>118</v>
      </c>
      <c r="D228" s="20"/>
      <c r="E228" s="20"/>
      <c r="F228" s="20"/>
      <c r="G228" s="26">
        <f t="shared" ref="G228:G233" si="1">G229</f>
        <v>88.7</v>
      </c>
      <c r="H228" s="173"/>
    </row>
    <row r="229" spans="1:8" ht="15.75" x14ac:dyDescent="0.25">
      <c r="A229" s="23" t="s">
        <v>139</v>
      </c>
      <c r="B229" s="19">
        <v>903</v>
      </c>
      <c r="C229" s="24" t="s">
        <v>118</v>
      </c>
      <c r="D229" s="24" t="s">
        <v>140</v>
      </c>
      <c r="E229" s="20"/>
      <c r="F229" s="20"/>
      <c r="G229" s="26">
        <f t="shared" si="1"/>
        <v>88.7</v>
      </c>
      <c r="H229" s="173"/>
    </row>
    <row r="230" spans="1:8" ht="15.75" x14ac:dyDescent="0.25">
      <c r="A230" s="25" t="s">
        <v>121</v>
      </c>
      <c r="B230" s="16">
        <v>903</v>
      </c>
      <c r="C230" s="20" t="s">
        <v>118</v>
      </c>
      <c r="D230" s="20" t="s">
        <v>140</v>
      </c>
      <c r="E230" s="20" t="s">
        <v>122</v>
      </c>
      <c r="F230" s="20"/>
      <c r="G230" s="26">
        <f t="shared" si="1"/>
        <v>88.7</v>
      </c>
      <c r="H230" s="173"/>
    </row>
    <row r="231" spans="1:8" ht="31.5" x14ac:dyDescent="0.25">
      <c r="A231" s="25" t="s">
        <v>185</v>
      </c>
      <c r="B231" s="16">
        <v>903</v>
      </c>
      <c r="C231" s="20" t="s">
        <v>118</v>
      </c>
      <c r="D231" s="20" t="s">
        <v>140</v>
      </c>
      <c r="E231" s="20" t="s">
        <v>186</v>
      </c>
      <c r="F231" s="20"/>
      <c r="G231" s="26">
        <f t="shared" si="1"/>
        <v>88.7</v>
      </c>
      <c r="H231" s="173"/>
    </row>
    <row r="232" spans="1:8" ht="47.25" x14ac:dyDescent="0.25">
      <c r="A232" s="35" t="s">
        <v>735</v>
      </c>
      <c r="B232" s="16">
        <v>903</v>
      </c>
      <c r="C232" s="20" t="s">
        <v>118</v>
      </c>
      <c r="D232" s="20" t="s">
        <v>140</v>
      </c>
      <c r="E232" s="20" t="s">
        <v>734</v>
      </c>
      <c r="F232" s="24"/>
      <c r="G232" s="26">
        <f t="shared" si="1"/>
        <v>88.7</v>
      </c>
      <c r="H232" s="173"/>
    </row>
    <row r="233" spans="1:8" ht="31.5" x14ac:dyDescent="0.25">
      <c r="A233" s="25" t="s">
        <v>131</v>
      </c>
      <c r="B233" s="16">
        <v>903</v>
      </c>
      <c r="C233" s="20" t="s">
        <v>118</v>
      </c>
      <c r="D233" s="20" t="s">
        <v>140</v>
      </c>
      <c r="E233" s="20" t="s">
        <v>734</v>
      </c>
      <c r="F233" s="20" t="s">
        <v>132</v>
      </c>
      <c r="G233" s="26">
        <f t="shared" si="1"/>
        <v>88.7</v>
      </c>
      <c r="H233" s="173"/>
    </row>
    <row r="234" spans="1:8" ht="53.45" customHeight="1" x14ac:dyDescent="0.25">
      <c r="A234" s="25" t="s">
        <v>133</v>
      </c>
      <c r="B234" s="16">
        <v>903</v>
      </c>
      <c r="C234" s="20" t="s">
        <v>118</v>
      </c>
      <c r="D234" s="20" t="s">
        <v>140</v>
      </c>
      <c r="E234" s="20" t="s">
        <v>734</v>
      </c>
      <c r="F234" s="20" t="s">
        <v>134</v>
      </c>
      <c r="G234" s="159">
        <v>88.7</v>
      </c>
      <c r="H234" s="154" t="s">
        <v>729</v>
      </c>
    </row>
    <row r="235" spans="1:8" ht="15.75" x14ac:dyDescent="0.25">
      <c r="A235" s="23" t="s">
        <v>263</v>
      </c>
      <c r="B235" s="19">
        <v>903</v>
      </c>
      <c r="C235" s="24" t="s">
        <v>264</v>
      </c>
      <c r="D235" s="20"/>
      <c r="E235" s="20"/>
      <c r="F235" s="20"/>
      <c r="G235" s="21">
        <f>G236+G271</f>
        <v>17482.699999999997</v>
      </c>
      <c r="H235" s="173"/>
    </row>
    <row r="236" spans="1:8" ht="15.75" x14ac:dyDescent="0.25">
      <c r="A236" s="23" t="s">
        <v>265</v>
      </c>
      <c r="B236" s="19">
        <v>903</v>
      </c>
      <c r="C236" s="24" t="s">
        <v>264</v>
      </c>
      <c r="D236" s="24" t="s">
        <v>215</v>
      </c>
      <c r="E236" s="24"/>
      <c r="F236" s="24"/>
      <c r="G236" s="21">
        <f>G237+G260</f>
        <v>17482.699999999997</v>
      </c>
      <c r="H236" s="173"/>
    </row>
    <row r="237" spans="1:8" ht="47.25" x14ac:dyDescent="0.25">
      <c r="A237" s="25" t="s">
        <v>266</v>
      </c>
      <c r="B237" s="16">
        <v>903</v>
      </c>
      <c r="C237" s="20" t="s">
        <v>264</v>
      </c>
      <c r="D237" s="20" t="s">
        <v>215</v>
      </c>
      <c r="E237" s="20" t="s">
        <v>267</v>
      </c>
      <c r="F237" s="20"/>
      <c r="G237" s="26">
        <f>G238</f>
        <v>16445.599999999999</v>
      </c>
      <c r="H237" s="173"/>
    </row>
    <row r="238" spans="1:8" ht="63" x14ac:dyDescent="0.25">
      <c r="A238" s="25" t="s">
        <v>268</v>
      </c>
      <c r="B238" s="16">
        <v>903</v>
      </c>
      <c r="C238" s="20" t="s">
        <v>264</v>
      </c>
      <c r="D238" s="20" t="s">
        <v>215</v>
      </c>
      <c r="E238" s="20" t="s">
        <v>269</v>
      </c>
      <c r="F238" s="20"/>
      <c r="G238" s="26">
        <f>G239+G251</f>
        <v>16445.599999999999</v>
      </c>
      <c r="H238" s="173"/>
    </row>
    <row r="239" spans="1:8" ht="47.25" x14ac:dyDescent="0.25">
      <c r="A239" s="25" t="s">
        <v>270</v>
      </c>
      <c r="B239" s="16">
        <v>903</v>
      </c>
      <c r="C239" s="20" t="s">
        <v>264</v>
      </c>
      <c r="D239" s="20" t="s">
        <v>215</v>
      </c>
      <c r="E239" s="20" t="s">
        <v>271</v>
      </c>
      <c r="F239" s="20"/>
      <c r="G239" s="26">
        <f>G240</f>
        <v>16395.599999999999</v>
      </c>
      <c r="H239" s="173"/>
    </row>
    <row r="240" spans="1:8" ht="47.25" x14ac:dyDescent="0.25">
      <c r="A240" s="25" t="s">
        <v>272</v>
      </c>
      <c r="B240" s="16">
        <v>903</v>
      </c>
      <c r="C240" s="20" t="s">
        <v>264</v>
      </c>
      <c r="D240" s="20" t="s">
        <v>215</v>
      </c>
      <c r="E240" s="20" t="s">
        <v>271</v>
      </c>
      <c r="F240" s="20" t="s">
        <v>273</v>
      </c>
      <c r="G240" s="26">
        <f>G241</f>
        <v>16395.599999999999</v>
      </c>
      <c r="H240" s="173"/>
    </row>
    <row r="241" spans="1:9" ht="15.75" x14ac:dyDescent="0.25">
      <c r="A241" s="25" t="s">
        <v>274</v>
      </c>
      <c r="B241" s="16">
        <v>903</v>
      </c>
      <c r="C241" s="20" t="s">
        <v>264</v>
      </c>
      <c r="D241" s="20" t="s">
        <v>215</v>
      </c>
      <c r="E241" s="20" t="s">
        <v>271</v>
      </c>
      <c r="F241" s="20" t="s">
        <v>275</v>
      </c>
      <c r="G241" s="27">
        <f>15572+756.3+67.3</f>
        <v>16395.599999999999</v>
      </c>
      <c r="H241" s="105"/>
      <c r="I241" s="124"/>
    </row>
    <row r="242" spans="1:9" ht="47.25" hidden="1" x14ac:dyDescent="0.25">
      <c r="A242" s="25" t="s">
        <v>276</v>
      </c>
      <c r="B242" s="16">
        <v>903</v>
      </c>
      <c r="C242" s="20" t="s">
        <v>264</v>
      </c>
      <c r="D242" s="20" t="s">
        <v>215</v>
      </c>
      <c r="E242" s="20" t="s">
        <v>277</v>
      </c>
      <c r="F242" s="20"/>
      <c r="G242" s="26">
        <f>G243</f>
        <v>0</v>
      </c>
      <c r="H242" s="173"/>
    </row>
    <row r="243" spans="1:9" ht="47.25" hidden="1" x14ac:dyDescent="0.25">
      <c r="A243" s="25" t="s">
        <v>272</v>
      </c>
      <c r="B243" s="16">
        <v>903</v>
      </c>
      <c r="C243" s="20" t="s">
        <v>264</v>
      </c>
      <c r="D243" s="20" t="s">
        <v>215</v>
      </c>
      <c r="E243" s="20" t="s">
        <v>277</v>
      </c>
      <c r="F243" s="20" t="s">
        <v>273</v>
      </c>
      <c r="G243" s="26">
        <f>G244</f>
        <v>0</v>
      </c>
      <c r="H243" s="173"/>
    </row>
    <row r="244" spans="1:9" ht="15.75" hidden="1" x14ac:dyDescent="0.25">
      <c r="A244" s="25" t="s">
        <v>274</v>
      </c>
      <c r="B244" s="16">
        <v>903</v>
      </c>
      <c r="C244" s="20" t="s">
        <v>264</v>
      </c>
      <c r="D244" s="20" t="s">
        <v>215</v>
      </c>
      <c r="E244" s="20" t="s">
        <v>277</v>
      </c>
      <c r="F244" s="20" t="s">
        <v>275</v>
      </c>
      <c r="G244" s="26">
        <v>0</v>
      </c>
      <c r="H244" s="173"/>
    </row>
    <row r="245" spans="1:9" ht="47.25" hidden="1" x14ac:dyDescent="0.25">
      <c r="A245" s="25" t="s">
        <v>278</v>
      </c>
      <c r="B245" s="16">
        <v>903</v>
      </c>
      <c r="C245" s="20" t="s">
        <v>264</v>
      </c>
      <c r="D245" s="20" t="s">
        <v>215</v>
      </c>
      <c r="E245" s="20" t="s">
        <v>279</v>
      </c>
      <c r="F245" s="20"/>
      <c r="G245" s="26">
        <f>G246</f>
        <v>0</v>
      </c>
      <c r="H245" s="173"/>
    </row>
    <row r="246" spans="1:9" ht="47.25" hidden="1" x14ac:dyDescent="0.25">
      <c r="A246" s="25" t="s">
        <v>272</v>
      </c>
      <c r="B246" s="16">
        <v>903</v>
      </c>
      <c r="C246" s="20" t="s">
        <v>264</v>
      </c>
      <c r="D246" s="20" t="s">
        <v>215</v>
      </c>
      <c r="E246" s="20" t="s">
        <v>279</v>
      </c>
      <c r="F246" s="20" t="s">
        <v>273</v>
      </c>
      <c r="G246" s="26">
        <f>G247</f>
        <v>0</v>
      </c>
      <c r="H246" s="173"/>
    </row>
    <row r="247" spans="1:9" ht="15.75" hidden="1" x14ac:dyDescent="0.25">
      <c r="A247" s="25" t="s">
        <v>274</v>
      </c>
      <c r="B247" s="16">
        <v>903</v>
      </c>
      <c r="C247" s="20" t="s">
        <v>264</v>
      </c>
      <c r="D247" s="20" t="s">
        <v>215</v>
      </c>
      <c r="E247" s="20" t="s">
        <v>279</v>
      </c>
      <c r="F247" s="20" t="s">
        <v>275</v>
      </c>
      <c r="G247" s="26">
        <v>0</v>
      </c>
      <c r="H247" s="173"/>
    </row>
    <row r="248" spans="1:9" ht="31.5" hidden="1" x14ac:dyDescent="0.25">
      <c r="A248" s="25" t="s">
        <v>280</v>
      </c>
      <c r="B248" s="16">
        <v>903</v>
      </c>
      <c r="C248" s="20" t="s">
        <v>264</v>
      </c>
      <c r="D248" s="20" t="s">
        <v>215</v>
      </c>
      <c r="E248" s="20" t="s">
        <v>281</v>
      </c>
      <c r="F248" s="20"/>
      <c r="G248" s="26">
        <f>G249</f>
        <v>0</v>
      </c>
      <c r="H248" s="173"/>
    </row>
    <row r="249" spans="1:9" ht="47.25" hidden="1" x14ac:dyDescent="0.25">
      <c r="A249" s="25" t="s">
        <v>272</v>
      </c>
      <c r="B249" s="16">
        <v>903</v>
      </c>
      <c r="C249" s="20" t="s">
        <v>264</v>
      </c>
      <c r="D249" s="20" t="s">
        <v>215</v>
      </c>
      <c r="E249" s="20" t="s">
        <v>281</v>
      </c>
      <c r="F249" s="20" t="s">
        <v>273</v>
      </c>
      <c r="G249" s="26">
        <f>G250</f>
        <v>0</v>
      </c>
      <c r="H249" s="173"/>
    </row>
    <row r="250" spans="1:9" ht="15.75" hidden="1" x14ac:dyDescent="0.25">
      <c r="A250" s="25" t="s">
        <v>274</v>
      </c>
      <c r="B250" s="16">
        <v>903</v>
      </c>
      <c r="C250" s="20" t="s">
        <v>264</v>
      </c>
      <c r="D250" s="20" t="s">
        <v>215</v>
      </c>
      <c r="E250" s="20" t="s">
        <v>281</v>
      </c>
      <c r="F250" s="20" t="s">
        <v>275</v>
      </c>
      <c r="G250" s="26">
        <v>0</v>
      </c>
      <c r="H250" s="173"/>
    </row>
    <row r="251" spans="1:9" ht="47.25" x14ac:dyDescent="0.25">
      <c r="A251" s="25" t="s">
        <v>282</v>
      </c>
      <c r="B251" s="16">
        <v>903</v>
      </c>
      <c r="C251" s="20" t="s">
        <v>264</v>
      </c>
      <c r="D251" s="20" t="s">
        <v>215</v>
      </c>
      <c r="E251" s="20" t="s">
        <v>283</v>
      </c>
      <c r="F251" s="20"/>
      <c r="G251" s="26">
        <f>G252</f>
        <v>50</v>
      </c>
      <c r="H251" s="173"/>
    </row>
    <row r="252" spans="1:9" ht="47.25" x14ac:dyDescent="0.25">
      <c r="A252" s="25" t="s">
        <v>272</v>
      </c>
      <c r="B252" s="16">
        <v>903</v>
      </c>
      <c r="C252" s="20" t="s">
        <v>264</v>
      </c>
      <c r="D252" s="20" t="s">
        <v>215</v>
      </c>
      <c r="E252" s="20" t="s">
        <v>283</v>
      </c>
      <c r="F252" s="20" t="s">
        <v>273</v>
      </c>
      <c r="G252" s="26">
        <f>G253</f>
        <v>50</v>
      </c>
      <c r="H252" s="173"/>
    </row>
    <row r="253" spans="1:9" ht="15.75" x14ac:dyDescent="0.25">
      <c r="A253" s="25" t="s">
        <v>274</v>
      </c>
      <c r="B253" s="16">
        <v>903</v>
      </c>
      <c r="C253" s="20" t="s">
        <v>264</v>
      </c>
      <c r="D253" s="20" t="s">
        <v>215</v>
      </c>
      <c r="E253" s="20" t="s">
        <v>283</v>
      </c>
      <c r="F253" s="20" t="s">
        <v>275</v>
      </c>
      <c r="G253" s="26">
        <v>50</v>
      </c>
      <c r="H253" s="173"/>
    </row>
    <row r="254" spans="1:9" ht="31.5" hidden="1" x14ac:dyDescent="0.25">
      <c r="A254" s="25" t="s">
        <v>284</v>
      </c>
      <c r="B254" s="16">
        <v>903</v>
      </c>
      <c r="C254" s="20" t="s">
        <v>264</v>
      </c>
      <c r="D254" s="20" t="s">
        <v>215</v>
      </c>
      <c r="E254" s="20" t="s">
        <v>285</v>
      </c>
      <c r="F254" s="20"/>
      <c r="G254" s="26">
        <f>G255</f>
        <v>0</v>
      </c>
      <c r="H254" s="173"/>
    </row>
    <row r="255" spans="1:9" ht="47.25" hidden="1" x14ac:dyDescent="0.25">
      <c r="A255" s="25" t="s">
        <v>272</v>
      </c>
      <c r="B255" s="16">
        <v>903</v>
      </c>
      <c r="C255" s="20" t="s">
        <v>264</v>
      </c>
      <c r="D255" s="20" t="s">
        <v>215</v>
      </c>
      <c r="E255" s="20" t="s">
        <v>286</v>
      </c>
      <c r="F255" s="20" t="s">
        <v>273</v>
      </c>
      <c r="G255" s="26">
        <f>G256</f>
        <v>0</v>
      </c>
      <c r="H255" s="173"/>
    </row>
    <row r="256" spans="1:9" ht="15.75" hidden="1" x14ac:dyDescent="0.25">
      <c r="A256" s="25" t="s">
        <v>274</v>
      </c>
      <c r="B256" s="16">
        <v>903</v>
      </c>
      <c r="C256" s="20" t="s">
        <v>264</v>
      </c>
      <c r="D256" s="20" t="s">
        <v>215</v>
      </c>
      <c r="E256" s="20" t="s">
        <v>286</v>
      </c>
      <c r="F256" s="20" t="s">
        <v>275</v>
      </c>
      <c r="G256" s="26">
        <v>0</v>
      </c>
      <c r="H256" s="173"/>
    </row>
    <row r="257" spans="1:9" ht="47.25" hidden="1" x14ac:dyDescent="0.25">
      <c r="A257" s="35" t="s">
        <v>287</v>
      </c>
      <c r="B257" s="16">
        <v>903</v>
      </c>
      <c r="C257" s="20" t="s">
        <v>264</v>
      </c>
      <c r="D257" s="20" t="s">
        <v>215</v>
      </c>
      <c r="E257" s="20" t="s">
        <v>288</v>
      </c>
      <c r="F257" s="20"/>
      <c r="G257" s="26">
        <f>G258</f>
        <v>0</v>
      </c>
      <c r="H257" s="173"/>
    </row>
    <row r="258" spans="1:9" ht="47.25" hidden="1" x14ac:dyDescent="0.25">
      <c r="A258" s="25" t="s">
        <v>272</v>
      </c>
      <c r="B258" s="16">
        <v>903</v>
      </c>
      <c r="C258" s="20" t="s">
        <v>264</v>
      </c>
      <c r="D258" s="20" t="s">
        <v>215</v>
      </c>
      <c r="E258" s="20" t="s">
        <v>288</v>
      </c>
      <c r="F258" s="20" t="s">
        <v>273</v>
      </c>
      <c r="G258" s="26">
        <f>G259</f>
        <v>0</v>
      </c>
      <c r="H258" s="173"/>
    </row>
    <row r="259" spans="1:9" ht="15.75" hidden="1" x14ac:dyDescent="0.25">
      <c r="A259" s="25" t="s">
        <v>274</v>
      </c>
      <c r="B259" s="16">
        <v>903</v>
      </c>
      <c r="C259" s="20" t="s">
        <v>264</v>
      </c>
      <c r="D259" s="20" t="s">
        <v>215</v>
      </c>
      <c r="E259" s="20" t="s">
        <v>288</v>
      </c>
      <c r="F259" s="20" t="s">
        <v>275</v>
      </c>
      <c r="G259" s="26">
        <v>0</v>
      </c>
      <c r="H259" s="173"/>
    </row>
    <row r="260" spans="1:9" ht="15.75" x14ac:dyDescent="0.25">
      <c r="A260" s="25" t="s">
        <v>121</v>
      </c>
      <c r="B260" s="16">
        <v>903</v>
      </c>
      <c r="C260" s="20" t="s">
        <v>264</v>
      </c>
      <c r="D260" s="20" t="s">
        <v>215</v>
      </c>
      <c r="E260" s="20" t="s">
        <v>122</v>
      </c>
      <c r="F260" s="20"/>
      <c r="G260" s="26">
        <f>G261</f>
        <v>1037.1000000000001</v>
      </c>
      <c r="H260" s="173"/>
    </row>
    <row r="261" spans="1:9" ht="31.5" x14ac:dyDescent="0.25">
      <c r="A261" s="25" t="s">
        <v>185</v>
      </c>
      <c r="B261" s="16">
        <v>903</v>
      </c>
      <c r="C261" s="20" t="s">
        <v>264</v>
      </c>
      <c r="D261" s="20" t="s">
        <v>215</v>
      </c>
      <c r="E261" s="20" t="s">
        <v>186</v>
      </c>
      <c r="F261" s="20"/>
      <c r="G261" s="26">
        <f>G262+G265+G268</f>
        <v>1037.1000000000001</v>
      </c>
      <c r="H261" s="173"/>
    </row>
    <row r="262" spans="1:9" ht="63" x14ac:dyDescent="0.25">
      <c r="A262" s="31" t="s">
        <v>289</v>
      </c>
      <c r="B262" s="16">
        <v>903</v>
      </c>
      <c r="C262" s="20" t="s">
        <v>264</v>
      </c>
      <c r="D262" s="20" t="s">
        <v>215</v>
      </c>
      <c r="E262" s="20" t="s">
        <v>290</v>
      </c>
      <c r="F262" s="20"/>
      <c r="G262" s="26">
        <f>G263</f>
        <v>126.69999999999999</v>
      </c>
      <c r="H262" s="173"/>
    </row>
    <row r="263" spans="1:9" ht="47.25" x14ac:dyDescent="0.25">
      <c r="A263" s="25" t="s">
        <v>272</v>
      </c>
      <c r="B263" s="16">
        <v>903</v>
      </c>
      <c r="C263" s="20" t="s">
        <v>264</v>
      </c>
      <c r="D263" s="20" t="s">
        <v>215</v>
      </c>
      <c r="E263" s="20" t="s">
        <v>290</v>
      </c>
      <c r="F263" s="20" t="s">
        <v>273</v>
      </c>
      <c r="G263" s="26">
        <f>G264</f>
        <v>126.69999999999999</v>
      </c>
      <c r="H263" s="173"/>
    </row>
    <row r="264" spans="1:9" ht="15.75" x14ac:dyDescent="0.25">
      <c r="A264" s="25" t="s">
        <v>274</v>
      </c>
      <c r="B264" s="16">
        <v>903</v>
      </c>
      <c r="C264" s="20" t="s">
        <v>264</v>
      </c>
      <c r="D264" s="20" t="s">
        <v>215</v>
      </c>
      <c r="E264" s="20" t="s">
        <v>290</v>
      </c>
      <c r="F264" s="20" t="s">
        <v>275</v>
      </c>
      <c r="G264" s="26">
        <f>162.6-35.9</f>
        <v>126.69999999999999</v>
      </c>
      <c r="H264" s="173"/>
      <c r="I264" s="114"/>
    </row>
    <row r="265" spans="1:9" ht="78.75" x14ac:dyDescent="0.25">
      <c r="A265" s="31" t="s">
        <v>291</v>
      </c>
      <c r="B265" s="16">
        <v>903</v>
      </c>
      <c r="C265" s="20" t="s">
        <v>264</v>
      </c>
      <c r="D265" s="20" t="s">
        <v>215</v>
      </c>
      <c r="E265" s="20" t="s">
        <v>292</v>
      </c>
      <c r="F265" s="20"/>
      <c r="G265" s="26">
        <f>G266</f>
        <v>310.70000000000005</v>
      </c>
      <c r="H265" s="173"/>
    </row>
    <row r="266" spans="1:9" ht="47.25" x14ac:dyDescent="0.25">
      <c r="A266" s="25" t="s">
        <v>272</v>
      </c>
      <c r="B266" s="16">
        <v>903</v>
      </c>
      <c r="C266" s="20" t="s">
        <v>264</v>
      </c>
      <c r="D266" s="20" t="s">
        <v>215</v>
      </c>
      <c r="E266" s="20" t="s">
        <v>292</v>
      </c>
      <c r="F266" s="20" t="s">
        <v>273</v>
      </c>
      <c r="G266" s="26">
        <f>G267</f>
        <v>310.70000000000005</v>
      </c>
      <c r="H266" s="173"/>
    </row>
    <row r="267" spans="1:9" ht="15.75" x14ac:dyDescent="0.25">
      <c r="A267" s="25" t="s">
        <v>274</v>
      </c>
      <c r="B267" s="16">
        <v>903</v>
      </c>
      <c r="C267" s="20" t="s">
        <v>264</v>
      </c>
      <c r="D267" s="20" t="s">
        <v>215</v>
      </c>
      <c r="E267" s="20" t="s">
        <v>292</v>
      </c>
      <c r="F267" s="20" t="s">
        <v>275</v>
      </c>
      <c r="G267" s="26">
        <f>393.3-82.6</f>
        <v>310.70000000000005</v>
      </c>
      <c r="H267" s="173"/>
      <c r="I267" s="114"/>
    </row>
    <row r="268" spans="1:9" ht="110.25" x14ac:dyDescent="0.25">
      <c r="A268" s="31" t="s">
        <v>293</v>
      </c>
      <c r="B268" s="16">
        <v>903</v>
      </c>
      <c r="C268" s="20" t="s">
        <v>264</v>
      </c>
      <c r="D268" s="20" t="s">
        <v>215</v>
      </c>
      <c r="E268" s="20" t="s">
        <v>294</v>
      </c>
      <c r="F268" s="20"/>
      <c r="G268" s="26">
        <f>G269</f>
        <v>599.70000000000005</v>
      </c>
      <c r="H268" s="173"/>
    </row>
    <row r="269" spans="1:9" ht="47.25" x14ac:dyDescent="0.25">
      <c r="A269" s="25" t="s">
        <v>272</v>
      </c>
      <c r="B269" s="16">
        <v>903</v>
      </c>
      <c r="C269" s="20" t="s">
        <v>264</v>
      </c>
      <c r="D269" s="20" t="s">
        <v>215</v>
      </c>
      <c r="E269" s="20" t="s">
        <v>294</v>
      </c>
      <c r="F269" s="20" t="s">
        <v>273</v>
      </c>
      <c r="G269" s="26">
        <f>G270</f>
        <v>599.70000000000005</v>
      </c>
      <c r="H269" s="173"/>
    </row>
    <row r="270" spans="1:9" ht="15.75" x14ac:dyDescent="0.25">
      <c r="A270" s="25" t="s">
        <v>274</v>
      </c>
      <c r="B270" s="16">
        <v>903</v>
      </c>
      <c r="C270" s="20" t="s">
        <v>264</v>
      </c>
      <c r="D270" s="20" t="s">
        <v>215</v>
      </c>
      <c r="E270" s="20" t="s">
        <v>294</v>
      </c>
      <c r="F270" s="20" t="s">
        <v>275</v>
      </c>
      <c r="G270" s="26">
        <f>600-0.3</f>
        <v>599.70000000000005</v>
      </c>
      <c r="H270" s="173"/>
      <c r="I270" s="114"/>
    </row>
    <row r="271" spans="1:9" ht="15.75" hidden="1" x14ac:dyDescent="0.25">
      <c r="A271" s="23" t="s">
        <v>295</v>
      </c>
      <c r="B271" s="19">
        <v>903</v>
      </c>
      <c r="C271" s="24" t="s">
        <v>264</v>
      </c>
      <c r="D271" s="24" t="s">
        <v>219</v>
      </c>
      <c r="E271" s="24"/>
      <c r="F271" s="24"/>
      <c r="G271" s="26">
        <f>G272</f>
        <v>0</v>
      </c>
      <c r="H271" s="173"/>
    </row>
    <row r="272" spans="1:9" ht="15.75" hidden="1" x14ac:dyDescent="0.25">
      <c r="A272" s="25" t="s">
        <v>121</v>
      </c>
      <c r="B272" s="16">
        <v>903</v>
      </c>
      <c r="C272" s="20" t="s">
        <v>264</v>
      </c>
      <c r="D272" s="20" t="s">
        <v>219</v>
      </c>
      <c r="E272" s="20" t="s">
        <v>122</v>
      </c>
      <c r="F272" s="20"/>
      <c r="G272" s="26">
        <f>G273</f>
        <v>0</v>
      </c>
      <c r="H272" s="173"/>
    </row>
    <row r="273" spans="1:12" ht="31.5" hidden="1" x14ac:dyDescent="0.25">
      <c r="A273" s="25" t="s">
        <v>185</v>
      </c>
      <c r="B273" s="16">
        <v>903</v>
      </c>
      <c r="C273" s="20" t="s">
        <v>264</v>
      </c>
      <c r="D273" s="20" t="s">
        <v>219</v>
      </c>
      <c r="E273" s="20" t="s">
        <v>186</v>
      </c>
      <c r="F273" s="20"/>
      <c r="G273" s="26">
        <f>G274</f>
        <v>0</v>
      </c>
      <c r="H273" s="173"/>
    </row>
    <row r="274" spans="1:12" ht="31.5" hidden="1" x14ac:dyDescent="0.25">
      <c r="A274" s="36" t="s">
        <v>296</v>
      </c>
      <c r="B274" s="37">
        <v>903</v>
      </c>
      <c r="C274" s="20" t="s">
        <v>264</v>
      </c>
      <c r="D274" s="20" t="s">
        <v>219</v>
      </c>
      <c r="E274" s="20" t="s">
        <v>297</v>
      </c>
      <c r="F274" s="20"/>
      <c r="G274" s="26">
        <f>G275</f>
        <v>0</v>
      </c>
      <c r="H274" s="173"/>
    </row>
    <row r="275" spans="1:12" ht="15.75" hidden="1" x14ac:dyDescent="0.25">
      <c r="A275" s="25" t="s">
        <v>135</v>
      </c>
      <c r="B275" s="16">
        <v>903</v>
      </c>
      <c r="C275" s="20" t="s">
        <v>264</v>
      </c>
      <c r="D275" s="20" t="s">
        <v>219</v>
      </c>
      <c r="E275" s="20" t="s">
        <v>297</v>
      </c>
      <c r="F275" s="20" t="s">
        <v>145</v>
      </c>
      <c r="G275" s="26">
        <f>G276</f>
        <v>0</v>
      </c>
      <c r="H275" s="173"/>
    </row>
    <row r="276" spans="1:12" ht="63" hidden="1" x14ac:dyDescent="0.25">
      <c r="A276" s="25" t="s">
        <v>184</v>
      </c>
      <c r="B276" s="16">
        <v>903</v>
      </c>
      <c r="C276" s="20" t="s">
        <v>264</v>
      </c>
      <c r="D276" s="20" t="s">
        <v>219</v>
      </c>
      <c r="E276" s="20" t="s">
        <v>297</v>
      </c>
      <c r="F276" s="20" t="s">
        <v>160</v>
      </c>
      <c r="G276" s="26"/>
      <c r="H276" s="173"/>
    </row>
    <row r="277" spans="1:12" ht="15.75" x14ac:dyDescent="0.25">
      <c r="A277" s="23" t="s">
        <v>298</v>
      </c>
      <c r="B277" s="19">
        <v>903</v>
      </c>
      <c r="C277" s="24" t="s">
        <v>299</v>
      </c>
      <c r="D277" s="24"/>
      <c r="E277" s="24"/>
      <c r="F277" s="24"/>
      <c r="G277" s="21">
        <f>G278+G358</f>
        <v>61699.8</v>
      </c>
      <c r="H277" s="173"/>
    </row>
    <row r="278" spans="1:12" ht="15.75" x14ac:dyDescent="0.25">
      <c r="A278" s="23" t="s">
        <v>300</v>
      </c>
      <c r="B278" s="19">
        <v>903</v>
      </c>
      <c r="C278" s="24" t="s">
        <v>299</v>
      </c>
      <c r="D278" s="24" t="s">
        <v>118</v>
      </c>
      <c r="E278" s="24"/>
      <c r="F278" s="24"/>
      <c r="G278" s="21">
        <f>G279+G337+G333</f>
        <v>44421.000000000007</v>
      </c>
      <c r="H278" s="173"/>
    </row>
    <row r="279" spans="1:12" ht="47.25" x14ac:dyDescent="0.25">
      <c r="A279" s="25" t="s">
        <v>266</v>
      </c>
      <c r="B279" s="16">
        <v>903</v>
      </c>
      <c r="C279" s="20" t="s">
        <v>299</v>
      </c>
      <c r="D279" s="20" t="s">
        <v>118</v>
      </c>
      <c r="E279" s="20" t="s">
        <v>267</v>
      </c>
      <c r="F279" s="20"/>
      <c r="G279" s="26">
        <f>G280+G306</f>
        <v>42083.100000000006</v>
      </c>
      <c r="H279" s="173"/>
    </row>
    <row r="280" spans="1:12" ht="63" x14ac:dyDescent="0.25">
      <c r="A280" s="25" t="s">
        <v>301</v>
      </c>
      <c r="B280" s="16">
        <v>903</v>
      </c>
      <c r="C280" s="20" t="s">
        <v>299</v>
      </c>
      <c r="D280" s="20" t="s">
        <v>118</v>
      </c>
      <c r="E280" s="20" t="s">
        <v>302</v>
      </c>
      <c r="F280" s="20"/>
      <c r="G280" s="26">
        <f>G281+G299+G284+G287+G290+G293+G296</f>
        <v>25422.5</v>
      </c>
      <c r="H280" s="173"/>
    </row>
    <row r="281" spans="1:12" ht="52.5" customHeight="1" x14ac:dyDescent="0.25">
      <c r="A281" s="25" t="s">
        <v>303</v>
      </c>
      <c r="B281" s="16">
        <v>903</v>
      </c>
      <c r="C281" s="20" t="s">
        <v>299</v>
      </c>
      <c r="D281" s="20" t="s">
        <v>118</v>
      </c>
      <c r="E281" s="20" t="s">
        <v>304</v>
      </c>
      <c r="F281" s="20"/>
      <c r="G281" s="26">
        <f>G282</f>
        <v>23654.800000000003</v>
      </c>
      <c r="H281" s="173"/>
    </row>
    <row r="282" spans="1:12" ht="47.25" x14ac:dyDescent="0.25">
      <c r="A282" s="25" t="s">
        <v>272</v>
      </c>
      <c r="B282" s="16">
        <v>903</v>
      </c>
      <c r="C282" s="20" t="s">
        <v>299</v>
      </c>
      <c r="D282" s="20" t="s">
        <v>118</v>
      </c>
      <c r="E282" s="20" t="s">
        <v>304</v>
      </c>
      <c r="F282" s="20" t="s">
        <v>273</v>
      </c>
      <c r="G282" s="26">
        <f>G283</f>
        <v>23654.800000000003</v>
      </c>
      <c r="H282" s="173"/>
    </row>
    <row r="283" spans="1:12" ht="15.75" x14ac:dyDescent="0.25">
      <c r="A283" s="25" t="s">
        <v>274</v>
      </c>
      <c r="B283" s="16">
        <v>903</v>
      </c>
      <c r="C283" s="20" t="s">
        <v>299</v>
      </c>
      <c r="D283" s="20" t="s">
        <v>118</v>
      </c>
      <c r="E283" s="20" t="s">
        <v>304</v>
      </c>
      <c r="F283" s="20" t="s">
        <v>275</v>
      </c>
      <c r="G283" s="27">
        <f>25081.9+2671.4-3136.8-961.7</f>
        <v>23654.800000000003</v>
      </c>
      <c r="H283" s="105"/>
      <c r="I283" s="124"/>
    </row>
    <row r="284" spans="1:12" ht="47.25" x14ac:dyDescent="0.25">
      <c r="A284" s="25" t="s">
        <v>703</v>
      </c>
      <c r="B284" s="16">
        <v>903</v>
      </c>
      <c r="C284" s="20" t="s">
        <v>299</v>
      </c>
      <c r="D284" s="20" t="s">
        <v>118</v>
      </c>
      <c r="E284" s="20" t="s">
        <v>305</v>
      </c>
      <c r="F284" s="20"/>
      <c r="G284" s="26">
        <f>G285</f>
        <v>96.1</v>
      </c>
      <c r="H284" s="173"/>
      <c r="L284" s="116"/>
    </row>
    <row r="285" spans="1:12" ht="47.25" x14ac:dyDescent="0.25">
      <c r="A285" s="25" t="s">
        <v>272</v>
      </c>
      <c r="B285" s="16">
        <v>903</v>
      </c>
      <c r="C285" s="20" t="s">
        <v>299</v>
      </c>
      <c r="D285" s="20" t="s">
        <v>118</v>
      </c>
      <c r="E285" s="20" t="s">
        <v>305</v>
      </c>
      <c r="F285" s="20" t="s">
        <v>273</v>
      </c>
      <c r="G285" s="26">
        <f>G286</f>
        <v>96.1</v>
      </c>
      <c r="H285" s="173"/>
    </row>
    <row r="286" spans="1:12" ht="15.75" x14ac:dyDescent="0.25">
      <c r="A286" s="25" t="s">
        <v>274</v>
      </c>
      <c r="B286" s="16">
        <v>903</v>
      </c>
      <c r="C286" s="20" t="s">
        <v>299</v>
      </c>
      <c r="D286" s="20" t="s">
        <v>118</v>
      </c>
      <c r="E286" s="20" t="s">
        <v>305</v>
      </c>
      <c r="F286" s="20" t="s">
        <v>275</v>
      </c>
      <c r="G286" s="26">
        <v>96.1</v>
      </c>
      <c r="H286" s="105"/>
    </row>
    <row r="287" spans="1:12" ht="47.25" x14ac:dyDescent="0.25">
      <c r="A287" s="25" t="s">
        <v>278</v>
      </c>
      <c r="B287" s="16">
        <v>903</v>
      </c>
      <c r="C287" s="20" t="s">
        <v>299</v>
      </c>
      <c r="D287" s="20" t="s">
        <v>118</v>
      </c>
      <c r="E287" s="20" t="s">
        <v>306</v>
      </c>
      <c r="F287" s="20"/>
      <c r="G287" s="26">
        <f>G288</f>
        <v>142.1</v>
      </c>
      <c r="H287" s="173"/>
    </row>
    <row r="288" spans="1:12" ht="47.25" x14ac:dyDescent="0.25">
      <c r="A288" s="25" t="s">
        <v>272</v>
      </c>
      <c r="B288" s="16">
        <v>903</v>
      </c>
      <c r="C288" s="20" t="s">
        <v>299</v>
      </c>
      <c r="D288" s="20" t="s">
        <v>118</v>
      </c>
      <c r="E288" s="20" t="s">
        <v>306</v>
      </c>
      <c r="F288" s="20" t="s">
        <v>273</v>
      </c>
      <c r="G288" s="26">
        <f>G289</f>
        <v>142.1</v>
      </c>
      <c r="H288" s="173"/>
    </row>
    <row r="289" spans="1:10" ht="15.75" x14ac:dyDescent="0.25">
      <c r="A289" s="25" t="s">
        <v>274</v>
      </c>
      <c r="B289" s="16">
        <v>903</v>
      </c>
      <c r="C289" s="20" t="s">
        <v>299</v>
      </c>
      <c r="D289" s="20" t="s">
        <v>118</v>
      </c>
      <c r="E289" s="20" t="s">
        <v>306</v>
      </c>
      <c r="F289" s="20" t="s">
        <v>275</v>
      </c>
      <c r="G289" s="26">
        <v>142.1</v>
      </c>
      <c r="H289" s="173"/>
      <c r="I289" s="114"/>
    </row>
    <row r="290" spans="1:10" ht="15.75" x14ac:dyDescent="0.25">
      <c r="A290" s="25" t="s">
        <v>307</v>
      </c>
      <c r="B290" s="16">
        <v>903</v>
      </c>
      <c r="C290" s="20" t="s">
        <v>299</v>
      </c>
      <c r="D290" s="20" t="s">
        <v>118</v>
      </c>
      <c r="E290" s="20" t="s">
        <v>308</v>
      </c>
      <c r="F290" s="20"/>
      <c r="G290" s="26">
        <f>G291</f>
        <v>1529.5</v>
      </c>
      <c r="H290" s="173"/>
    </row>
    <row r="291" spans="1:10" ht="47.25" x14ac:dyDescent="0.25">
      <c r="A291" s="25" t="s">
        <v>272</v>
      </c>
      <c r="B291" s="16">
        <v>903</v>
      </c>
      <c r="C291" s="20" t="s">
        <v>299</v>
      </c>
      <c r="D291" s="20" t="s">
        <v>118</v>
      </c>
      <c r="E291" s="20" t="s">
        <v>308</v>
      </c>
      <c r="F291" s="20" t="s">
        <v>273</v>
      </c>
      <c r="G291" s="26">
        <f>G292</f>
        <v>1529.5</v>
      </c>
      <c r="H291" s="173"/>
    </row>
    <row r="292" spans="1:10" ht="15.75" x14ac:dyDescent="0.25">
      <c r="A292" s="25" t="s">
        <v>274</v>
      </c>
      <c r="B292" s="16">
        <v>903</v>
      </c>
      <c r="C292" s="20" t="s">
        <v>299</v>
      </c>
      <c r="D292" s="20" t="s">
        <v>118</v>
      </c>
      <c r="E292" s="20" t="s">
        <v>308</v>
      </c>
      <c r="F292" s="20" t="s">
        <v>275</v>
      </c>
      <c r="G292" s="26">
        <f>411.9+1117.6</f>
        <v>1529.5</v>
      </c>
      <c r="H292" s="105"/>
      <c r="I292" s="124"/>
      <c r="J292" s="108"/>
    </row>
    <row r="293" spans="1:10" ht="31.5" hidden="1" x14ac:dyDescent="0.25">
      <c r="A293" s="25" t="s">
        <v>284</v>
      </c>
      <c r="B293" s="16">
        <v>903</v>
      </c>
      <c r="C293" s="20" t="s">
        <v>299</v>
      </c>
      <c r="D293" s="20" t="s">
        <v>118</v>
      </c>
      <c r="E293" s="20" t="s">
        <v>285</v>
      </c>
      <c r="F293" s="20"/>
      <c r="G293" s="26">
        <f>G294</f>
        <v>0</v>
      </c>
      <c r="H293" s="173"/>
    </row>
    <row r="294" spans="1:10" ht="47.25" hidden="1" x14ac:dyDescent="0.25">
      <c r="A294" s="25" t="s">
        <v>272</v>
      </c>
      <c r="B294" s="16">
        <v>903</v>
      </c>
      <c r="C294" s="20" t="s">
        <v>299</v>
      </c>
      <c r="D294" s="20" t="s">
        <v>118</v>
      </c>
      <c r="E294" s="20" t="s">
        <v>285</v>
      </c>
      <c r="F294" s="20" t="s">
        <v>273</v>
      </c>
      <c r="G294" s="26">
        <f>G295</f>
        <v>0</v>
      </c>
      <c r="H294" s="173"/>
    </row>
    <row r="295" spans="1:10" ht="15.75" hidden="1" x14ac:dyDescent="0.25">
      <c r="A295" s="25" t="s">
        <v>274</v>
      </c>
      <c r="B295" s="16">
        <v>903</v>
      </c>
      <c r="C295" s="20" t="s">
        <v>299</v>
      </c>
      <c r="D295" s="20" t="s">
        <v>118</v>
      </c>
      <c r="E295" s="20" t="s">
        <v>285</v>
      </c>
      <c r="F295" s="20" t="s">
        <v>275</v>
      </c>
      <c r="G295" s="26">
        <v>0</v>
      </c>
      <c r="H295" s="173"/>
    </row>
    <row r="296" spans="1:10" ht="47.25" hidden="1" x14ac:dyDescent="0.25">
      <c r="A296" s="35" t="s">
        <v>287</v>
      </c>
      <c r="B296" s="16">
        <v>903</v>
      </c>
      <c r="C296" s="20" t="s">
        <v>299</v>
      </c>
      <c r="D296" s="20" t="s">
        <v>118</v>
      </c>
      <c r="E296" s="20" t="s">
        <v>309</v>
      </c>
      <c r="F296" s="20"/>
      <c r="G296" s="26">
        <f>G297</f>
        <v>0</v>
      </c>
      <c r="H296" s="173"/>
    </row>
    <row r="297" spans="1:10" ht="47.25" hidden="1" x14ac:dyDescent="0.25">
      <c r="A297" s="25" t="s">
        <v>272</v>
      </c>
      <c r="B297" s="16">
        <v>903</v>
      </c>
      <c r="C297" s="20" t="s">
        <v>299</v>
      </c>
      <c r="D297" s="20" t="s">
        <v>118</v>
      </c>
      <c r="E297" s="20" t="s">
        <v>309</v>
      </c>
      <c r="F297" s="20" t="s">
        <v>273</v>
      </c>
      <c r="G297" s="26">
        <f>G298</f>
        <v>0</v>
      </c>
      <c r="H297" s="173"/>
    </row>
    <row r="298" spans="1:10" ht="15.75" hidden="1" x14ac:dyDescent="0.25">
      <c r="A298" s="25" t="s">
        <v>274</v>
      </c>
      <c r="B298" s="16">
        <v>903</v>
      </c>
      <c r="C298" s="20" t="s">
        <v>299</v>
      </c>
      <c r="D298" s="20" t="s">
        <v>118</v>
      </c>
      <c r="E298" s="20" t="s">
        <v>309</v>
      </c>
      <c r="F298" s="20" t="s">
        <v>275</v>
      </c>
      <c r="G298" s="26">
        <v>0</v>
      </c>
      <c r="H298" s="173"/>
    </row>
    <row r="299" spans="1:10" ht="47.25" hidden="1" customHeight="1" x14ac:dyDescent="0.25">
      <c r="A299" s="25" t="s">
        <v>310</v>
      </c>
      <c r="B299" s="16">
        <v>903</v>
      </c>
      <c r="C299" s="20" t="s">
        <v>299</v>
      </c>
      <c r="D299" s="20" t="s">
        <v>118</v>
      </c>
      <c r="E299" s="20" t="s">
        <v>311</v>
      </c>
      <c r="F299" s="20"/>
      <c r="G299" s="26">
        <f>G300+G302+G304</f>
        <v>0</v>
      </c>
      <c r="H299" s="173"/>
    </row>
    <row r="300" spans="1:10" ht="94.5" hidden="1" x14ac:dyDescent="0.25">
      <c r="A300" s="25" t="s">
        <v>127</v>
      </c>
      <c r="B300" s="16">
        <v>903</v>
      </c>
      <c r="C300" s="20" t="s">
        <v>299</v>
      </c>
      <c r="D300" s="20" t="s">
        <v>118</v>
      </c>
      <c r="E300" s="20" t="s">
        <v>311</v>
      </c>
      <c r="F300" s="20" t="s">
        <v>128</v>
      </c>
      <c r="G300" s="26">
        <f>G301</f>
        <v>0</v>
      </c>
      <c r="H300" s="173"/>
    </row>
    <row r="301" spans="1:10" ht="31.5" hidden="1" x14ac:dyDescent="0.25">
      <c r="A301" s="25" t="s">
        <v>208</v>
      </c>
      <c r="B301" s="16">
        <v>903</v>
      </c>
      <c r="C301" s="20" t="s">
        <v>299</v>
      </c>
      <c r="D301" s="20" t="s">
        <v>118</v>
      </c>
      <c r="E301" s="20" t="s">
        <v>311</v>
      </c>
      <c r="F301" s="20" t="s">
        <v>209</v>
      </c>
      <c r="G301" s="27">
        <v>0</v>
      </c>
      <c r="H301" s="173"/>
    </row>
    <row r="302" spans="1:10" ht="31.5" hidden="1" x14ac:dyDescent="0.25">
      <c r="A302" s="25" t="s">
        <v>131</v>
      </c>
      <c r="B302" s="16">
        <v>903</v>
      </c>
      <c r="C302" s="20" t="s">
        <v>299</v>
      </c>
      <c r="D302" s="20" t="s">
        <v>118</v>
      </c>
      <c r="E302" s="20" t="s">
        <v>311</v>
      </c>
      <c r="F302" s="20" t="s">
        <v>132</v>
      </c>
      <c r="G302" s="26">
        <f>G303</f>
        <v>0</v>
      </c>
      <c r="H302" s="173"/>
    </row>
    <row r="303" spans="1:10" ht="47.25" hidden="1" x14ac:dyDescent="0.25">
      <c r="A303" s="25" t="s">
        <v>133</v>
      </c>
      <c r="B303" s="16">
        <v>903</v>
      </c>
      <c r="C303" s="20" t="s">
        <v>299</v>
      </c>
      <c r="D303" s="20" t="s">
        <v>118</v>
      </c>
      <c r="E303" s="20" t="s">
        <v>311</v>
      </c>
      <c r="F303" s="20" t="s">
        <v>134</v>
      </c>
      <c r="G303" s="27">
        <v>0</v>
      </c>
      <c r="H303" s="173"/>
    </row>
    <row r="304" spans="1:10" ht="15.75" hidden="1" x14ac:dyDescent="0.25">
      <c r="A304" s="25" t="s">
        <v>135</v>
      </c>
      <c r="B304" s="16">
        <v>903</v>
      </c>
      <c r="C304" s="20" t="s">
        <v>299</v>
      </c>
      <c r="D304" s="20" t="s">
        <v>118</v>
      </c>
      <c r="E304" s="20" t="s">
        <v>311</v>
      </c>
      <c r="F304" s="20" t="s">
        <v>145</v>
      </c>
      <c r="G304" s="26">
        <f>G305</f>
        <v>0</v>
      </c>
      <c r="H304" s="173"/>
    </row>
    <row r="305" spans="1:9" ht="15.75" hidden="1" x14ac:dyDescent="0.25">
      <c r="A305" s="25" t="s">
        <v>137</v>
      </c>
      <c r="B305" s="16">
        <v>903</v>
      </c>
      <c r="C305" s="20" t="s">
        <v>299</v>
      </c>
      <c r="D305" s="20" t="s">
        <v>118</v>
      </c>
      <c r="E305" s="20" t="s">
        <v>311</v>
      </c>
      <c r="F305" s="20" t="s">
        <v>138</v>
      </c>
      <c r="G305" s="26">
        <v>0</v>
      </c>
      <c r="H305" s="173"/>
    </row>
    <row r="306" spans="1:9" ht="47.25" x14ac:dyDescent="0.25">
      <c r="A306" s="25" t="s">
        <v>312</v>
      </c>
      <c r="B306" s="16">
        <v>903</v>
      </c>
      <c r="C306" s="20" t="s">
        <v>299</v>
      </c>
      <c r="D306" s="20" t="s">
        <v>118</v>
      </c>
      <c r="E306" s="20" t="s">
        <v>313</v>
      </c>
      <c r="F306" s="20"/>
      <c r="G306" s="26">
        <f>G307+G330+G318+G321+G324+G327+G310+G315</f>
        <v>16660.600000000002</v>
      </c>
      <c r="H306" s="173"/>
    </row>
    <row r="307" spans="1:9" ht="51" customHeight="1" x14ac:dyDescent="0.25">
      <c r="A307" s="25" t="s">
        <v>303</v>
      </c>
      <c r="B307" s="16">
        <v>903</v>
      </c>
      <c r="C307" s="20" t="s">
        <v>299</v>
      </c>
      <c r="D307" s="20" t="s">
        <v>118</v>
      </c>
      <c r="E307" s="20" t="s">
        <v>314</v>
      </c>
      <c r="F307" s="20"/>
      <c r="G307" s="26">
        <f>G308</f>
        <v>16655.2</v>
      </c>
      <c r="H307" s="173"/>
    </row>
    <row r="308" spans="1:9" ht="47.25" x14ac:dyDescent="0.25">
      <c r="A308" s="25" t="s">
        <v>272</v>
      </c>
      <c r="B308" s="16">
        <v>903</v>
      </c>
      <c r="C308" s="20" t="s">
        <v>299</v>
      </c>
      <c r="D308" s="20" t="s">
        <v>118</v>
      </c>
      <c r="E308" s="20" t="s">
        <v>314</v>
      </c>
      <c r="F308" s="20" t="s">
        <v>273</v>
      </c>
      <c r="G308" s="26">
        <f>G309</f>
        <v>16655.2</v>
      </c>
      <c r="H308" s="173"/>
    </row>
    <row r="309" spans="1:9" ht="15.75" x14ac:dyDescent="0.25">
      <c r="A309" s="25" t="s">
        <v>274</v>
      </c>
      <c r="B309" s="16">
        <v>903</v>
      </c>
      <c r="C309" s="20" t="s">
        <v>299</v>
      </c>
      <c r="D309" s="20" t="s">
        <v>118</v>
      </c>
      <c r="E309" s="20" t="s">
        <v>314</v>
      </c>
      <c r="F309" s="20" t="s">
        <v>275</v>
      </c>
      <c r="G309" s="27">
        <f>18073+419.6-1705.8+78.4-210</f>
        <v>16655.2</v>
      </c>
      <c r="H309" s="105"/>
      <c r="I309" s="124"/>
    </row>
    <row r="310" spans="1:9" ht="38.25" customHeight="1" x14ac:dyDescent="0.25">
      <c r="A310" s="25" t="s">
        <v>315</v>
      </c>
      <c r="B310" s="16">
        <v>903</v>
      </c>
      <c r="C310" s="20" t="s">
        <v>299</v>
      </c>
      <c r="D310" s="20" t="s">
        <v>118</v>
      </c>
      <c r="E310" s="20" t="s">
        <v>316</v>
      </c>
      <c r="F310" s="20"/>
      <c r="G310" s="27">
        <f>G311+G313</f>
        <v>5</v>
      </c>
      <c r="H310" s="173"/>
    </row>
    <row r="311" spans="1:9" ht="31.5" hidden="1" x14ac:dyDescent="0.25">
      <c r="A311" s="25" t="s">
        <v>131</v>
      </c>
      <c r="B311" s="16">
        <v>903</v>
      </c>
      <c r="C311" s="20" t="s">
        <v>299</v>
      </c>
      <c r="D311" s="20" t="s">
        <v>118</v>
      </c>
      <c r="E311" s="20" t="s">
        <v>316</v>
      </c>
      <c r="F311" s="20" t="s">
        <v>132</v>
      </c>
      <c r="G311" s="27">
        <f>G312</f>
        <v>0</v>
      </c>
      <c r="H311" s="173"/>
    </row>
    <row r="312" spans="1:9" ht="47.25" hidden="1" x14ac:dyDescent="0.25">
      <c r="A312" s="25" t="s">
        <v>133</v>
      </c>
      <c r="B312" s="16">
        <v>903</v>
      </c>
      <c r="C312" s="20" t="s">
        <v>299</v>
      </c>
      <c r="D312" s="20" t="s">
        <v>118</v>
      </c>
      <c r="E312" s="20" t="s">
        <v>316</v>
      </c>
      <c r="F312" s="20" t="s">
        <v>134</v>
      </c>
      <c r="G312" s="27">
        <v>0</v>
      </c>
      <c r="H312" s="173"/>
    </row>
    <row r="313" spans="1:9" ht="47.25" x14ac:dyDescent="0.25">
      <c r="A313" s="25" t="s">
        <v>272</v>
      </c>
      <c r="B313" s="16">
        <v>903</v>
      </c>
      <c r="C313" s="20" t="s">
        <v>299</v>
      </c>
      <c r="D313" s="20" t="s">
        <v>118</v>
      </c>
      <c r="E313" s="20" t="s">
        <v>316</v>
      </c>
      <c r="F313" s="20" t="s">
        <v>273</v>
      </c>
      <c r="G313" s="27">
        <f>G314</f>
        <v>5</v>
      </c>
      <c r="H313" s="173"/>
    </row>
    <row r="314" spans="1:9" ht="15.75" x14ac:dyDescent="0.25">
      <c r="A314" s="25" t="s">
        <v>274</v>
      </c>
      <c r="B314" s="16">
        <v>903</v>
      </c>
      <c r="C314" s="20" t="s">
        <v>299</v>
      </c>
      <c r="D314" s="20" t="s">
        <v>118</v>
      </c>
      <c r="E314" s="20" t="s">
        <v>316</v>
      </c>
      <c r="F314" s="20" t="s">
        <v>275</v>
      </c>
      <c r="G314" s="27">
        <v>5</v>
      </c>
      <c r="H314" s="173"/>
    </row>
    <row r="315" spans="1:9" ht="15.75" x14ac:dyDescent="0.25">
      <c r="A315" s="25" t="s">
        <v>683</v>
      </c>
      <c r="B315" s="16">
        <v>903</v>
      </c>
      <c r="C315" s="20" t="s">
        <v>299</v>
      </c>
      <c r="D315" s="20" t="s">
        <v>118</v>
      </c>
      <c r="E315" s="20" t="s">
        <v>684</v>
      </c>
      <c r="F315" s="20"/>
      <c r="G315" s="27">
        <f>G316</f>
        <v>0.4</v>
      </c>
      <c r="H315" s="173"/>
    </row>
    <row r="316" spans="1:9" ht="47.25" x14ac:dyDescent="0.25">
      <c r="A316" s="25" t="s">
        <v>272</v>
      </c>
      <c r="B316" s="16">
        <v>903</v>
      </c>
      <c r="C316" s="20" t="s">
        <v>299</v>
      </c>
      <c r="D316" s="20" t="s">
        <v>118</v>
      </c>
      <c r="E316" s="20" t="s">
        <v>684</v>
      </c>
      <c r="F316" s="20" t="s">
        <v>273</v>
      </c>
      <c r="G316" s="27">
        <f>G317</f>
        <v>0.4</v>
      </c>
      <c r="H316" s="173"/>
    </row>
    <row r="317" spans="1:9" ht="15.75" x14ac:dyDescent="0.25">
      <c r="A317" s="25" t="s">
        <v>274</v>
      </c>
      <c r="B317" s="16">
        <v>903</v>
      </c>
      <c r="C317" s="20" t="s">
        <v>299</v>
      </c>
      <c r="D317" s="20" t="s">
        <v>118</v>
      </c>
      <c r="E317" s="20" t="s">
        <v>684</v>
      </c>
      <c r="F317" s="20" t="s">
        <v>275</v>
      </c>
      <c r="G317" s="27">
        <v>0.4</v>
      </c>
      <c r="H317" s="105"/>
    </row>
    <row r="318" spans="1:9" ht="47.25" hidden="1" x14ac:dyDescent="0.25">
      <c r="A318" s="25" t="s">
        <v>276</v>
      </c>
      <c r="B318" s="16">
        <v>903</v>
      </c>
      <c r="C318" s="20" t="s">
        <v>299</v>
      </c>
      <c r="D318" s="20" t="s">
        <v>118</v>
      </c>
      <c r="E318" s="20" t="s">
        <v>317</v>
      </c>
      <c r="F318" s="20"/>
      <c r="G318" s="26">
        <f>G319</f>
        <v>0</v>
      </c>
      <c r="H318" s="173"/>
    </row>
    <row r="319" spans="1:9" ht="47.25" hidden="1" x14ac:dyDescent="0.25">
      <c r="A319" s="25" t="s">
        <v>272</v>
      </c>
      <c r="B319" s="16">
        <v>903</v>
      </c>
      <c r="C319" s="20" t="s">
        <v>299</v>
      </c>
      <c r="D319" s="20" t="s">
        <v>118</v>
      </c>
      <c r="E319" s="20" t="s">
        <v>317</v>
      </c>
      <c r="F319" s="20" t="s">
        <v>273</v>
      </c>
      <c r="G319" s="26">
        <f>G320</f>
        <v>0</v>
      </c>
      <c r="H319" s="173"/>
    </row>
    <row r="320" spans="1:9" ht="15.75" hidden="1" x14ac:dyDescent="0.25">
      <c r="A320" s="25" t="s">
        <v>274</v>
      </c>
      <c r="B320" s="16">
        <v>903</v>
      </c>
      <c r="C320" s="20" t="s">
        <v>299</v>
      </c>
      <c r="D320" s="20" t="s">
        <v>118</v>
      </c>
      <c r="E320" s="20" t="s">
        <v>317</v>
      </c>
      <c r="F320" s="20" t="s">
        <v>275</v>
      </c>
      <c r="G320" s="26">
        <v>0</v>
      </c>
      <c r="H320" s="173"/>
    </row>
    <row r="321" spans="1:8" ht="47.25" hidden="1" x14ac:dyDescent="0.25">
      <c r="A321" s="25" t="s">
        <v>278</v>
      </c>
      <c r="B321" s="16">
        <v>903</v>
      </c>
      <c r="C321" s="20" t="s">
        <v>299</v>
      </c>
      <c r="D321" s="20" t="s">
        <v>118</v>
      </c>
      <c r="E321" s="20" t="s">
        <v>318</v>
      </c>
      <c r="F321" s="20"/>
      <c r="G321" s="26">
        <f>G322</f>
        <v>0</v>
      </c>
      <c r="H321" s="173"/>
    </row>
    <row r="322" spans="1:8" ht="47.25" hidden="1" x14ac:dyDescent="0.25">
      <c r="A322" s="25" t="s">
        <v>272</v>
      </c>
      <c r="B322" s="16">
        <v>903</v>
      </c>
      <c r="C322" s="20" t="s">
        <v>299</v>
      </c>
      <c r="D322" s="20" t="s">
        <v>118</v>
      </c>
      <c r="E322" s="20" t="s">
        <v>318</v>
      </c>
      <c r="F322" s="20" t="s">
        <v>273</v>
      </c>
      <c r="G322" s="26">
        <f>G323</f>
        <v>0</v>
      </c>
      <c r="H322" s="173"/>
    </row>
    <row r="323" spans="1:8" ht="15.75" hidden="1" x14ac:dyDescent="0.25">
      <c r="A323" s="25" t="s">
        <v>274</v>
      </c>
      <c r="B323" s="16">
        <v>903</v>
      </c>
      <c r="C323" s="20" t="s">
        <v>299</v>
      </c>
      <c r="D323" s="20" t="s">
        <v>118</v>
      </c>
      <c r="E323" s="20" t="s">
        <v>318</v>
      </c>
      <c r="F323" s="20" t="s">
        <v>275</v>
      </c>
      <c r="G323" s="26">
        <v>0</v>
      </c>
      <c r="H323" s="173"/>
    </row>
    <row r="324" spans="1:8" ht="31.5" hidden="1" x14ac:dyDescent="0.25">
      <c r="A324" s="25" t="s">
        <v>280</v>
      </c>
      <c r="B324" s="16">
        <v>903</v>
      </c>
      <c r="C324" s="20" t="s">
        <v>299</v>
      </c>
      <c r="D324" s="20" t="s">
        <v>118</v>
      </c>
      <c r="E324" s="20" t="s">
        <v>319</v>
      </c>
      <c r="F324" s="20"/>
      <c r="G324" s="26">
        <f>G325</f>
        <v>0</v>
      </c>
      <c r="H324" s="173"/>
    </row>
    <row r="325" spans="1:8" ht="47.25" hidden="1" x14ac:dyDescent="0.25">
      <c r="A325" s="25" t="s">
        <v>272</v>
      </c>
      <c r="B325" s="16">
        <v>903</v>
      </c>
      <c r="C325" s="20" t="s">
        <v>299</v>
      </c>
      <c r="D325" s="20" t="s">
        <v>118</v>
      </c>
      <c r="E325" s="20" t="s">
        <v>319</v>
      </c>
      <c r="F325" s="20" t="s">
        <v>273</v>
      </c>
      <c r="G325" s="26">
        <f>G326</f>
        <v>0</v>
      </c>
      <c r="H325" s="173"/>
    </row>
    <row r="326" spans="1:8" ht="15.75" hidden="1" x14ac:dyDescent="0.25">
      <c r="A326" s="25" t="s">
        <v>274</v>
      </c>
      <c r="B326" s="16">
        <v>903</v>
      </c>
      <c r="C326" s="20" t="s">
        <v>299</v>
      </c>
      <c r="D326" s="20" t="s">
        <v>118</v>
      </c>
      <c r="E326" s="20" t="s">
        <v>319</v>
      </c>
      <c r="F326" s="20" t="s">
        <v>275</v>
      </c>
      <c r="G326" s="26">
        <v>0</v>
      </c>
      <c r="H326" s="173"/>
    </row>
    <row r="327" spans="1:8" ht="31.5" hidden="1" x14ac:dyDescent="0.25">
      <c r="A327" s="25" t="s">
        <v>284</v>
      </c>
      <c r="B327" s="16">
        <v>903</v>
      </c>
      <c r="C327" s="20" t="s">
        <v>299</v>
      </c>
      <c r="D327" s="20" t="s">
        <v>118</v>
      </c>
      <c r="E327" s="20" t="s">
        <v>320</v>
      </c>
      <c r="F327" s="20"/>
      <c r="G327" s="26">
        <f>G328</f>
        <v>0</v>
      </c>
      <c r="H327" s="173"/>
    </row>
    <row r="328" spans="1:8" ht="47.25" hidden="1" x14ac:dyDescent="0.25">
      <c r="A328" s="25" t="s">
        <v>272</v>
      </c>
      <c r="B328" s="16">
        <v>903</v>
      </c>
      <c r="C328" s="20" t="s">
        <v>299</v>
      </c>
      <c r="D328" s="20" t="s">
        <v>118</v>
      </c>
      <c r="E328" s="20" t="s">
        <v>320</v>
      </c>
      <c r="F328" s="20" t="s">
        <v>273</v>
      </c>
      <c r="G328" s="26">
        <f>G329</f>
        <v>0</v>
      </c>
      <c r="H328" s="173"/>
    </row>
    <row r="329" spans="1:8" ht="15.75" hidden="1" x14ac:dyDescent="0.25">
      <c r="A329" s="25" t="s">
        <v>274</v>
      </c>
      <c r="B329" s="16">
        <v>903</v>
      </c>
      <c r="C329" s="20" t="s">
        <v>299</v>
      </c>
      <c r="D329" s="20" t="s">
        <v>118</v>
      </c>
      <c r="E329" s="20" t="s">
        <v>320</v>
      </c>
      <c r="F329" s="20" t="s">
        <v>275</v>
      </c>
      <c r="G329" s="26">
        <v>0</v>
      </c>
      <c r="H329" s="173"/>
    </row>
    <row r="330" spans="1:8" ht="47.25" hidden="1" x14ac:dyDescent="0.25">
      <c r="A330" s="35" t="s">
        <v>321</v>
      </c>
      <c r="B330" s="16">
        <v>903</v>
      </c>
      <c r="C330" s="20" t="s">
        <v>299</v>
      </c>
      <c r="D330" s="20" t="s">
        <v>118</v>
      </c>
      <c r="E330" s="20" t="s">
        <v>322</v>
      </c>
      <c r="F330" s="20"/>
      <c r="G330" s="26">
        <f>G331</f>
        <v>0</v>
      </c>
      <c r="H330" s="173"/>
    </row>
    <row r="331" spans="1:8" ht="47.25" hidden="1" x14ac:dyDescent="0.25">
      <c r="A331" s="25" t="s">
        <v>272</v>
      </c>
      <c r="B331" s="16">
        <v>903</v>
      </c>
      <c r="C331" s="20" t="s">
        <v>299</v>
      </c>
      <c r="D331" s="20" t="s">
        <v>118</v>
      </c>
      <c r="E331" s="20" t="s">
        <v>322</v>
      </c>
      <c r="F331" s="20" t="s">
        <v>273</v>
      </c>
      <c r="G331" s="26">
        <f>G332</f>
        <v>0</v>
      </c>
      <c r="H331" s="173"/>
    </row>
    <row r="332" spans="1:8" ht="15.75" hidden="1" x14ac:dyDescent="0.25">
      <c r="A332" s="25" t="s">
        <v>274</v>
      </c>
      <c r="B332" s="16">
        <v>903</v>
      </c>
      <c r="C332" s="20" t="s">
        <v>299</v>
      </c>
      <c r="D332" s="20" t="s">
        <v>118</v>
      </c>
      <c r="E332" s="20" t="s">
        <v>322</v>
      </c>
      <c r="F332" s="20" t="s">
        <v>275</v>
      </c>
      <c r="G332" s="26">
        <v>0</v>
      </c>
      <c r="H332" s="173"/>
    </row>
    <row r="333" spans="1:8" ht="78.75" x14ac:dyDescent="0.25">
      <c r="A333" s="29" t="s">
        <v>323</v>
      </c>
      <c r="B333" s="16">
        <v>903</v>
      </c>
      <c r="C333" s="20" t="s">
        <v>299</v>
      </c>
      <c r="D333" s="20" t="s">
        <v>118</v>
      </c>
      <c r="E333" s="40" t="s">
        <v>324</v>
      </c>
      <c r="F333" s="20"/>
      <c r="G333" s="26">
        <f>G334</f>
        <v>200</v>
      </c>
      <c r="H333" s="173"/>
    </row>
    <row r="334" spans="1:8" ht="47.25" x14ac:dyDescent="0.25">
      <c r="A334" s="25" t="s">
        <v>325</v>
      </c>
      <c r="B334" s="16">
        <v>903</v>
      </c>
      <c r="C334" s="20" t="s">
        <v>299</v>
      </c>
      <c r="D334" s="20" t="s">
        <v>118</v>
      </c>
      <c r="E334" s="40" t="s">
        <v>326</v>
      </c>
      <c r="F334" s="20"/>
      <c r="G334" s="26">
        <f>G335</f>
        <v>200</v>
      </c>
      <c r="H334" s="173"/>
    </row>
    <row r="335" spans="1:8" ht="47.25" x14ac:dyDescent="0.25">
      <c r="A335" s="25" t="s">
        <v>272</v>
      </c>
      <c r="B335" s="16">
        <v>903</v>
      </c>
      <c r="C335" s="20" t="s">
        <v>299</v>
      </c>
      <c r="D335" s="20" t="s">
        <v>118</v>
      </c>
      <c r="E335" s="40" t="s">
        <v>326</v>
      </c>
      <c r="F335" s="20" t="s">
        <v>273</v>
      </c>
      <c r="G335" s="26">
        <f>G336</f>
        <v>200</v>
      </c>
      <c r="H335" s="173"/>
    </row>
    <row r="336" spans="1:8" ht="15.75" x14ac:dyDescent="0.25">
      <c r="A336" s="25" t="s">
        <v>274</v>
      </c>
      <c r="B336" s="16">
        <v>903</v>
      </c>
      <c r="C336" s="20" t="s">
        <v>299</v>
      </c>
      <c r="D336" s="20" t="s">
        <v>118</v>
      </c>
      <c r="E336" s="40" t="s">
        <v>326</v>
      </c>
      <c r="F336" s="20" t="s">
        <v>275</v>
      </c>
      <c r="G336" s="26">
        <v>200</v>
      </c>
      <c r="H336" s="173"/>
    </row>
    <row r="337" spans="1:9" ht="15.75" x14ac:dyDescent="0.25">
      <c r="A337" s="25" t="s">
        <v>121</v>
      </c>
      <c r="B337" s="16">
        <v>903</v>
      </c>
      <c r="C337" s="20" t="s">
        <v>299</v>
      </c>
      <c r="D337" s="20" t="s">
        <v>118</v>
      </c>
      <c r="E337" s="20" t="s">
        <v>122</v>
      </c>
      <c r="F337" s="20"/>
      <c r="G337" s="26">
        <f>G338</f>
        <v>2137.9</v>
      </c>
      <c r="H337" s="173"/>
    </row>
    <row r="338" spans="1:9" ht="31.5" x14ac:dyDescent="0.25">
      <c r="A338" s="25" t="s">
        <v>185</v>
      </c>
      <c r="B338" s="16">
        <v>903</v>
      </c>
      <c r="C338" s="20" t="s">
        <v>299</v>
      </c>
      <c r="D338" s="20" t="s">
        <v>118</v>
      </c>
      <c r="E338" s="20" t="s">
        <v>186</v>
      </c>
      <c r="F338" s="20"/>
      <c r="G338" s="26">
        <f>G339+G344+G349+G352+G355</f>
        <v>2137.9</v>
      </c>
      <c r="H338" s="173"/>
    </row>
    <row r="339" spans="1:9" ht="31.5" hidden="1" x14ac:dyDescent="0.25">
      <c r="A339" s="36" t="s">
        <v>327</v>
      </c>
      <c r="B339" s="37">
        <v>903</v>
      </c>
      <c r="C339" s="20" t="s">
        <v>299</v>
      </c>
      <c r="D339" s="20" t="s">
        <v>118</v>
      </c>
      <c r="E339" s="20" t="s">
        <v>328</v>
      </c>
      <c r="F339" s="20"/>
      <c r="G339" s="26">
        <f>G340+G342</f>
        <v>0</v>
      </c>
      <c r="H339" s="173"/>
    </row>
    <row r="340" spans="1:9" ht="31.5" hidden="1" x14ac:dyDescent="0.25">
      <c r="A340" s="25" t="s">
        <v>131</v>
      </c>
      <c r="B340" s="37">
        <v>903</v>
      </c>
      <c r="C340" s="20" t="s">
        <v>299</v>
      </c>
      <c r="D340" s="20" t="s">
        <v>118</v>
      </c>
      <c r="E340" s="20" t="s">
        <v>328</v>
      </c>
      <c r="F340" s="20" t="s">
        <v>132</v>
      </c>
      <c r="G340" s="26">
        <f>G341</f>
        <v>0</v>
      </c>
      <c r="H340" s="173"/>
    </row>
    <row r="341" spans="1:9" ht="47.25" hidden="1" x14ac:dyDescent="0.25">
      <c r="A341" s="25" t="s">
        <v>133</v>
      </c>
      <c r="B341" s="16">
        <v>903</v>
      </c>
      <c r="C341" s="20" t="s">
        <v>299</v>
      </c>
      <c r="D341" s="20" t="s">
        <v>118</v>
      </c>
      <c r="E341" s="20" t="s">
        <v>328</v>
      </c>
      <c r="F341" s="20" t="s">
        <v>134</v>
      </c>
      <c r="G341" s="26">
        <f>1.4-1.4</f>
        <v>0</v>
      </c>
      <c r="H341" s="173"/>
      <c r="I341" s="114"/>
    </row>
    <row r="342" spans="1:9" ht="47.25" hidden="1" x14ac:dyDescent="0.25">
      <c r="A342" s="25" t="s">
        <v>272</v>
      </c>
      <c r="B342" s="16">
        <v>903</v>
      </c>
      <c r="C342" s="20" t="s">
        <v>299</v>
      </c>
      <c r="D342" s="20" t="s">
        <v>118</v>
      </c>
      <c r="E342" s="20" t="s">
        <v>328</v>
      </c>
      <c r="F342" s="20" t="s">
        <v>273</v>
      </c>
      <c r="G342" s="26">
        <f>G343</f>
        <v>0</v>
      </c>
      <c r="H342" s="173"/>
    </row>
    <row r="343" spans="1:9" ht="15.75" hidden="1" x14ac:dyDescent="0.25">
      <c r="A343" s="25" t="s">
        <v>274</v>
      </c>
      <c r="B343" s="16">
        <v>903</v>
      </c>
      <c r="C343" s="20" t="s">
        <v>299</v>
      </c>
      <c r="D343" s="20" t="s">
        <v>118</v>
      </c>
      <c r="E343" s="20" t="s">
        <v>328</v>
      </c>
      <c r="F343" s="20" t="s">
        <v>275</v>
      </c>
      <c r="G343" s="26">
        <f>2.9-2.9</f>
        <v>0</v>
      </c>
      <c r="H343" s="173"/>
      <c r="I343" s="114"/>
    </row>
    <row r="344" spans="1:9" ht="31.5" x14ac:dyDescent="0.25">
      <c r="A344" s="25" t="s">
        <v>329</v>
      </c>
      <c r="B344" s="16">
        <v>903</v>
      </c>
      <c r="C344" s="20" t="s">
        <v>299</v>
      </c>
      <c r="D344" s="20" t="s">
        <v>118</v>
      </c>
      <c r="E344" s="20" t="s">
        <v>330</v>
      </c>
      <c r="F344" s="20"/>
      <c r="G344" s="26">
        <f>G345+G347</f>
        <v>177.3</v>
      </c>
      <c r="H344" s="173"/>
    </row>
    <row r="345" spans="1:9" ht="31.5" hidden="1" x14ac:dyDescent="0.25">
      <c r="A345" s="25" t="s">
        <v>131</v>
      </c>
      <c r="B345" s="16">
        <v>903</v>
      </c>
      <c r="C345" s="20" t="s">
        <v>299</v>
      </c>
      <c r="D345" s="20" t="s">
        <v>118</v>
      </c>
      <c r="E345" s="20" t="s">
        <v>330</v>
      </c>
      <c r="F345" s="20" t="s">
        <v>132</v>
      </c>
      <c r="G345" s="26">
        <f>G346</f>
        <v>0</v>
      </c>
      <c r="H345" s="173"/>
    </row>
    <row r="346" spans="1:9" ht="47.25" hidden="1" x14ac:dyDescent="0.25">
      <c r="A346" s="25" t="s">
        <v>133</v>
      </c>
      <c r="B346" s="16">
        <v>903</v>
      </c>
      <c r="C346" s="20" t="s">
        <v>299</v>
      </c>
      <c r="D346" s="20" t="s">
        <v>118</v>
      </c>
      <c r="E346" s="20" t="s">
        <v>330</v>
      </c>
      <c r="F346" s="38">
        <v>240</v>
      </c>
      <c r="G346" s="26">
        <v>0</v>
      </c>
      <c r="H346" s="173"/>
    </row>
    <row r="347" spans="1:9" ht="47.25" x14ac:dyDescent="0.25">
      <c r="A347" s="25" t="s">
        <v>272</v>
      </c>
      <c r="B347" s="16">
        <v>903</v>
      </c>
      <c r="C347" s="20" t="s">
        <v>299</v>
      </c>
      <c r="D347" s="20" t="s">
        <v>118</v>
      </c>
      <c r="E347" s="20" t="s">
        <v>330</v>
      </c>
      <c r="F347" s="20" t="s">
        <v>273</v>
      </c>
      <c r="G347" s="26">
        <f>G348</f>
        <v>177.3</v>
      </c>
      <c r="H347" s="173"/>
    </row>
    <row r="348" spans="1:9" ht="15.75" x14ac:dyDescent="0.25">
      <c r="A348" s="25" t="s">
        <v>274</v>
      </c>
      <c r="B348" s="16">
        <v>903</v>
      </c>
      <c r="C348" s="20" t="s">
        <v>299</v>
      </c>
      <c r="D348" s="20" t="s">
        <v>118</v>
      </c>
      <c r="E348" s="20" t="s">
        <v>330</v>
      </c>
      <c r="F348" s="20" t="s">
        <v>275</v>
      </c>
      <c r="G348" s="26">
        <f>274.5-97.2</f>
        <v>177.3</v>
      </c>
      <c r="H348" s="173"/>
      <c r="I348" s="114"/>
    </row>
    <row r="349" spans="1:9" ht="78.75" x14ac:dyDescent="0.25">
      <c r="A349" s="25" t="s">
        <v>331</v>
      </c>
      <c r="B349" s="16">
        <v>903</v>
      </c>
      <c r="C349" s="20" t="s">
        <v>299</v>
      </c>
      <c r="D349" s="20" t="s">
        <v>118</v>
      </c>
      <c r="E349" s="20" t="s">
        <v>332</v>
      </c>
      <c r="F349" s="20"/>
      <c r="G349" s="26">
        <f>G350</f>
        <v>263.3</v>
      </c>
      <c r="H349" s="173"/>
    </row>
    <row r="350" spans="1:9" ht="47.25" x14ac:dyDescent="0.25">
      <c r="A350" s="25" t="s">
        <v>272</v>
      </c>
      <c r="B350" s="16">
        <v>903</v>
      </c>
      <c r="C350" s="20" t="s">
        <v>299</v>
      </c>
      <c r="D350" s="20" t="s">
        <v>118</v>
      </c>
      <c r="E350" s="20" t="s">
        <v>332</v>
      </c>
      <c r="F350" s="20" t="s">
        <v>273</v>
      </c>
      <c r="G350" s="26">
        <f>G351</f>
        <v>263.3</v>
      </c>
      <c r="H350" s="173"/>
    </row>
    <row r="351" spans="1:9" ht="15.75" x14ac:dyDescent="0.25">
      <c r="A351" s="25" t="s">
        <v>274</v>
      </c>
      <c r="B351" s="16">
        <v>903</v>
      </c>
      <c r="C351" s="20" t="s">
        <v>299</v>
      </c>
      <c r="D351" s="20" t="s">
        <v>118</v>
      </c>
      <c r="E351" s="20" t="s">
        <v>332</v>
      </c>
      <c r="F351" s="20" t="s">
        <v>275</v>
      </c>
      <c r="G351" s="26">
        <f>247.6+15.7</f>
        <v>263.3</v>
      </c>
      <c r="H351" s="173"/>
      <c r="I351" s="114"/>
    </row>
    <row r="352" spans="1:9" ht="110.25" x14ac:dyDescent="0.25">
      <c r="A352" s="31" t="s">
        <v>293</v>
      </c>
      <c r="B352" s="16">
        <v>903</v>
      </c>
      <c r="C352" s="20" t="s">
        <v>299</v>
      </c>
      <c r="D352" s="20" t="s">
        <v>118</v>
      </c>
      <c r="E352" s="20" t="s">
        <v>294</v>
      </c>
      <c r="F352" s="20"/>
      <c r="G352" s="26">
        <f>G353</f>
        <v>1693.3000000000002</v>
      </c>
      <c r="H352" s="173"/>
    </row>
    <row r="353" spans="1:9" ht="47.25" x14ac:dyDescent="0.25">
      <c r="A353" s="25" t="s">
        <v>272</v>
      </c>
      <c r="B353" s="16">
        <v>903</v>
      </c>
      <c r="C353" s="20" t="s">
        <v>299</v>
      </c>
      <c r="D353" s="20" t="s">
        <v>118</v>
      </c>
      <c r="E353" s="20" t="s">
        <v>294</v>
      </c>
      <c r="F353" s="20" t="s">
        <v>273</v>
      </c>
      <c r="G353" s="26">
        <f>G354</f>
        <v>1693.3000000000002</v>
      </c>
      <c r="H353" s="173"/>
    </row>
    <row r="354" spans="1:9" ht="15.75" x14ac:dyDescent="0.25">
      <c r="A354" s="25" t="s">
        <v>274</v>
      </c>
      <c r="B354" s="16">
        <v>903</v>
      </c>
      <c r="C354" s="20" t="s">
        <v>299</v>
      </c>
      <c r="D354" s="20" t="s">
        <v>118</v>
      </c>
      <c r="E354" s="20" t="s">
        <v>294</v>
      </c>
      <c r="F354" s="20" t="s">
        <v>275</v>
      </c>
      <c r="G354" s="26">
        <f>1929.4-236.1</f>
        <v>1693.3000000000002</v>
      </c>
      <c r="H354" s="173"/>
    </row>
    <row r="355" spans="1:9" ht="15.75" x14ac:dyDescent="0.25">
      <c r="A355" s="31" t="s">
        <v>685</v>
      </c>
      <c r="B355" s="16">
        <v>903</v>
      </c>
      <c r="C355" s="20" t="s">
        <v>299</v>
      </c>
      <c r="D355" s="20" t="s">
        <v>118</v>
      </c>
      <c r="E355" s="20" t="s">
        <v>686</v>
      </c>
      <c r="F355" s="20"/>
      <c r="G355" s="26">
        <f>G356</f>
        <v>4</v>
      </c>
      <c r="H355" s="173"/>
    </row>
    <row r="356" spans="1:9" ht="47.25" x14ac:dyDescent="0.25">
      <c r="A356" s="25" t="s">
        <v>272</v>
      </c>
      <c r="B356" s="16">
        <v>903</v>
      </c>
      <c r="C356" s="20" t="s">
        <v>299</v>
      </c>
      <c r="D356" s="20" t="s">
        <v>118</v>
      </c>
      <c r="E356" s="20" t="s">
        <v>686</v>
      </c>
      <c r="F356" s="20" t="s">
        <v>273</v>
      </c>
      <c r="G356" s="26">
        <f>G357</f>
        <v>4</v>
      </c>
      <c r="H356" s="173"/>
    </row>
    <row r="357" spans="1:9" ht="15.75" x14ac:dyDescent="0.25">
      <c r="A357" s="25" t="s">
        <v>274</v>
      </c>
      <c r="B357" s="16">
        <v>903</v>
      </c>
      <c r="C357" s="20" t="s">
        <v>299</v>
      </c>
      <c r="D357" s="20" t="s">
        <v>118</v>
      </c>
      <c r="E357" s="20" t="s">
        <v>686</v>
      </c>
      <c r="F357" s="20" t="s">
        <v>275</v>
      </c>
      <c r="G357" s="26">
        <v>4</v>
      </c>
      <c r="H357" s="105"/>
    </row>
    <row r="358" spans="1:9" ht="31.5" x14ac:dyDescent="0.25">
      <c r="A358" s="23" t="s">
        <v>333</v>
      </c>
      <c r="B358" s="19">
        <v>903</v>
      </c>
      <c r="C358" s="24" t="s">
        <v>299</v>
      </c>
      <c r="D358" s="24" t="s">
        <v>150</v>
      </c>
      <c r="E358" s="24"/>
      <c r="F358" s="24"/>
      <c r="G358" s="21">
        <f>G359+G373+G369</f>
        <v>17278.8</v>
      </c>
      <c r="H358" s="173"/>
    </row>
    <row r="359" spans="1:9" ht="47.25" x14ac:dyDescent="0.25">
      <c r="A359" s="25" t="s">
        <v>334</v>
      </c>
      <c r="B359" s="16">
        <v>903</v>
      </c>
      <c r="C359" s="20" t="s">
        <v>299</v>
      </c>
      <c r="D359" s="20" t="s">
        <v>150</v>
      </c>
      <c r="E359" s="20" t="s">
        <v>335</v>
      </c>
      <c r="F359" s="20"/>
      <c r="G359" s="26">
        <f>G360+G363+G366</f>
        <v>125</v>
      </c>
      <c r="H359" s="173"/>
      <c r="I359" s="114"/>
    </row>
    <row r="360" spans="1:9" ht="31.5" hidden="1" x14ac:dyDescent="0.25">
      <c r="A360" s="25" t="s">
        <v>336</v>
      </c>
      <c r="B360" s="16">
        <v>903</v>
      </c>
      <c r="C360" s="20" t="s">
        <v>299</v>
      </c>
      <c r="D360" s="20" t="s">
        <v>150</v>
      </c>
      <c r="E360" s="20" t="s">
        <v>337</v>
      </c>
      <c r="F360" s="20"/>
      <c r="G360" s="26">
        <f>G361</f>
        <v>0</v>
      </c>
      <c r="H360" s="173"/>
    </row>
    <row r="361" spans="1:9" ht="31.5" hidden="1" x14ac:dyDescent="0.25">
      <c r="A361" s="25" t="s">
        <v>131</v>
      </c>
      <c r="B361" s="16">
        <v>903</v>
      </c>
      <c r="C361" s="20" t="s">
        <v>299</v>
      </c>
      <c r="D361" s="20" t="s">
        <v>150</v>
      </c>
      <c r="E361" s="20" t="s">
        <v>337</v>
      </c>
      <c r="F361" s="20" t="s">
        <v>132</v>
      </c>
      <c r="G361" s="26">
        <f>G362</f>
        <v>0</v>
      </c>
      <c r="H361" s="173"/>
    </row>
    <row r="362" spans="1:9" ht="47.25" hidden="1" x14ac:dyDescent="0.25">
      <c r="A362" s="25" t="s">
        <v>133</v>
      </c>
      <c r="B362" s="16">
        <v>903</v>
      </c>
      <c r="C362" s="20" t="s">
        <v>299</v>
      </c>
      <c r="D362" s="20" t="s">
        <v>150</v>
      </c>
      <c r="E362" s="20" t="s">
        <v>337</v>
      </c>
      <c r="F362" s="20" t="s">
        <v>134</v>
      </c>
      <c r="G362" s="26">
        <v>0</v>
      </c>
      <c r="H362" s="173"/>
    </row>
    <row r="363" spans="1:9" ht="31.5" x14ac:dyDescent="0.25">
      <c r="A363" s="25" t="s">
        <v>338</v>
      </c>
      <c r="B363" s="16">
        <v>903</v>
      </c>
      <c r="C363" s="20" t="s">
        <v>299</v>
      </c>
      <c r="D363" s="20" t="s">
        <v>150</v>
      </c>
      <c r="E363" s="20" t="s">
        <v>339</v>
      </c>
      <c r="F363" s="20"/>
      <c r="G363" s="26">
        <f>G364</f>
        <v>20</v>
      </c>
      <c r="H363" s="173"/>
    </row>
    <row r="364" spans="1:9" ht="31.5" x14ac:dyDescent="0.25">
      <c r="A364" s="25" t="s">
        <v>131</v>
      </c>
      <c r="B364" s="16">
        <v>903</v>
      </c>
      <c r="C364" s="20" t="s">
        <v>299</v>
      </c>
      <c r="D364" s="20" t="s">
        <v>150</v>
      </c>
      <c r="E364" s="20" t="s">
        <v>339</v>
      </c>
      <c r="F364" s="20" t="s">
        <v>132</v>
      </c>
      <c r="G364" s="26">
        <f>G365</f>
        <v>20</v>
      </c>
      <c r="H364" s="173"/>
    </row>
    <row r="365" spans="1:9" ht="47.25" x14ac:dyDescent="0.25">
      <c r="A365" s="25" t="s">
        <v>133</v>
      </c>
      <c r="B365" s="16">
        <v>903</v>
      </c>
      <c r="C365" s="20" t="s">
        <v>299</v>
      </c>
      <c r="D365" s="20" t="s">
        <v>150</v>
      </c>
      <c r="E365" s="20" t="s">
        <v>339</v>
      </c>
      <c r="F365" s="20" t="s">
        <v>134</v>
      </c>
      <c r="G365" s="26">
        <v>20</v>
      </c>
      <c r="H365" s="173"/>
    </row>
    <row r="366" spans="1:9" ht="63" x14ac:dyDescent="0.25">
      <c r="A366" s="25" t="s">
        <v>708</v>
      </c>
      <c r="B366" s="16">
        <v>903</v>
      </c>
      <c r="C366" s="20" t="s">
        <v>299</v>
      </c>
      <c r="D366" s="20" t="s">
        <v>150</v>
      </c>
      <c r="E366" s="20" t="s">
        <v>680</v>
      </c>
      <c r="F366" s="20"/>
      <c r="G366" s="26">
        <f>G367</f>
        <v>105</v>
      </c>
      <c r="H366" s="173"/>
    </row>
    <row r="367" spans="1:9" ht="39.75" customHeight="1" x14ac:dyDescent="0.25">
      <c r="A367" s="25" t="s">
        <v>131</v>
      </c>
      <c r="B367" s="16">
        <v>903</v>
      </c>
      <c r="C367" s="20" t="s">
        <v>299</v>
      </c>
      <c r="D367" s="20" t="s">
        <v>150</v>
      </c>
      <c r="E367" s="20" t="s">
        <v>680</v>
      </c>
      <c r="F367" s="20" t="s">
        <v>132</v>
      </c>
      <c r="G367" s="26">
        <f>G368</f>
        <v>105</v>
      </c>
      <c r="H367" s="173"/>
    </row>
    <row r="368" spans="1:9" ht="47.25" x14ac:dyDescent="0.25">
      <c r="A368" s="25" t="s">
        <v>133</v>
      </c>
      <c r="B368" s="16">
        <v>903</v>
      </c>
      <c r="C368" s="20" t="s">
        <v>299</v>
      </c>
      <c r="D368" s="20" t="s">
        <v>150</v>
      </c>
      <c r="E368" s="20" t="s">
        <v>680</v>
      </c>
      <c r="F368" s="20" t="s">
        <v>134</v>
      </c>
      <c r="G368" s="26">
        <f>55+50</f>
        <v>105</v>
      </c>
      <c r="H368" s="105"/>
      <c r="I368" s="123"/>
    </row>
    <row r="369" spans="1:11" ht="63" x14ac:dyDescent="0.25">
      <c r="A369" s="29" t="s">
        <v>707</v>
      </c>
      <c r="B369" s="16">
        <v>903</v>
      </c>
      <c r="C369" s="20" t="s">
        <v>299</v>
      </c>
      <c r="D369" s="20" t="s">
        <v>150</v>
      </c>
      <c r="E369" s="20" t="s">
        <v>705</v>
      </c>
      <c r="F369" s="20"/>
      <c r="G369" s="26">
        <f>G370</f>
        <v>5</v>
      </c>
      <c r="H369" s="173"/>
    </row>
    <row r="370" spans="1:11" ht="31.5" x14ac:dyDescent="0.25">
      <c r="A370" s="25" t="s">
        <v>369</v>
      </c>
      <c r="B370" s="16">
        <v>903</v>
      </c>
      <c r="C370" s="20" t="s">
        <v>299</v>
      </c>
      <c r="D370" s="20" t="s">
        <v>150</v>
      </c>
      <c r="E370" s="20" t="s">
        <v>713</v>
      </c>
      <c r="F370" s="20"/>
      <c r="G370" s="26">
        <f>G371</f>
        <v>5</v>
      </c>
      <c r="H370" s="173"/>
    </row>
    <row r="371" spans="1:11" ht="31.5" x14ac:dyDescent="0.25">
      <c r="A371" s="25" t="s">
        <v>131</v>
      </c>
      <c r="B371" s="16">
        <v>903</v>
      </c>
      <c r="C371" s="20" t="s">
        <v>299</v>
      </c>
      <c r="D371" s="20" t="s">
        <v>150</v>
      </c>
      <c r="E371" s="20" t="s">
        <v>713</v>
      </c>
      <c r="F371" s="20" t="s">
        <v>132</v>
      </c>
      <c r="G371" s="26">
        <f>G372</f>
        <v>5</v>
      </c>
      <c r="H371" s="173"/>
    </row>
    <row r="372" spans="1:11" ht="47.25" x14ac:dyDescent="0.25">
      <c r="A372" s="25" t="s">
        <v>133</v>
      </c>
      <c r="B372" s="16">
        <v>903</v>
      </c>
      <c r="C372" s="20" t="s">
        <v>299</v>
      </c>
      <c r="D372" s="20" t="s">
        <v>150</v>
      </c>
      <c r="E372" s="20" t="s">
        <v>713</v>
      </c>
      <c r="F372" s="20" t="s">
        <v>134</v>
      </c>
      <c r="G372" s="26">
        <v>5</v>
      </c>
      <c r="H372" s="105"/>
      <c r="I372" s="123"/>
    </row>
    <row r="373" spans="1:11" ht="15.75" x14ac:dyDescent="0.25">
      <c r="A373" s="25" t="s">
        <v>121</v>
      </c>
      <c r="B373" s="16">
        <v>903</v>
      </c>
      <c r="C373" s="20" t="s">
        <v>299</v>
      </c>
      <c r="D373" s="20" t="s">
        <v>150</v>
      </c>
      <c r="E373" s="20" t="s">
        <v>122</v>
      </c>
      <c r="F373" s="20"/>
      <c r="G373" s="26">
        <f>G374+G380</f>
        <v>17148.8</v>
      </c>
      <c r="H373" s="173"/>
    </row>
    <row r="374" spans="1:11" ht="31.5" x14ac:dyDescent="0.25">
      <c r="A374" s="25" t="s">
        <v>123</v>
      </c>
      <c r="B374" s="16">
        <v>903</v>
      </c>
      <c r="C374" s="20" t="s">
        <v>299</v>
      </c>
      <c r="D374" s="20" t="s">
        <v>150</v>
      </c>
      <c r="E374" s="20" t="s">
        <v>124</v>
      </c>
      <c r="F374" s="20"/>
      <c r="G374" s="26">
        <f>G375</f>
        <v>6754.9</v>
      </c>
      <c r="H374" s="173"/>
    </row>
    <row r="375" spans="1:11" ht="47.25" x14ac:dyDescent="0.25">
      <c r="A375" s="25" t="s">
        <v>125</v>
      </c>
      <c r="B375" s="16">
        <v>903</v>
      </c>
      <c r="C375" s="20" t="s">
        <v>299</v>
      </c>
      <c r="D375" s="20" t="s">
        <v>150</v>
      </c>
      <c r="E375" s="20" t="s">
        <v>126</v>
      </c>
      <c r="F375" s="20"/>
      <c r="G375" s="26">
        <f>G376+G378</f>
        <v>6754.9</v>
      </c>
      <c r="H375" s="173"/>
    </row>
    <row r="376" spans="1:11" ht="94.5" x14ac:dyDescent="0.25">
      <c r="A376" s="25" t="s">
        <v>127</v>
      </c>
      <c r="B376" s="16">
        <v>903</v>
      </c>
      <c r="C376" s="20" t="s">
        <v>299</v>
      </c>
      <c r="D376" s="20" t="s">
        <v>150</v>
      </c>
      <c r="E376" s="20" t="s">
        <v>126</v>
      </c>
      <c r="F376" s="20" t="s">
        <v>128</v>
      </c>
      <c r="G376" s="26">
        <f>G377</f>
        <v>6754.9</v>
      </c>
      <c r="H376" s="173"/>
    </row>
    <row r="377" spans="1:11" ht="31.5" x14ac:dyDescent="0.25">
      <c r="A377" s="25" t="s">
        <v>129</v>
      </c>
      <c r="B377" s="16">
        <v>903</v>
      </c>
      <c r="C377" s="20" t="s">
        <v>299</v>
      </c>
      <c r="D377" s="20" t="s">
        <v>150</v>
      </c>
      <c r="E377" s="20" t="s">
        <v>126</v>
      </c>
      <c r="F377" s="20" t="s">
        <v>130</v>
      </c>
      <c r="G377" s="27">
        <v>6754.9</v>
      </c>
      <c r="H377" s="173"/>
    </row>
    <row r="378" spans="1:11" ht="31.5" hidden="1" x14ac:dyDescent="0.25">
      <c r="A378" s="25" t="s">
        <v>131</v>
      </c>
      <c r="B378" s="16">
        <v>903</v>
      </c>
      <c r="C378" s="20" t="s">
        <v>299</v>
      </c>
      <c r="D378" s="20" t="s">
        <v>150</v>
      </c>
      <c r="E378" s="20" t="s">
        <v>126</v>
      </c>
      <c r="F378" s="20" t="s">
        <v>132</v>
      </c>
      <c r="G378" s="26">
        <f>G379</f>
        <v>0</v>
      </c>
      <c r="H378" s="173"/>
    </row>
    <row r="379" spans="1:11" ht="47.25" hidden="1" x14ac:dyDescent="0.25">
      <c r="A379" s="25" t="s">
        <v>133</v>
      </c>
      <c r="B379" s="16">
        <v>903</v>
      </c>
      <c r="C379" s="20" t="s">
        <v>299</v>
      </c>
      <c r="D379" s="20" t="s">
        <v>150</v>
      </c>
      <c r="E379" s="20" t="s">
        <v>126</v>
      </c>
      <c r="F379" s="20" t="s">
        <v>134</v>
      </c>
      <c r="G379" s="26"/>
      <c r="H379" s="173"/>
    </row>
    <row r="380" spans="1:11" ht="15.75" x14ac:dyDescent="0.25">
      <c r="A380" s="25" t="s">
        <v>141</v>
      </c>
      <c r="B380" s="16">
        <v>903</v>
      </c>
      <c r="C380" s="20" t="s">
        <v>299</v>
      </c>
      <c r="D380" s="20" t="s">
        <v>150</v>
      </c>
      <c r="E380" s="20" t="s">
        <v>142</v>
      </c>
      <c r="F380" s="20"/>
      <c r="G380" s="26">
        <f>G381</f>
        <v>10393.9</v>
      </c>
      <c r="H380" s="173"/>
    </row>
    <row r="381" spans="1:11" ht="31.5" x14ac:dyDescent="0.25">
      <c r="A381" s="25" t="s">
        <v>340</v>
      </c>
      <c r="B381" s="16">
        <v>903</v>
      </c>
      <c r="C381" s="20" t="s">
        <v>299</v>
      </c>
      <c r="D381" s="20" t="s">
        <v>150</v>
      </c>
      <c r="E381" s="20" t="s">
        <v>341</v>
      </c>
      <c r="F381" s="20"/>
      <c r="G381" s="26">
        <f>G382+G384+G386</f>
        <v>10393.9</v>
      </c>
      <c r="H381" s="173"/>
      <c r="J381" s="629"/>
      <c r="K381" s="629"/>
    </row>
    <row r="382" spans="1:11" ht="94.5" x14ac:dyDescent="0.25">
      <c r="A382" s="25" t="s">
        <v>127</v>
      </c>
      <c r="B382" s="16">
        <v>903</v>
      </c>
      <c r="C382" s="20" t="s">
        <v>299</v>
      </c>
      <c r="D382" s="20" t="s">
        <v>150</v>
      </c>
      <c r="E382" s="20" t="s">
        <v>341</v>
      </c>
      <c r="F382" s="20" t="s">
        <v>128</v>
      </c>
      <c r="G382" s="26">
        <f>G383</f>
        <v>8721.4</v>
      </c>
      <c r="H382" s="173"/>
      <c r="J382" s="629"/>
      <c r="K382" s="629"/>
    </row>
    <row r="383" spans="1:11" ht="31.5" x14ac:dyDescent="0.25">
      <c r="A383" s="25" t="s">
        <v>342</v>
      </c>
      <c r="B383" s="16">
        <v>903</v>
      </c>
      <c r="C383" s="20" t="s">
        <v>299</v>
      </c>
      <c r="D383" s="20" t="s">
        <v>150</v>
      </c>
      <c r="E383" s="20" t="s">
        <v>341</v>
      </c>
      <c r="F383" s="20" t="s">
        <v>209</v>
      </c>
      <c r="G383" s="27">
        <f>8596.3-84.9+210</f>
        <v>8721.4</v>
      </c>
      <c r="H383" s="105"/>
      <c r="I383" s="123"/>
      <c r="J383" s="629"/>
      <c r="K383" s="629"/>
    </row>
    <row r="384" spans="1:11" ht="31.5" x14ac:dyDescent="0.25">
      <c r="A384" s="25" t="s">
        <v>131</v>
      </c>
      <c r="B384" s="16">
        <v>903</v>
      </c>
      <c r="C384" s="20" t="s">
        <v>299</v>
      </c>
      <c r="D384" s="20" t="s">
        <v>150</v>
      </c>
      <c r="E384" s="20" t="s">
        <v>341</v>
      </c>
      <c r="F384" s="20" t="s">
        <v>132</v>
      </c>
      <c r="G384" s="26">
        <f>G385</f>
        <v>1652.5</v>
      </c>
      <c r="H384" s="173"/>
      <c r="J384" s="629"/>
      <c r="K384" s="629"/>
    </row>
    <row r="385" spans="1:11" ht="47.25" x14ac:dyDescent="0.25">
      <c r="A385" s="25" t="s">
        <v>133</v>
      </c>
      <c r="B385" s="16">
        <v>903</v>
      </c>
      <c r="C385" s="20" t="s">
        <v>299</v>
      </c>
      <c r="D385" s="20" t="s">
        <v>150</v>
      </c>
      <c r="E385" s="20" t="s">
        <v>341</v>
      </c>
      <c r="F385" s="20" t="s">
        <v>134</v>
      </c>
      <c r="G385" s="27">
        <f>1663.9+135.6-147</f>
        <v>1652.5</v>
      </c>
      <c r="H385" s="105"/>
      <c r="I385" s="124"/>
      <c r="J385" s="629"/>
      <c r="K385" s="629"/>
    </row>
    <row r="386" spans="1:11" ht="15.75" x14ac:dyDescent="0.25">
      <c r="A386" s="25" t="s">
        <v>135</v>
      </c>
      <c r="B386" s="16">
        <v>903</v>
      </c>
      <c r="C386" s="20" t="s">
        <v>299</v>
      </c>
      <c r="D386" s="20" t="s">
        <v>150</v>
      </c>
      <c r="E386" s="20" t="s">
        <v>341</v>
      </c>
      <c r="F386" s="20" t="s">
        <v>145</v>
      </c>
      <c r="G386" s="26">
        <f>G387</f>
        <v>20</v>
      </c>
      <c r="H386" s="173"/>
      <c r="J386" s="629"/>
      <c r="K386" s="629"/>
    </row>
    <row r="387" spans="1:11" ht="15.75" x14ac:dyDescent="0.25">
      <c r="A387" s="25" t="s">
        <v>568</v>
      </c>
      <c r="B387" s="16">
        <v>903</v>
      </c>
      <c r="C387" s="20" t="s">
        <v>299</v>
      </c>
      <c r="D387" s="20" t="s">
        <v>150</v>
      </c>
      <c r="E387" s="20" t="s">
        <v>341</v>
      </c>
      <c r="F387" s="20" t="s">
        <v>138</v>
      </c>
      <c r="G387" s="26">
        <v>20</v>
      </c>
      <c r="H387" s="173"/>
      <c r="J387" s="629"/>
      <c r="K387" s="629"/>
    </row>
    <row r="388" spans="1:11" ht="15.75" x14ac:dyDescent="0.25">
      <c r="A388" s="23" t="s">
        <v>243</v>
      </c>
      <c r="B388" s="19">
        <v>903</v>
      </c>
      <c r="C388" s="24" t="s">
        <v>244</v>
      </c>
      <c r="D388" s="24"/>
      <c r="E388" s="24"/>
      <c r="F388" s="24"/>
      <c r="G388" s="21">
        <f>G389</f>
        <v>4625</v>
      </c>
      <c r="H388" s="173"/>
    </row>
    <row r="389" spans="1:11" ht="15.75" x14ac:dyDescent="0.25">
      <c r="A389" s="23" t="s">
        <v>252</v>
      </c>
      <c r="B389" s="19">
        <v>903</v>
      </c>
      <c r="C389" s="24" t="s">
        <v>244</v>
      </c>
      <c r="D389" s="24" t="s">
        <v>215</v>
      </c>
      <c r="E389" s="24"/>
      <c r="F389" s="24"/>
      <c r="G389" s="21">
        <f>G390+G443</f>
        <v>4625</v>
      </c>
      <c r="H389" s="173"/>
    </row>
    <row r="390" spans="1:11" ht="47.25" x14ac:dyDescent="0.25">
      <c r="A390" s="25" t="s">
        <v>343</v>
      </c>
      <c r="B390" s="16">
        <v>903</v>
      </c>
      <c r="C390" s="20" t="s">
        <v>244</v>
      </c>
      <c r="D390" s="20" t="s">
        <v>215</v>
      </c>
      <c r="E390" s="20" t="s">
        <v>344</v>
      </c>
      <c r="F390" s="20"/>
      <c r="G390" s="26">
        <f>G391+G399+G403+G407+G413+G417+G421+G439</f>
        <v>3693</v>
      </c>
      <c r="H390" s="173"/>
    </row>
    <row r="391" spans="1:11" ht="31.5" x14ac:dyDescent="0.25">
      <c r="A391" s="25" t="s">
        <v>345</v>
      </c>
      <c r="B391" s="16">
        <v>903</v>
      </c>
      <c r="C391" s="20" t="s">
        <v>244</v>
      </c>
      <c r="D391" s="20" t="s">
        <v>215</v>
      </c>
      <c r="E391" s="20" t="s">
        <v>346</v>
      </c>
      <c r="F391" s="20"/>
      <c r="G391" s="26">
        <f>G392+G396</f>
        <v>935</v>
      </c>
      <c r="H391" s="173"/>
    </row>
    <row r="392" spans="1:11" ht="31.5" x14ac:dyDescent="0.25">
      <c r="A392" s="25" t="s">
        <v>131</v>
      </c>
      <c r="B392" s="16">
        <v>903</v>
      </c>
      <c r="C392" s="20" t="s">
        <v>244</v>
      </c>
      <c r="D392" s="20" t="s">
        <v>215</v>
      </c>
      <c r="E392" s="20" t="s">
        <v>347</v>
      </c>
      <c r="F392" s="20" t="s">
        <v>132</v>
      </c>
      <c r="G392" s="26">
        <f>G393</f>
        <v>666.4</v>
      </c>
      <c r="H392" s="173"/>
    </row>
    <row r="393" spans="1:11" ht="47.25" x14ac:dyDescent="0.25">
      <c r="A393" s="25" t="s">
        <v>133</v>
      </c>
      <c r="B393" s="16">
        <v>903</v>
      </c>
      <c r="C393" s="20" t="s">
        <v>244</v>
      </c>
      <c r="D393" s="20" t="s">
        <v>215</v>
      </c>
      <c r="E393" s="20" t="s">
        <v>347</v>
      </c>
      <c r="F393" s="20" t="s">
        <v>134</v>
      </c>
      <c r="G393" s="26">
        <f>669.4-3</f>
        <v>666.4</v>
      </c>
      <c r="H393" s="173"/>
    </row>
    <row r="394" spans="1:11" ht="31.5" hidden="1" x14ac:dyDescent="0.25">
      <c r="A394" s="25" t="s">
        <v>248</v>
      </c>
      <c r="B394" s="16">
        <v>903</v>
      </c>
      <c r="C394" s="20" t="s">
        <v>244</v>
      </c>
      <c r="D394" s="20" t="s">
        <v>215</v>
      </c>
      <c r="E394" s="20" t="s">
        <v>347</v>
      </c>
      <c r="F394" s="20" t="s">
        <v>249</v>
      </c>
      <c r="G394" s="26">
        <f>G395</f>
        <v>0</v>
      </c>
      <c r="H394" s="173"/>
    </row>
    <row r="395" spans="1:11" ht="31.5" hidden="1" x14ac:dyDescent="0.25">
      <c r="A395" s="25" t="s">
        <v>348</v>
      </c>
      <c r="B395" s="16">
        <v>903</v>
      </c>
      <c r="C395" s="20" t="s">
        <v>244</v>
      </c>
      <c r="D395" s="20" t="s">
        <v>215</v>
      </c>
      <c r="E395" s="20" t="s">
        <v>347</v>
      </c>
      <c r="F395" s="20" t="s">
        <v>349</v>
      </c>
      <c r="G395" s="26">
        <v>0</v>
      </c>
      <c r="H395" s="173"/>
    </row>
    <row r="396" spans="1:11" ht="31.5" x14ac:dyDescent="0.25">
      <c r="A396" s="25" t="s">
        <v>350</v>
      </c>
      <c r="B396" s="16">
        <v>903</v>
      </c>
      <c r="C396" s="20" t="s">
        <v>244</v>
      </c>
      <c r="D396" s="20" t="s">
        <v>215</v>
      </c>
      <c r="E396" s="20" t="s">
        <v>351</v>
      </c>
      <c r="F396" s="20"/>
      <c r="G396" s="26">
        <f>G397</f>
        <v>268.60000000000002</v>
      </c>
      <c r="H396" s="173"/>
    </row>
    <row r="397" spans="1:11" ht="47.25" x14ac:dyDescent="0.25">
      <c r="A397" s="25" t="s">
        <v>272</v>
      </c>
      <c r="B397" s="16">
        <v>903</v>
      </c>
      <c r="C397" s="20" t="s">
        <v>244</v>
      </c>
      <c r="D397" s="20" t="s">
        <v>215</v>
      </c>
      <c r="E397" s="20" t="s">
        <v>351</v>
      </c>
      <c r="F397" s="20" t="s">
        <v>273</v>
      </c>
      <c r="G397" s="26">
        <f>G398</f>
        <v>268.60000000000002</v>
      </c>
      <c r="H397" s="173"/>
    </row>
    <row r="398" spans="1:11" ht="15.75" x14ac:dyDescent="0.25">
      <c r="A398" s="25" t="s">
        <v>274</v>
      </c>
      <c r="B398" s="16">
        <v>903</v>
      </c>
      <c r="C398" s="20" t="s">
        <v>244</v>
      </c>
      <c r="D398" s="20" t="s">
        <v>215</v>
      </c>
      <c r="E398" s="20" t="s">
        <v>351</v>
      </c>
      <c r="F398" s="20" t="s">
        <v>275</v>
      </c>
      <c r="G398" s="26">
        <f>160.5+108.1</f>
        <v>268.60000000000002</v>
      </c>
      <c r="H398" s="105"/>
    </row>
    <row r="399" spans="1:11" ht="31.5" x14ac:dyDescent="0.25">
      <c r="A399" s="25" t="s">
        <v>352</v>
      </c>
      <c r="B399" s="16">
        <v>903</v>
      </c>
      <c r="C399" s="20" t="s">
        <v>244</v>
      </c>
      <c r="D399" s="20" t="s">
        <v>215</v>
      </c>
      <c r="E399" s="20" t="s">
        <v>353</v>
      </c>
      <c r="F399" s="20"/>
      <c r="G399" s="26">
        <f>G400</f>
        <v>63</v>
      </c>
      <c r="H399" s="173"/>
    </row>
    <row r="400" spans="1:11" ht="31.5" x14ac:dyDescent="0.25">
      <c r="A400" s="25" t="s">
        <v>157</v>
      </c>
      <c r="B400" s="16">
        <v>903</v>
      </c>
      <c r="C400" s="20" t="s">
        <v>244</v>
      </c>
      <c r="D400" s="20" t="s">
        <v>215</v>
      </c>
      <c r="E400" s="20" t="s">
        <v>354</v>
      </c>
      <c r="F400" s="20"/>
      <c r="G400" s="26">
        <f>G401</f>
        <v>63</v>
      </c>
      <c r="H400" s="173"/>
    </row>
    <row r="401" spans="1:8" ht="31.5" x14ac:dyDescent="0.25">
      <c r="A401" s="25" t="s">
        <v>248</v>
      </c>
      <c r="B401" s="16">
        <v>903</v>
      </c>
      <c r="C401" s="20" t="s">
        <v>244</v>
      </c>
      <c r="D401" s="20" t="s">
        <v>215</v>
      </c>
      <c r="E401" s="20" t="s">
        <v>354</v>
      </c>
      <c r="F401" s="20" t="s">
        <v>249</v>
      </c>
      <c r="G401" s="26">
        <f>G402</f>
        <v>63</v>
      </c>
      <c r="H401" s="173"/>
    </row>
    <row r="402" spans="1:8" ht="31.5" x14ac:dyDescent="0.25">
      <c r="A402" s="25" t="s">
        <v>250</v>
      </c>
      <c r="B402" s="16">
        <v>903</v>
      </c>
      <c r="C402" s="20" t="s">
        <v>244</v>
      </c>
      <c r="D402" s="20" t="s">
        <v>215</v>
      </c>
      <c r="E402" s="20" t="s">
        <v>354</v>
      </c>
      <c r="F402" s="20" t="s">
        <v>251</v>
      </c>
      <c r="G402" s="26">
        <f>60+3</f>
        <v>63</v>
      </c>
      <c r="H402" s="173"/>
    </row>
    <row r="403" spans="1:8" ht="31.5" x14ac:dyDescent="0.25">
      <c r="A403" s="25" t="s">
        <v>355</v>
      </c>
      <c r="B403" s="16">
        <v>903</v>
      </c>
      <c r="C403" s="16">
        <v>10</v>
      </c>
      <c r="D403" s="20" t="s">
        <v>215</v>
      </c>
      <c r="E403" s="20" t="s">
        <v>356</v>
      </c>
      <c r="F403" s="20"/>
      <c r="G403" s="26">
        <f>G404</f>
        <v>420</v>
      </c>
      <c r="H403" s="173"/>
    </row>
    <row r="404" spans="1:8" ht="31.5" x14ac:dyDescent="0.25">
      <c r="A404" s="25" t="s">
        <v>157</v>
      </c>
      <c r="B404" s="16">
        <v>903</v>
      </c>
      <c r="C404" s="20" t="s">
        <v>244</v>
      </c>
      <c r="D404" s="20" t="s">
        <v>215</v>
      </c>
      <c r="E404" s="20" t="s">
        <v>357</v>
      </c>
      <c r="F404" s="20"/>
      <c r="G404" s="26">
        <f>G405</f>
        <v>420</v>
      </c>
      <c r="H404" s="173"/>
    </row>
    <row r="405" spans="1:8" ht="31.5" x14ac:dyDescent="0.25">
      <c r="A405" s="25" t="s">
        <v>248</v>
      </c>
      <c r="B405" s="16">
        <v>903</v>
      </c>
      <c r="C405" s="20" t="s">
        <v>244</v>
      </c>
      <c r="D405" s="20" t="s">
        <v>215</v>
      </c>
      <c r="E405" s="20" t="s">
        <v>357</v>
      </c>
      <c r="F405" s="20" t="s">
        <v>249</v>
      </c>
      <c r="G405" s="26">
        <f>G406</f>
        <v>420</v>
      </c>
      <c r="H405" s="173"/>
    </row>
    <row r="406" spans="1:8" ht="31.5" x14ac:dyDescent="0.25">
      <c r="A406" s="25" t="s">
        <v>348</v>
      </c>
      <c r="B406" s="16">
        <v>903</v>
      </c>
      <c r="C406" s="20" t="s">
        <v>244</v>
      </c>
      <c r="D406" s="20" t="s">
        <v>215</v>
      </c>
      <c r="E406" s="20" t="s">
        <v>357</v>
      </c>
      <c r="F406" s="20" t="s">
        <v>349</v>
      </c>
      <c r="G406" s="26">
        <v>420</v>
      </c>
      <c r="H406" s="173"/>
    </row>
    <row r="407" spans="1:8" ht="15.75" x14ac:dyDescent="0.25">
      <c r="A407" s="25" t="s">
        <v>358</v>
      </c>
      <c r="B407" s="16">
        <v>903</v>
      </c>
      <c r="C407" s="16">
        <v>10</v>
      </c>
      <c r="D407" s="20" t="s">
        <v>215</v>
      </c>
      <c r="E407" s="20" t="s">
        <v>359</v>
      </c>
      <c r="F407" s="20"/>
      <c r="G407" s="26">
        <f>G408</f>
        <v>1595</v>
      </c>
      <c r="H407" s="173"/>
    </row>
    <row r="408" spans="1:8" ht="31.5" x14ac:dyDescent="0.25">
      <c r="A408" s="25" t="s">
        <v>157</v>
      </c>
      <c r="B408" s="16">
        <v>903</v>
      </c>
      <c r="C408" s="20" t="s">
        <v>244</v>
      </c>
      <c r="D408" s="20" t="s">
        <v>215</v>
      </c>
      <c r="E408" s="20" t="s">
        <v>360</v>
      </c>
      <c r="F408" s="20"/>
      <c r="G408" s="26">
        <f>G409+G411</f>
        <v>1595</v>
      </c>
      <c r="H408" s="173"/>
    </row>
    <row r="409" spans="1:8" ht="31.5" x14ac:dyDescent="0.25">
      <c r="A409" s="25" t="s">
        <v>131</v>
      </c>
      <c r="B409" s="16">
        <v>903</v>
      </c>
      <c r="C409" s="20" t="s">
        <v>244</v>
      </c>
      <c r="D409" s="20" t="s">
        <v>215</v>
      </c>
      <c r="E409" s="20" t="s">
        <v>360</v>
      </c>
      <c r="F409" s="20" t="s">
        <v>132</v>
      </c>
      <c r="G409" s="26">
        <f>G410</f>
        <v>547</v>
      </c>
      <c r="H409" s="173"/>
    </row>
    <row r="410" spans="1:8" ht="47.25" x14ac:dyDescent="0.25">
      <c r="A410" s="25" t="s">
        <v>133</v>
      </c>
      <c r="B410" s="16">
        <v>903</v>
      </c>
      <c r="C410" s="20" t="s">
        <v>244</v>
      </c>
      <c r="D410" s="20" t="s">
        <v>215</v>
      </c>
      <c r="E410" s="20" t="s">
        <v>360</v>
      </c>
      <c r="F410" s="20" t="s">
        <v>134</v>
      </c>
      <c r="G410" s="159">
        <f>552-50+45</f>
        <v>547</v>
      </c>
      <c r="H410" s="154" t="s">
        <v>748</v>
      </c>
    </row>
    <row r="411" spans="1:8" ht="31.5" x14ac:dyDescent="0.25">
      <c r="A411" s="25" t="s">
        <v>248</v>
      </c>
      <c r="B411" s="16">
        <v>903</v>
      </c>
      <c r="C411" s="20" t="s">
        <v>244</v>
      </c>
      <c r="D411" s="20" t="s">
        <v>215</v>
      </c>
      <c r="E411" s="20" t="s">
        <v>360</v>
      </c>
      <c r="F411" s="20" t="s">
        <v>249</v>
      </c>
      <c r="G411" s="26">
        <f>G412</f>
        <v>1048</v>
      </c>
      <c r="H411" s="173"/>
    </row>
    <row r="412" spans="1:8" ht="31.5" x14ac:dyDescent="0.25">
      <c r="A412" s="25" t="s">
        <v>348</v>
      </c>
      <c r="B412" s="16">
        <v>903</v>
      </c>
      <c r="C412" s="20" t="s">
        <v>244</v>
      </c>
      <c r="D412" s="20" t="s">
        <v>215</v>
      </c>
      <c r="E412" s="20" t="s">
        <v>360</v>
      </c>
      <c r="F412" s="20" t="s">
        <v>349</v>
      </c>
      <c r="G412" s="26">
        <v>1048</v>
      </c>
      <c r="H412" s="173"/>
    </row>
    <row r="413" spans="1:8" ht="47.25" x14ac:dyDescent="0.25">
      <c r="A413" s="25" t="s">
        <v>361</v>
      </c>
      <c r="B413" s="16">
        <v>903</v>
      </c>
      <c r="C413" s="20" t="s">
        <v>244</v>
      </c>
      <c r="D413" s="20" t="s">
        <v>215</v>
      </c>
      <c r="E413" s="20" t="s">
        <v>362</v>
      </c>
      <c r="F413" s="20"/>
      <c r="G413" s="26">
        <f>G414</f>
        <v>335</v>
      </c>
      <c r="H413" s="173"/>
    </row>
    <row r="414" spans="1:8" ht="31.5" x14ac:dyDescent="0.25">
      <c r="A414" s="25" t="s">
        <v>157</v>
      </c>
      <c r="B414" s="16">
        <v>903</v>
      </c>
      <c r="C414" s="20" t="s">
        <v>244</v>
      </c>
      <c r="D414" s="20" t="s">
        <v>215</v>
      </c>
      <c r="E414" s="20" t="s">
        <v>363</v>
      </c>
      <c r="F414" s="20"/>
      <c r="G414" s="26">
        <f>G415</f>
        <v>335</v>
      </c>
      <c r="H414" s="173"/>
    </row>
    <row r="415" spans="1:8" ht="31.5" x14ac:dyDescent="0.25">
      <c r="A415" s="25" t="s">
        <v>248</v>
      </c>
      <c r="B415" s="16">
        <v>903</v>
      </c>
      <c r="C415" s="20" t="s">
        <v>244</v>
      </c>
      <c r="D415" s="20" t="s">
        <v>215</v>
      </c>
      <c r="E415" s="20" t="s">
        <v>363</v>
      </c>
      <c r="F415" s="20" t="s">
        <v>249</v>
      </c>
      <c r="G415" s="26">
        <f>G416</f>
        <v>335</v>
      </c>
      <c r="H415" s="173"/>
    </row>
    <row r="416" spans="1:8" ht="31.5" x14ac:dyDescent="0.25">
      <c r="A416" s="25" t="s">
        <v>348</v>
      </c>
      <c r="B416" s="16">
        <v>903</v>
      </c>
      <c r="C416" s="20" t="s">
        <v>244</v>
      </c>
      <c r="D416" s="20" t="s">
        <v>215</v>
      </c>
      <c r="E416" s="20" t="s">
        <v>363</v>
      </c>
      <c r="F416" s="20" t="s">
        <v>349</v>
      </c>
      <c r="G416" s="26">
        <f>400-65</f>
        <v>335</v>
      </c>
      <c r="H416" s="173"/>
    </row>
    <row r="417" spans="1:8" ht="63" x14ac:dyDescent="0.25">
      <c r="A417" s="25" t="s">
        <v>364</v>
      </c>
      <c r="B417" s="16">
        <v>903</v>
      </c>
      <c r="C417" s="20" t="s">
        <v>244</v>
      </c>
      <c r="D417" s="20" t="s">
        <v>215</v>
      </c>
      <c r="E417" s="20" t="s">
        <v>365</v>
      </c>
      <c r="F417" s="20"/>
      <c r="G417" s="26">
        <f>G418</f>
        <v>210</v>
      </c>
      <c r="H417" s="173"/>
    </row>
    <row r="418" spans="1:8" ht="31.5" x14ac:dyDescent="0.25">
      <c r="A418" s="25" t="s">
        <v>157</v>
      </c>
      <c r="B418" s="16">
        <v>903</v>
      </c>
      <c r="C418" s="20" t="s">
        <v>244</v>
      </c>
      <c r="D418" s="20" t="s">
        <v>215</v>
      </c>
      <c r="E418" s="20" t="s">
        <v>366</v>
      </c>
      <c r="F418" s="20"/>
      <c r="G418" s="26">
        <f>G419</f>
        <v>210</v>
      </c>
      <c r="H418" s="173"/>
    </row>
    <row r="419" spans="1:8" ht="31.5" x14ac:dyDescent="0.25">
      <c r="A419" s="25" t="s">
        <v>131</v>
      </c>
      <c r="B419" s="16">
        <v>903</v>
      </c>
      <c r="C419" s="20" t="s">
        <v>244</v>
      </c>
      <c r="D419" s="20" t="s">
        <v>215</v>
      </c>
      <c r="E419" s="20" t="s">
        <v>366</v>
      </c>
      <c r="F419" s="20" t="s">
        <v>132</v>
      </c>
      <c r="G419" s="26">
        <f>G420</f>
        <v>210</v>
      </c>
      <c r="H419" s="173"/>
    </row>
    <row r="420" spans="1:8" ht="47.25" x14ac:dyDescent="0.25">
      <c r="A420" s="25" t="s">
        <v>133</v>
      </c>
      <c r="B420" s="16">
        <v>903</v>
      </c>
      <c r="C420" s="20" t="s">
        <v>244</v>
      </c>
      <c r="D420" s="20" t="s">
        <v>215</v>
      </c>
      <c r="E420" s="20" t="s">
        <v>366</v>
      </c>
      <c r="F420" s="20" t="s">
        <v>134</v>
      </c>
      <c r="G420" s="26">
        <f>150+60</f>
        <v>210</v>
      </c>
      <c r="H420" s="173"/>
    </row>
    <row r="421" spans="1:8" ht="63" x14ac:dyDescent="0.25">
      <c r="A421" s="25" t="s">
        <v>367</v>
      </c>
      <c r="B421" s="16">
        <v>903</v>
      </c>
      <c r="C421" s="20" t="s">
        <v>244</v>
      </c>
      <c r="D421" s="20" t="s">
        <v>215</v>
      </c>
      <c r="E421" s="20" t="s">
        <v>368</v>
      </c>
      <c r="F421" s="20"/>
      <c r="G421" s="26">
        <f>G422+G434+G428+G431</f>
        <v>30</v>
      </c>
      <c r="H421" s="173"/>
    </row>
    <row r="422" spans="1:8" ht="47.25" customHeight="1" x14ac:dyDescent="0.25">
      <c r="A422" s="25" t="s">
        <v>369</v>
      </c>
      <c r="B422" s="16">
        <v>903</v>
      </c>
      <c r="C422" s="20" t="s">
        <v>244</v>
      </c>
      <c r="D422" s="20" t="s">
        <v>215</v>
      </c>
      <c r="E422" s="20" t="s">
        <v>370</v>
      </c>
      <c r="F422" s="20"/>
      <c r="G422" s="26">
        <f>G423</f>
        <v>20</v>
      </c>
      <c r="H422" s="173"/>
    </row>
    <row r="423" spans="1:8" ht="47.25" x14ac:dyDescent="0.25">
      <c r="A423" s="25" t="s">
        <v>272</v>
      </c>
      <c r="B423" s="16">
        <v>903</v>
      </c>
      <c r="C423" s="20" t="s">
        <v>244</v>
      </c>
      <c r="D423" s="20" t="s">
        <v>215</v>
      </c>
      <c r="E423" s="20" t="s">
        <v>370</v>
      </c>
      <c r="F423" s="20" t="s">
        <v>273</v>
      </c>
      <c r="G423" s="26">
        <f>G424</f>
        <v>20</v>
      </c>
      <c r="H423" s="173"/>
    </row>
    <row r="424" spans="1:8" ht="63" x14ac:dyDescent="0.25">
      <c r="A424" s="39" t="s">
        <v>371</v>
      </c>
      <c r="B424" s="16">
        <v>903</v>
      </c>
      <c r="C424" s="20" t="s">
        <v>244</v>
      </c>
      <c r="D424" s="20" t="s">
        <v>215</v>
      </c>
      <c r="E424" s="20" t="s">
        <v>370</v>
      </c>
      <c r="F424" s="20" t="s">
        <v>372</v>
      </c>
      <c r="G424" s="26">
        <f>30-10</f>
        <v>20</v>
      </c>
      <c r="H424" s="105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7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7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7"/>
    </row>
    <row r="428" spans="1:8" ht="126" hidden="1" x14ac:dyDescent="0.25">
      <c r="A428" s="25" t="s">
        <v>373</v>
      </c>
      <c r="B428" s="16">
        <v>903</v>
      </c>
      <c r="C428" s="20" t="s">
        <v>244</v>
      </c>
      <c r="D428" s="20" t="s">
        <v>215</v>
      </c>
      <c r="E428" s="20" t="s">
        <v>374</v>
      </c>
      <c r="F428" s="20"/>
      <c r="G428" s="26">
        <f>G429</f>
        <v>0</v>
      </c>
      <c r="H428" s="173"/>
    </row>
    <row r="429" spans="1:8" ht="15.75" hidden="1" x14ac:dyDescent="0.25">
      <c r="A429" s="25" t="s">
        <v>135</v>
      </c>
      <c r="B429" s="16">
        <v>903</v>
      </c>
      <c r="C429" s="20" t="s">
        <v>244</v>
      </c>
      <c r="D429" s="20" t="s">
        <v>215</v>
      </c>
      <c r="E429" s="20" t="s">
        <v>374</v>
      </c>
      <c r="F429" s="20" t="s">
        <v>145</v>
      </c>
      <c r="G429" s="26">
        <f>G430</f>
        <v>0</v>
      </c>
      <c r="H429" s="173"/>
    </row>
    <row r="430" spans="1:8" ht="63" hidden="1" x14ac:dyDescent="0.25">
      <c r="A430" s="25" t="s">
        <v>184</v>
      </c>
      <c r="B430" s="16">
        <v>903</v>
      </c>
      <c r="C430" s="20" t="s">
        <v>244</v>
      </c>
      <c r="D430" s="20" t="s">
        <v>215</v>
      </c>
      <c r="E430" s="20" t="s">
        <v>374</v>
      </c>
      <c r="F430" s="20" t="s">
        <v>160</v>
      </c>
      <c r="G430" s="26">
        <v>0</v>
      </c>
      <c r="H430" s="173"/>
    </row>
    <row r="431" spans="1:8" ht="63" x14ac:dyDescent="0.25">
      <c r="A431" s="25" t="s">
        <v>375</v>
      </c>
      <c r="B431" s="16">
        <v>903</v>
      </c>
      <c r="C431" s="20" t="s">
        <v>244</v>
      </c>
      <c r="D431" s="20" t="s">
        <v>215</v>
      </c>
      <c r="E431" s="20" t="s">
        <v>376</v>
      </c>
      <c r="F431" s="20"/>
      <c r="G431" s="26">
        <f>G432</f>
        <v>10</v>
      </c>
      <c r="H431" s="173"/>
    </row>
    <row r="432" spans="1:8" ht="31.5" x14ac:dyDescent="0.25">
      <c r="A432" s="25" t="s">
        <v>248</v>
      </c>
      <c r="B432" s="16">
        <v>903</v>
      </c>
      <c r="C432" s="20" t="s">
        <v>244</v>
      </c>
      <c r="D432" s="20" t="s">
        <v>215</v>
      </c>
      <c r="E432" s="20" t="s">
        <v>376</v>
      </c>
      <c r="F432" s="20" t="s">
        <v>249</v>
      </c>
      <c r="G432" s="26">
        <f>G433</f>
        <v>10</v>
      </c>
      <c r="H432" s="173"/>
    </row>
    <row r="433" spans="1:10" ht="31.5" x14ac:dyDescent="0.25">
      <c r="A433" s="25" t="s">
        <v>250</v>
      </c>
      <c r="B433" s="16">
        <v>903</v>
      </c>
      <c r="C433" s="20" t="s">
        <v>244</v>
      </c>
      <c r="D433" s="20" t="s">
        <v>215</v>
      </c>
      <c r="E433" s="20" t="s">
        <v>376</v>
      </c>
      <c r="F433" s="20" t="s">
        <v>251</v>
      </c>
      <c r="G433" s="26">
        <v>10</v>
      </c>
      <c r="H433" s="105"/>
    </row>
    <row r="434" spans="1:10" ht="31.5" hidden="1" x14ac:dyDescent="0.25">
      <c r="A434" s="25" t="s">
        <v>377</v>
      </c>
      <c r="B434" s="16">
        <v>903</v>
      </c>
      <c r="C434" s="20" t="s">
        <v>244</v>
      </c>
      <c r="D434" s="20" t="s">
        <v>215</v>
      </c>
      <c r="E434" s="20" t="s">
        <v>378</v>
      </c>
      <c r="F434" s="20"/>
      <c r="G434" s="26">
        <f>G435+G437</f>
        <v>0</v>
      </c>
      <c r="H434" s="173"/>
    </row>
    <row r="435" spans="1:10" ht="31.5" hidden="1" x14ac:dyDescent="0.25">
      <c r="A435" s="25" t="s">
        <v>131</v>
      </c>
      <c r="B435" s="16">
        <v>903</v>
      </c>
      <c r="C435" s="20" t="s">
        <v>244</v>
      </c>
      <c r="D435" s="20" t="s">
        <v>215</v>
      </c>
      <c r="E435" s="20" t="s">
        <v>378</v>
      </c>
      <c r="F435" s="20" t="s">
        <v>132</v>
      </c>
      <c r="G435" s="26">
        <f>G436</f>
        <v>0</v>
      </c>
      <c r="H435" s="173"/>
    </row>
    <row r="436" spans="1:10" ht="47.25" hidden="1" x14ac:dyDescent="0.25">
      <c r="A436" s="25" t="s">
        <v>133</v>
      </c>
      <c r="B436" s="16">
        <v>903</v>
      </c>
      <c r="C436" s="20" t="s">
        <v>244</v>
      </c>
      <c r="D436" s="20" t="s">
        <v>215</v>
      </c>
      <c r="E436" s="20" t="s">
        <v>378</v>
      </c>
      <c r="F436" s="20" t="s">
        <v>134</v>
      </c>
      <c r="G436" s="26">
        <v>0</v>
      </c>
      <c r="H436" s="173"/>
    </row>
    <row r="437" spans="1:10" ht="15.75" hidden="1" x14ac:dyDescent="0.25">
      <c r="A437" s="25" t="s">
        <v>135</v>
      </c>
      <c r="B437" s="16">
        <v>903</v>
      </c>
      <c r="C437" s="20" t="s">
        <v>244</v>
      </c>
      <c r="D437" s="20" t="s">
        <v>215</v>
      </c>
      <c r="E437" s="20" t="s">
        <v>379</v>
      </c>
      <c r="F437" s="20" t="s">
        <v>145</v>
      </c>
      <c r="G437" s="26">
        <f>G438</f>
        <v>0</v>
      </c>
      <c r="H437" s="173"/>
    </row>
    <row r="438" spans="1:10" ht="63" hidden="1" x14ac:dyDescent="0.25">
      <c r="A438" s="25" t="s">
        <v>184</v>
      </c>
      <c r="B438" s="16">
        <v>903</v>
      </c>
      <c r="C438" s="20" t="s">
        <v>244</v>
      </c>
      <c r="D438" s="20" t="s">
        <v>215</v>
      </c>
      <c r="E438" s="20" t="s">
        <v>379</v>
      </c>
      <c r="F438" s="20" t="s">
        <v>160</v>
      </c>
      <c r="G438" s="26">
        <v>0</v>
      </c>
      <c r="H438" s="173"/>
    </row>
    <row r="439" spans="1:10" ht="94.5" x14ac:dyDescent="0.25">
      <c r="A439" s="29" t="s">
        <v>380</v>
      </c>
      <c r="B439" s="16">
        <v>903</v>
      </c>
      <c r="C439" s="40" t="s">
        <v>244</v>
      </c>
      <c r="D439" s="40" t="s">
        <v>215</v>
      </c>
      <c r="E439" s="40" t="s">
        <v>381</v>
      </c>
      <c r="F439" s="40"/>
      <c r="G439" s="26">
        <f>G440</f>
        <v>105</v>
      </c>
      <c r="H439" s="173"/>
    </row>
    <row r="440" spans="1:10" ht="31.5" x14ac:dyDescent="0.25">
      <c r="A440" s="29" t="s">
        <v>157</v>
      </c>
      <c r="B440" s="16">
        <v>903</v>
      </c>
      <c r="C440" s="40" t="s">
        <v>244</v>
      </c>
      <c r="D440" s="40" t="s">
        <v>215</v>
      </c>
      <c r="E440" s="40" t="s">
        <v>382</v>
      </c>
      <c r="F440" s="40"/>
      <c r="G440" s="26">
        <f>G441</f>
        <v>105</v>
      </c>
      <c r="H440" s="173"/>
    </row>
    <row r="441" spans="1:10" ht="31.5" x14ac:dyDescent="0.25">
      <c r="A441" s="29" t="s">
        <v>131</v>
      </c>
      <c r="B441" s="16">
        <v>903</v>
      </c>
      <c r="C441" s="40" t="s">
        <v>244</v>
      </c>
      <c r="D441" s="40" t="s">
        <v>215</v>
      </c>
      <c r="E441" s="40" t="s">
        <v>382</v>
      </c>
      <c r="F441" s="40" t="s">
        <v>132</v>
      </c>
      <c r="G441" s="26">
        <f>G442</f>
        <v>105</v>
      </c>
      <c r="H441" s="173"/>
    </row>
    <row r="442" spans="1:10" ht="47.25" x14ac:dyDescent="0.25">
      <c r="A442" s="29" t="s">
        <v>133</v>
      </c>
      <c r="B442" s="16">
        <v>903</v>
      </c>
      <c r="C442" s="40" t="s">
        <v>244</v>
      </c>
      <c r="D442" s="40" t="s">
        <v>215</v>
      </c>
      <c r="E442" s="40" t="s">
        <v>382</v>
      </c>
      <c r="F442" s="40" t="s">
        <v>134</v>
      </c>
      <c r="G442" s="26">
        <f>50+55</f>
        <v>105</v>
      </c>
      <c r="H442" s="173"/>
    </row>
    <row r="443" spans="1:10" ht="15.75" x14ac:dyDescent="0.25">
      <c r="A443" s="25" t="s">
        <v>121</v>
      </c>
      <c r="B443" s="16">
        <v>903</v>
      </c>
      <c r="C443" s="20" t="s">
        <v>244</v>
      </c>
      <c r="D443" s="20" t="s">
        <v>215</v>
      </c>
      <c r="E443" s="20" t="s">
        <v>122</v>
      </c>
      <c r="F443" s="20"/>
      <c r="G443" s="26">
        <f>G444+G455</f>
        <v>932</v>
      </c>
      <c r="H443" s="173"/>
    </row>
    <row r="444" spans="1:10" ht="31.5" x14ac:dyDescent="0.25">
      <c r="A444" s="25" t="s">
        <v>185</v>
      </c>
      <c r="B444" s="16">
        <v>903</v>
      </c>
      <c r="C444" s="20" t="s">
        <v>244</v>
      </c>
      <c r="D444" s="20" t="s">
        <v>215</v>
      </c>
      <c r="E444" s="20" t="s">
        <v>186</v>
      </c>
      <c r="F444" s="20"/>
      <c r="G444" s="26">
        <f>G451+G445+G448</f>
        <v>932</v>
      </c>
      <c r="H444" s="173"/>
    </row>
    <row r="445" spans="1:10" ht="15.75" x14ac:dyDescent="0.25">
      <c r="A445" s="25" t="s">
        <v>383</v>
      </c>
      <c r="B445" s="16">
        <v>903</v>
      </c>
      <c r="C445" s="20" t="s">
        <v>244</v>
      </c>
      <c r="D445" s="20" t="s">
        <v>215</v>
      </c>
      <c r="E445" s="20" t="s">
        <v>384</v>
      </c>
      <c r="F445" s="20"/>
      <c r="G445" s="26">
        <f>G446</f>
        <v>372.6</v>
      </c>
      <c r="H445" s="173"/>
    </row>
    <row r="446" spans="1:10" ht="31.5" x14ac:dyDescent="0.25">
      <c r="A446" s="25" t="s">
        <v>248</v>
      </c>
      <c r="B446" s="16">
        <v>903</v>
      </c>
      <c r="C446" s="20" t="s">
        <v>244</v>
      </c>
      <c r="D446" s="20" t="s">
        <v>215</v>
      </c>
      <c r="E446" s="20" t="s">
        <v>384</v>
      </c>
      <c r="F446" s="20" t="s">
        <v>249</v>
      </c>
      <c r="G446" s="26">
        <f>G447</f>
        <v>372.6</v>
      </c>
      <c r="H446" s="173"/>
    </row>
    <row r="447" spans="1:10" ht="31.5" x14ac:dyDescent="0.25">
      <c r="A447" s="25" t="s">
        <v>250</v>
      </c>
      <c r="B447" s="16">
        <v>903</v>
      </c>
      <c r="C447" s="20" t="s">
        <v>244</v>
      </c>
      <c r="D447" s="20" t="s">
        <v>215</v>
      </c>
      <c r="E447" s="20" t="s">
        <v>384</v>
      </c>
      <c r="F447" s="20" t="s">
        <v>251</v>
      </c>
      <c r="G447" s="26">
        <v>372.6</v>
      </c>
      <c r="H447" s="105"/>
      <c r="I447" s="123"/>
    </row>
    <row r="448" spans="1:10" ht="63" x14ac:dyDescent="0.25">
      <c r="A448" s="25" t="s">
        <v>375</v>
      </c>
      <c r="B448" s="16">
        <v>903</v>
      </c>
      <c r="C448" s="20" t="s">
        <v>244</v>
      </c>
      <c r="D448" s="20" t="s">
        <v>215</v>
      </c>
      <c r="E448" s="20" t="s">
        <v>385</v>
      </c>
      <c r="F448" s="20"/>
      <c r="G448" s="26">
        <f>G449</f>
        <v>500</v>
      </c>
      <c r="H448" s="173"/>
      <c r="J448" s="108"/>
    </row>
    <row r="449" spans="1:10" ht="31.5" x14ac:dyDescent="0.25">
      <c r="A449" s="25" t="s">
        <v>248</v>
      </c>
      <c r="B449" s="16">
        <v>903</v>
      </c>
      <c r="C449" s="20" t="s">
        <v>244</v>
      </c>
      <c r="D449" s="20" t="s">
        <v>215</v>
      </c>
      <c r="E449" s="20" t="s">
        <v>385</v>
      </c>
      <c r="F449" s="20" t="s">
        <v>249</v>
      </c>
      <c r="G449" s="26">
        <f>G450</f>
        <v>500</v>
      </c>
      <c r="H449" s="173"/>
      <c r="J449" s="108"/>
    </row>
    <row r="450" spans="1:10" ht="31.5" x14ac:dyDescent="0.25">
      <c r="A450" s="25" t="s">
        <v>250</v>
      </c>
      <c r="B450" s="16">
        <v>903</v>
      </c>
      <c r="C450" s="20" t="s">
        <v>244</v>
      </c>
      <c r="D450" s="20" t="s">
        <v>215</v>
      </c>
      <c r="E450" s="20" t="s">
        <v>385</v>
      </c>
      <c r="F450" s="20" t="s">
        <v>251</v>
      </c>
      <c r="G450" s="26">
        <v>500</v>
      </c>
      <c r="H450" s="105"/>
      <c r="J450" s="108"/>
    </row>
    <row r="451" spans="1:10" ht="54" customHeight="1" x14ac:dyDescent="0.25">
      <c r="A451" s="161" t="s">
        <v>736</v>
      </c>
      <c r="B451" s="16">
        <v>903</v>
      </c>
      <c r="C451" s="20" t="s">
        <v>244</v>
      </c>
      <c r="D451" s="20" t="s">
        <v>215</v>
      </c>
      <c r="E451" s="20" t="s">
        <v>386</v>
      </c>
      <c r="F451" s="20"/>
      <c r="G451" s="26">
        <f>G452</f>
        <v>59.4</v>
      </c>
      <c r="H451" s="173"/>
      <c r="J451" s="108"/>
    </row>
    <row r="452" spans="1:10" ht="31.5" x14ac:dyDescent="0.25">
      <c r="A452" s="25" t="s">
        <v>248</v>
      </c>
      <c r="B452" s="16">
        <v>903</v>
      </c>
      <c r="C452" s="20" t="s">
        <v>244</v>
      </c>
      <c r="D452" s="20" t="s">
        <v>215</v>
      </c>
      <c r="E452" s="20" t="s">
        <v>386</v>
      </c>
      <c r="F452" s="20" t="s">
        <v>249</v>
      </c>
      <c r="G452" s="26">
        <f>G453+G454</f>
        <v>59.4</v>
      </c>
      <c r="H452" s="173"/>
      <c r="J452" s="108"/>
    </row>
    <row r="453" spans="1:10" ht="31.5" x14ac:dyDescent="0.25">
      <c r="A453" s="25" t="s">
        <v>348</v>
      </c>
      <c r="B453" s="16">
        <v>903</v>
      </c>
      <c r="C453" s="20" t="s">
        <v>244</v>
      </c>
      <c r="D453" s="20" t="s">
        <v>215</v>
      </c>
      <c r="E453" s="20" t="s">
        <v>386</v>
      </c>
      <c r="F453" s="20" t="s">
        <v>349</v>
      </c>
      <c r="G453" s="159">
        <v>59.4</v>
      </c>
      <c r="H453" s="154" t="s">
        <v>726</v>
      </c>
      <c r="J453" s="108"/>
    </row>
    <row r="454" spans="1:10" ht="31.5" x14ac:dyDescent="0.25">
      <c r="A454" s="25" t="s">
        <v>250</v>
      </c>
      <c r="B454" s="16">
        <v>903</v>
      </c>
      <c r="C454" s="20" t="s">
        <v>244</v>
      </c>
      <c r="D454" s="20" t="s">
        <v>215</v>
      </c>
      <c r="E454" s="20" t="s">
        <v>386</v>
      </c>
      <c r="F454" s="20" t="s">
        <v>251</v>
      </c>
      <c r="G454" s="26"/>
      <c r="H454" s="173"/>
    </row>
    <row r="455" spans="1:10" ht="15.75" x14ac:dyDescent="0.25">
      <c r="A455" s="25" t="s">
        <v>141</v>
      </c>
      <c r="B455" s="16">
        <v>903</v>
      </c>
      <c r="C455" s="20" t="s">
        <v>244</v>
      </c>
      <c r="D455" s="20" t="s">
        <v>215</v>
      </c>
      <c r="E455" s="20" t="s">
        <v>142</v>
      </c>
      <c r="F455" s="20"/>
      <c r="G455" s="26">
        <f>G456</f>
        <v>0</v>
      </c>
      <c r="H455" s="173"/>
    </row>
    <row r="456" spans="1:10" ht="15.75" x14ac:dyDescent="0.25">
      <c r="A456" s="25" t="s">
        <v>201</v>
      </c>
      <c r="B456" s="16">
        <v>903</v>
      </c>
      <c r="C456" s="20" t="s">
        <v>244</v>
      </c>
      <c r="D456" s="20" t="s">
        <v>215</v>
      </c>
      <c r="E456" s="20" t="s">
        <v>202</v>
      </c>
      <c r="F456" s="20"/>
      <c r="G456" s="26">
        <f>G457</f>
        <v>0</v>
      </c>
      <c r="H456" s="173"/>
    </row>
    <row r="457" spans="1:10" ht="31.5" x14ac:dyDescent="0.25">
      <c r="A457" s="25" t="s">
        <v>248</v>
      </c>
      <c r="B457" s="16">
        <v>903</v>
      </c>
      <c r="C457" s="20" t="s">
        <v>244</v>
      </c>
      <c r="D457" s="20" t="s">
        <v>215</v>
      </c>
      <c r="E457" s="20" t="s">
        <v>202</v>
      </c>
      <c r="F457" s="20" t="s">
        <v>249</v>
      </c>
      <c r="G457" s="26">
        <f>G458</f>
        <v>0</v>
      </c>
      <c r="H457" s="173"/>
    </row>
    <row r="458" spans="1:10" ht="31.5" x14ac:dyDescent="0.25">
      <c r="A458" s="25" t="s">
        <v>348</v>
      </c>
      <c r="B458" s="16">
        <v>903</v>
      </c>
      <c r="C458" s="20" t="s">
        <v>244</v>
      </c>
      <c r="D458" s="20" t="s">
        <v>215</v>
      </c>
      <c r="E458" s="20" t="s">
        <v>202</v>
      </c>
      <c r="F458" s="20" t="s">
        <v>349</v>
      </c>
      <c r="G458" s="26">
        <v>0</v>
      </c>
      <c r="H458" s="173"/>
    </row>
    <row r="459" spans="1:10" ht="47.25" x14ac:dyDescent="0.25">
      <c r="A459" s="19" t="s">
        <v>387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3"/>
    </row>
    <row r="460" spans="1:10" ht="15.75" x14ac:dyDescent="0.25">
      <c r="A460" s="23" t="s">
        <v>117</v>
      </c>
      <c r="B460" s="19">
        <v>905</v>
      </c>
      <c r="C460" s="24" t="s">
        <v>118</v>
      </c>
      <c r="D460" s="20"/>
      <c r="E460" s="20"/>
      <c r="F460" s="20"/>
      <c r="G460" s="21">
        <f>G461+G471</f>
        <v>14701.94</v>
      </c>
      <c r="H460" s="173"/>
    </row>
    <row r="461" spans="1:10" ht="78.75" x14ac:dyDescent="0.25">
      <c r="A461" s="23" t="s">
        <v>149</v>
      </c>
      <c r="B461" s="19">
        <v>905</v>
      </c>
      <c r="C461" s="24" t="s">
        <v>118</v>
      </c>
      <c r="D461" s="24" t="s">
        <v>150</v>
      </c>
      <c r="E461" s="24"/>
      <c r="F461" s="24"/>
      <c r="G461" s="21">
        <f>G462</f>
        <v>11089</v>
      </c>
      <c r="H461" s="173"/>
    </row>
    <row r="462" spans="1:10" ht="15.75" x14ac:dyDescent="0.25">
      <c r="A462" s="25" t="s">
        <v>121</v>
      </c>
      <c r="B462" s="16">
        <v>905</v>
      </c>
      <c r="C462" s="20" t="s">
        <v>118</v>
      </c>
      <c r="D462" s="20" t="s">
        <v>150</v>
      </c>
      <c r="E462" s="20" t="s">
        <v>122</v>
      </c>
      <c r="F462" s="20"/>
      <c r="G462" s="26">
        <f>G463</f>
        <v>11089</v>
      </c>
      <c r="H462" s="173"/>
    </row>
    <row r="463" spans="1:10" ht="31.5" x14ac:dyDescent="0.25">
      <c r="A463" s="25" t="s">
        <v>123</v>
      </c>
      <c r="B463" s="16">
        <v>905</v>
      </c>
      <c r="C463" s="20" t="s">
        <v>118</v>
      </c>
      <c r="D463" s="20" t="s">
        <v>150</v>
      </c>
      <c r="E463" s="20" t="s">
        <v>124</v>
      </c>
      <c r="F463" s="20"/>
      <c r="G463" s="26">
        <f>G464</f>
        <v>11089</v>
      </c>
      <c r="H463" s="173"/>
    </row>
    <row r="464" spans="1:10" ht="47.25" x14ac:dyDescent="0.25">
      <c r="A464" s="25" t="s">
        <v>125</v>
      </c>
      <c r="B464" s="16">
        <v>905</v>
      </c>
      <c r="C464" s="20" t="s">
        <v>118</v>
      </c>
      <c r="D464" s="20" t="s">
        <v>150</v>
      </c>
      <c r="E464" s="20" t="s">
        <v>126</v>
      </c>
      <c r="F464" s="20"/>
      <c r="G464" s="26">
        <f>G465+G467+G469</f>
        <v>11089</v>
      </c>
      <c r="H464" s="173"/>
    </row>
    <row r="465" spans="1:9" ht="94.5" x14ac:dyDescent="0.25">
      <c r="A465" s="25" t="s">
        <v>127</v>
      </c>
      <c r="B465" s="16">
        <v>905</v>
      </c>
      <c r="C465" s="20" t="s">
        <v>118</v>
      </c>
      <c r="D465" s="20" t="s">
        <v>150</v>
      </c>
      <c r="E465" s="20" t="s">
        <v>126</v>
      </c>
      <c r="F465" s="20" t="s">
        <v>128</v>
      </c>
      <c r="G465" s="26">
        <f>G466</f>
        <v>10200.700000000001</v>
      </c>
      <c r="H465" s="173"/>
    </row>
    <row r="466" spans="1:9" ht="31.5" x14ac:dyDescent="0.25">
      <c r="A466" s="25" t="s">
        <v>129</v>
      </c>
      <c r="B466" s="16">
        <v>905</v>
      </c>
      <c r="C466" s="20" t="s">
        <v>118</v>
      </c>
      <c r="D466" s="20" t="s">
        <v>150</v>
      </c>
      <c r="E466" s="20" t="s">
        <v>126</v>
      </c>
      <c r="F466" s="20" t="s">
        <v>130</v>
      </c>
      <c r="G466" s="27">
        <v>10200.700000000001</v>
      </c>
      <c r="H466" s="173"/>
    </row>
    <row r="467" spans="1:9" ht="31.5" x14ac:dyDescent="0.25">
      <c r="A467" s="25" t="s">
        <v>131</v>
      </c>
      <c r="B467" s="16">
        <v>905</v>
      </c>
      <c r="C467" s="20" t="s">
        <v>118</v>
      </c>
      <c r="D467" s="20" t="s">
        <v>150</v>
      </c>
      <c r="E467" s="20" t="s">
        <v>126</v>
      </c>
      <c r="F467" s="20" t="s">
        <v>132</v>
      </c>
      <c r="G467" s="26">
        <f>G468</f>
        <v>811.8</v>
      </c>
      <c r="H467" s="173"/>
    </row>
    <row r="468" spans="1:9" ht="47.25" x14ac:dyDescent="0.25">
      <c r="A468" s="25" t="s">
        <v>133</v>
      </c>
      <c r="B468" s="16">
        <v>905</v>
      </c>
      <c r="C468" s="20" t="s">
        <v>118</v>
      </c>
      <c r="D468" s="20" t="s">
        <v>150</v>
      </c>
      <c r="E468" s="20" t="s">
        <v>126</v>
      </c>
      <c r="F468" s="20" t="s">
        <v>134</v>
      </c>
      <c r="G468" s="153">
        <f>885.8-74</f>
        <v>811.8</v>
      </c>
      <c r="H468" s="154" t="s">
        <v>721</v>
      </c>
    </row>
    <row r="469" spans="1:9" ht="15.75" x14ac:dyDescent="0.25">
      <c r="A469" s="25" t="s">
        <v>135</v>
      </c>
      <c r="B469" s="16">
        <v>905</v>
      </c>
      <c r="C469" s="20" t="s">
        <v>118</v>
      </c>
      <c r="D469" s="20" t="s">
        <v>150</v>
      </c>
      <c r="E469" s="20" t="s">
        <v>126</v>
      </c>
      <c r="F469" s="20" t="s">
        <v>145</v>
      </c>
      <c r="G469" s="26">
        <f>G470</f>
        <v>76.5</v>
      </c>
      <c r="H469" s="173"/>
    </row>
    <row r="470" spans="1:9" ht="15.75" x14ac:dyDescent="0.25">
      <c r="A470" s="25" t="s">
        <v>568</v>
      </c>
      <c r="B470" s="16">
        <v>905</v>
      </c>
      <c r="C470" s="20" t="s">
        <v>118</v>
      </c>
      <c r="D470" s="20" t="s">
        <v>150</v>
      </c>
      <c r="E470" s="20" t="s">
        <v>126</v>
      </c>
      <c r="F470" s="20" t="s">
        <v>138</v>
      </c>
      <c r="G470" s="155">
        <f>2.5+74</f>
        <v>76.5</v>
      </c>
      <c r="H470" s="154" t="s">
        <v>722</v>
      </c>
    </row>
    <row r="471" spans="1:9" ht="15.75" x14ac:dyDescent="0.25">
      <c r="A471" s="23" t="s">
        <v>139</v>
      </c>
      <c r="B471" s="19">
        <v>905</v>
      </c>
      <c r="C471" s="24" t="s">
        <v>118</v>
      </c>
      <c r="D471" s="24" t="s">
        <v>140</v>
      </c>
      <c r="E471" s="24"/>
      <c r="F471" s="24"/>
      <c r="G471" s="21">
        <f>G472</f>
        <v>3612.94</v>
      </c>
      <c r="H471" s="173"/>
    </row>
    <row r="472" spans="1:9" ht="15.75" x14ac:dyDescent="0.25">
      <c r="A472" s="25" t="s">
        <v>121</v>
      </c>
      <c r="B472" s="16">
        <v>905</v>
      </c>
      <c r="C472" s="20" t="s">
        <v>118</v>
      </c>
      <c r="D472" s="20" t="s">
        <v>140</v>
      </c>
      <c r="E472" s="20" t="s">
        <v>122</v>
      </c>
      <c r="F472" s="20"/>
      <c r="G472" s="26">
        <f>G473</f>
        <v>3612.94</v>
      </c>
      <c r="H472" s="173"/>
    </row>
    <row r="473" spans="1:9" ht="15.75" x14ac:dyDescent="0.25">
      <c r="A473" s="25" t="s">
        <v>141</v>
      </c>
      <c r="B473" s="16">
        <v>905</v>
      </c>
      <c r="C473" s="20" t="s">
        <v>118</v>
      </c>
      <c r="D473" s="20" t="s">
        <v>140</v>
      </c>
      <c r="E473" s="20" t="s">
        <v>142</v>
      </c>
      <c r="F473" s="20"/>
      <c r="G473" s="26">
        <f>G474</f>
        <v>3612.94</v>
      </c>
      <c r="H473" s="173"/>
    </row>
    <row r="474" spans="1:9" ht="47.25" x14ac:dyDescent="0.25">
      <c r="A474" s="25" t="s">
        <v>388</v>
      </c>
      <c r="B474" s="16">
        <v>905</v>
      </c>
      <c r="C474" s="20" t="s">
        <v>118</v>
      </c>
      <c r="D474" s="20" t="s">
        <v>140</v>
      </c>
      <c r="E474" s="20" t="s">
        <v>389</v>
      </c>
      <c r="F474" s="20"/>
      <c r="G474" s="26">
        <f>G475</f>
        <v>3612.94</v>
      </c>
      <c r="H474" s="173"/>
    </row>
    <row r="475" spans="1:9" ht="31.5" x14ac:dyDescent="0.25">
      <c r="A475" s="25" t="s">
        <v>131</v>
      </c>
      <c r="B475" s="16">
        <v>905</v>
      </c>
      <c r="C475" s="20" t="s">
        <v>118</v>
      </c>
      <c r="D475" s="20" t="s">
        <v>140</v>
      </c>
      <c r="E475" s="20" t="s">
        <v>389</v>
      </c>
      <c r="F475" s="20" t="s">
        <v>132</v>
      </c>
      <c r="G475" s="26">
        <f>G476</f>
        <v>3612.94</v>
      </c>
      <c r="H475" s="173"/>
    </row>
    <row r="476" spans="1:9" ht="47.25" x14ac:dyDescent="0.25">
      <c r="A476" s="25" t="s">
        <v>133</v>
      </c>
      <c r="B476" s="16">
        <v>905</v>
      </c>
      <c r="C476" s="20" t="s">
        <v>118</v>
      </c>
      <c r="D476" s="20" t="s">
        <v>140</v>
      </c>
      <c r="E476" s="20" t="s">
        <v>389</v>
      </c>
      <c r="F476" s="20" t="s">
        <v>134</v>
      </c>
      <c r="G476" s="159">
        <f>1961.14+1251.8+400</f>
        <v>3612.94</v>
      </c>
      <c r="H476" s="105" t="s">
        <v>739</v>
      </c>
      <c r="I476" s="123"/>
    </row>
    <row r="477" spans="1:9" ht="15.75" x14ac:dyDescent="0.25">
      <c r="A477" s="41" t="s">
        <v>390</v>
      </c>
      <c r="B477" s="19">
        <v>905</v>
      </c>
      <c r="C477" s="24" t="s">
        <v>234</v>
      </c>
      <c r="D477" s="24"/>
      <c r="E477" s="24"/>
      <c r="F477" s="24"/>
      <c r="G477" s="21">
        <f>G478</f>
        <v>1099.8</v>
      </c>
      <c r="H477" s="173"/>
    </row>
    <row r="478" spans="1:9" ht="15.75" x14ac:dyDescent="0.25">
      <c r="A478" s="41" t="s">
        <v>391</v>
      </c>
      <c r="B478" s="19">
        <v>905</v>
      </c>
      <c r="C478" s="24" t="s">
        <v>234</v>
      </c>
      <c r="D478" s="24" t="s">
        <v>118</v>
      </c>
      <c r="E478" s="24"/>
      <c r="F478" s="24"/>
      <c r="G478" s="26">
        <f>G479</f>
        <v>1099.8</v>
      </c>
      <c r="H478" s="173"/>
    </row>
    <row r="479" spans="1:9" ht="15.75" x14ac:dyDescent="0.25">
      <c r="A479" s="29" t="s">
        <v>121</v>
      </c>
      <c r="B479" s="16">
        <v>905</v>
      </c>
      <c r="C479" s="20" t="s">
        <v>234</v>
      </c>
      <c r="D479" s="20" t="s">
        <v>118</v>
      </c>
      <c r="E479" s="20" t="s">
        <v>122</v>
      </c>
      <c r="F479" s="20"/>
      <c r="G479" s="26">
        <f>G485+G480</f>
        <v>1099.8</v>
      </c>
      <c r="H479" s="173"/>
    </row>
    <row r="480" spans="1:9" ht="31.5" hidden="1" x14ac:dyDescent="0.25">
      <c r="A480" s="25" t="s">
        <v>185</v>
      </c>
      <c r="B480" s="37">
        <v>905</v>
      </c>
      <c r="C480" s="20" t="s">
        <v>234</v>
      </c>
      <c r="D480" s="20" t="s">
        <v>118</v>
      </c>
      <c r="E480" s="20" t="s">
        <v>186</v>
      </c>
      <c r="F480" s="20"/>
      <c r="G480" s="26">
        <f>G481</f>
        <v>0</v>
      </c>
      <c r="H480" s="173"/>
    </row>
    <row r="481" spans="1:9" ht="47.25" hidden="1" x14ac:dyDescent="0.25">
      <c r="A481" s="36" t="s">
        <v>392</v>
      </c>
      <c r="B481" s="37">
        <v>905</v>
      </c>
      <c r="C481" s="20" t="s">
        <v>234</v>
      </c>
      <c r="D481" s="20" t="s">
        <v>118</v>
      </c>
      <c r="E481" s="20" t="s">
        <v>393</v>
      </c>
      <c r="F481" s="20"/>
      <c r="G481" s="26">
        <f>G482</f>
        <v>0</v>
      </c>
      <c r="H481" s="173"/>
    </row>
    <row r="482" spans="1:9" ht="31.5" hidden="1" x14ac:dyDescent="0.25">
      <c r="A482" s="42" t="s">
        <v>394</v>
      </c>
      <c r="B482" s="37">
        <v>905</v>
      </c>
      <c r="C482" s="20" t="s">
        <v>234</v>
      </c>
      <c r="D482" s="20" t="s">
        <v>118</v>
      </c>
      <c r="E482" s="20" t="s">
        <v>395</v>
      </c>
      <c r="F482" s="20"/>
      <c r="G482" s="26">
        <f>G483</f>
        <v>0</v>
      </c>
      <c r="H482" s="173"/>
    </row>
    <row r="483" spans="1:9" ht="31.5" hidden="1" x14ac:dyDescent="0.25">
      <c r="A483" s="25" t="s">
        <v>131</v>
      </c>
      <c r="B483" s="16">
        <v>905</v>
      </c>
      <c r="C483" s="20" t="s">
        <v>234</v>
      </c>
      <c r="D483" s="20" t="s">
        <v>118</v>
      </c>
      <c r="E483" s="20" t="s">
        <v>395</v>
      </c>
      <c r="F483" s="20" t="s">
        <v>132</v>
      </c>
      <c r="G483" s="26">
        <f>G484</f>
        <v>0</v>
      </c>
      <c r="H483" s="173"/>
    </row>
    <row r="484" spans="1:9" ht="47.25" hidden="1" x14ac:dyDescent="0.25">
      <c r="A484" s="25" t="s">
        <v>133</v>
      </c>
      <c r="B484" s="16">
        <v>905</v>
      </c>
      <c r="C484" s="20" t="s">
        <v>234</v>
      </c>
      <c r="D484" s="20" t="s">
        <v>118</v>
      </c>
      <c r="E484" s="20" t="s">
        <v>395</v>
      </c>
      <c r="F484" s="20" t="s">
        <v>134</v>
      </c>
      <c r="G484" s="26"/>
      <c r="H484" s="173"/>
    </row>
    <row r="485" spans="1:9" ht="15.75" x14ac:dyDescent="0.25">
      <c r="A485" s="29" t="s">
        <v>141</v>
      </c>
      <c r="B485" s="16">
        <v>905</v>
      </c>
      <c r="C485" s="20" t="s">
        <v>234</v>
      </c>
      <c r="D485" s="20" t="s">
        <v>118</v>
      </c>
      <c r="E485" s="20" t="s">
        <v>142</v>
      </c>
      <c r="F485" s="20"/>
      <c r="G485" s="26">
        <f>G486+G489</f>
        <v>1099.8</v>
      </c>
      <c r="H485" s="173"/>
    </row>
    <row r="486" spans="1:9" ht="31.5" x14ac:dyDescent="0.25">
      <c r="A486" s="29" t="s">
        <v>398</v>
      </c>
      <c r="B486" s="16">
        <v>905</v>
      </c>
      <c r="C486" s="20" t="s">
        <v>234</v>
      </c>
      <c r="D486" s="20" t="s">
        <v>118</v>
      </c>
      <c r="E486" s="20" t="s">
        <v>399</v>
      </c>
      <c r="F486" s="20"/>
      <c r="G486" s="26">
        <f>G487</f>
        <v>260.8</v>
      </c>
      <c r="H486" s="173"/>
    </row>
    <row r="487" spans="1:9" ht="31.5" x14ac:dyDescent="0.25">
      <c r="A487" s="25" t="s">
        <v>131</v>
      </c>
      <c r="B487" s="16">
        <v>905</v>
      </c>
      <c r="C487" s="20" t="s">
        <v>234</v>
      </c>
      <c r="D487" s="20" t="s">
        <v>118</v>
      </c>
      <c r="E487" s="20" t="s">
        <v>399</v>
      </c>
      <c r="F487" s="20" t="s">
        <v>132</v>
      </c>
      <c r="G487" s="26">
        <f>G488</f>
        <v>260.8</v>
      </c>
      <c r="H487" s="173"/>
    </row>
    <row r="488" spans="1:9" ht="47.25" x14ac:dyDescent="0.25">
      <c r="A488" s="25" t="s">
        <v>133</v>
      </c>
      <c r="B488" s="16">
        <v>905</v>
      </c>
      <c r="C488" s="20" t="s">
        <v>234</v>
      </c>
      <c r="D488" s="20" t="s">
        <v>118</v>
      </c>
      <c r="E488" s="20" t="s">
        <v>399</v>
      </c>
      <c r="F488" s="20" t="s">
        <v>134</v>
      </c>
      <c r="G488" s="26">
        <v>260.8</v>
      </c>
      <c r="H488" s="173"/>
    </row>
    <row r="489" spans="1:9" ht="15.75" x14ac:dyDescent="0.25">
      <c r="A489" s="29" t="s">
        <v>396</v>
      </c>
      <c r="B489" s="16">
        <v>905</v>
      </c>
      <c r="C489" s="20" t="s">
        <v>234</v>
      </c>
      <c r="D489" s="20" t="s">
        <v>118</v>
      </c>
      <c r="E489" s="20" t="s">
        <v>397</v>
      </c>
      <c r="F489" s="20"/>
      <c r="G489" s="26">
        <f>G490</f>
        <v>839</v>
      </c>
      <c r="H489" s="173"/>
    </row>
    <row r="490" spans="1:9" ht="31.5" x14ac:dyDescent="0.25">
      <c r="A490" s="25" t="s">
        <v>131</v>
      </c>
      <c r="B490" s="16">
        <v>905</v>
      </c>
      <c r="C490" s="20" t="s">
        <v>234</v>
      </c>
      <c r="D490" s="20" t="s">
        <v>118</v>
      </c>
      <c r="E490" s="20" t="s">
        <v>397</v>
      </c>
      <c r="F490" s="20" t="s">
        <v>132</v>
      </c>
      <c r="G490" s="26">
        <f>G491</f>
        <v>839</v>
      </c>
      <c r="H490" s="173"/>
    </row>
    <row r="491" spans="1:9" ht="47.25" x14ac:dyDescent="0.25">
      <c r="A491" s="25" t="s">
        <v>133</v>
      </c>
      <c r="B491" s="16">
        <v>905</v>
      </c>
      <c r="C491" s="20" t="s">
        <v>234</v>
      </c>
      <c r="D491" s="20" t="s">
        <v>118</v>
      </c>
      <c r="E491" s="20" t="s">
        <v>397</v>
      </c>
      <c r="F491" s="20" t="s">
        <v>134</v>
      </c>
      <c r="G491" s="26">
        <v>839</v>
      </c>
      <c r="H491" s="173"/>
      <c r="I491" s="114"/>
    </row>
    <row r="492" spans="1:9" ht="15.75" hidden="1" x14ac:dyDescent="0.25">
      <c r="A492" s="43" t="s">
        <v>243</v>
      </c>
      <c r="B492" s="19">
        <v>905</v>
      </c>
      <c r="C492" s="24" t="s">
        <v>244</v>
      </c>
      <c r="D492" s="24"/>
      <c r="E492" s="24"/>
      <c r="F492" s="24"/>
      <c r="G492" s="21">
        <f>G493</f>
        <v>0</v>
      </c>
      <c r="H492" s="173"/>
    </row>
    <row r="493" spans="1:9" ht="15.75" hidden="1" x14ac:dyDescent="0.25">
      <c r="A493" s="23" t="s">
        <v>400</v>
      </c>
      <c r="B493" s="19">
        <v>905</v>
      </c>
      <c r="C493" s="24" t="s">
        <v>244</v>
      </c>
      <c r="D493" s="24" t="s">
        <v>150</v>
      </c>
      <c r="E493" s="24"/>
      <c r="F493" s="24"/>
      <c r="G493" s="21">
        <f>G494</f>
        <v>0</v>
      </c>
      <c r="H493" s="173"/>
    </row>
    <row r="494" spans="1:9" ht="31.5" hidden="1" x14ac:dyDescent="0.25">
      <c r="A494" s="25" t="s">
        <v>185</v>
      </c>
      <c r="B494" s="16">
        <v>905</v>
      </c>
      <c r="C494" s="20" t="s">
        <v>244</v>
      </c>
      <c r="D494" s="20" t="s">
        <v>150</v>
      </c>
      <c r="E494" s="20" t="s">
        <v>186</v>
      </c>
      <c r="F494" s="20"/>
      <c r="G494" s="26">
        <f>G495</f>
        <v>0</v>
      </c>
      <c r="H494" s="173"/>
    </row>
    <row r="495" spans="1:9" ht="47.25" hidden="1" x14ac:dyDescent="0.25">
      <c r="A495" s="31" t="s">
        <v>401</v>
      </c>
      <c r="B495" s="16">
        <v>905</v>
      </c>
      <c r="C495" s="20" t="s">
        <v>244</v>
      </c>
      <c r="D495" s="20" t="s">
        <v>150</v>
      </c>
      <c r="E495" s="20" t="s">
        <v>402</v>
      </c>
      <c r="F495" s="20"/>
      <c r="G495" s="26">
        <f>G496</f>
        <v>0</v>
      </c>
      <c r="H495" s="173"/>
    </row>
    <row r="496" spans="1:9" ht="31.5" hidden="1" x14ac:dyDescent="0.25">
      <c r="A496" s="25" t="s">
        <v>131</v>
      </c>
      <c r="B496" s="16">
        <v>905</v>
      </c>
      <c r="C496" s="20" t="s">
        <v>244</v>
      </c>
      <c r="D496" s="20" t="s">
        <v>150</v>
      </c>
      <c r="E496" s="20" t="s">
        <v>402</v>
      </c>
      <c r="F496" s="20" t="s">
        <v>132</v>
      </c>
      <c r="G496" s="26">
        <f>G497</f>
        <v>0</v>
      </c>
      <c r="H496" s="173"/>
    </row>
    <row r="497" spans="1:12" ht="47.25" hidden="1" x14ac:dyDescent="0.25">
      <c r="A497" s="25" t="s">
        <v>133</v>
      </c>
      <c r="B497" s="16">
        <v>905</v>
      </c>
      <c r="C497" s="20" t="s">
        <v>244</v>
      </c>
      <c r="D497" s="20" t="s">
        <v>150</v>
      </c>
      <c r="E497" s="20" t="s">
        <v>402</v>
      </c>
      <c r="F497" s="20" t="s">
        <v>134</v>
      </c>
      <c r="G497" s="26">
        <f>1330-1330</f>
        <v>0</v>
      </c>
      <c r="H497" s="173"/>
      <c r="I497" s="114"/>
    </row>
    <row r="498" spans="1:12" ht="31.5" x14ac:dyDescent="0.25">
      <c r="A498" s="19" t="s">
        <v>403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3"/>
      <c r="L498" s="115"/>
    </row>
    <row r="499" spans="1:12" ht="15.75" x14ac:dyDescent="0.25">
      <c r="A499" s="23" t="s">
        <v>117</v>
      </c>
      <c r="B499" s="19">
        <v>906</v>
      </c>
      <c r="C499" s="24" t="s">
        <v>118</v>
      </c>
      <c r="D499" s="24"/>
      <c r="E499" s="24"/>
      <c r="F499" s="24"/>
      <c r="G499" s="21">
        <f t="shared" ref="G499:G504" si="2">G500</f>
        <v>5</v>
      </c>
      <c r="H499" s="173"/>
    </row>
    <row r="500" spans="1:12" ht="15.75" x14ac:dyDescent="0.25">
      <c r="A500" s="34" t="s">
        <v>139</v>
      </c>
      <c r="B500" s="19">
        <v>906</v>
      </c>
      <c r="C500" s="24" t="s">
        <v>118</v>
      </c>
      <c r="D500" s="24" t="s">
        <v>140</v>
      </c>
      <c r="E500" s="24"/>
      <c r="F500" s="24"/>
      <c r="G500" s="21">
        <f t="shared" si="2"/>
        <v>5</v>
      </c>
      <c r="H500" s="173"/>
    </row>
    <row r="501" spans="1:12" ht="18" customHeight="1" x14ac:dyDescent="0.25">
      <c r="A501" s="31" t="s">
        <v>121</v>
      </c>
      <c r="B501" s="16">
        <v>906</v>
      </c>
      <c r="C501" s="20" t="s">
        <v>118</v>
      </c>
      <c r="D501" s="20" t="s">
        <v>140</v>
      </c>
      <c r="E501" s="20" t="s">
        <v>122</v>
      </c>
      <c r="F501" s="20"/>
      <c r="G501" s="26">
        <f t="shared" si="2"/>
        <v>5</v>
      </c>
      <c r="H501" s="173"/>
    </row>
    <row r="502" spans="1:12" ht="15.75" x14ac:dyDescent="0.25">
      <c r="A502" s="31" t="s">
        <v>141</v>
      </c>
      <c r="B502" s="16">
        <v>906</v>
      </c>
      <c r="C502" s="20" t="s">
        <v>118</v>
      </c>
      <c r="D502" s="20" t="s">
        <v>140</v>
      </c>
      <c r="E502" s="20" t="s">
        <v>142</v>
      </c>
      <c r="F502" s="20"/>
      <c r="G502" s="26">
        <f t="shared" si="2"/>
        <v>5</v>
      </c>
      <c r="H502" s="173"/>
    </row>
    <row r="503" spans="1:12" ht="15.75" x14ac:dyDescent="0.25">
      <c r="A503" s="25" t="s">
        <v>179</v>
      </c>
      <c r="B503" s="16">
        <v>906</v>
      </c>
      <c r="C503" s="20" t="s">
        <v>118</v>
      </c>
      <c r="D503" s="20" t="s">
        <v>140</v>
      </c>
      <c r="E503" s="20" t="s">
        <v>205</v>
      </c>
      <c r="F503" s="20"/>
      <c r="G503" s="26">
        <f t="shared" si="2"/>
        <v>5</v>
      </c>
      <c r="H503" s="173"/>
    </row>
    <row r="504" spans="1:12" ht="31.5" x14ac:dyDescent="0.25">
      <c r="A504" s="25" t="s">
        <v>131</v>
      </c>
      <c r="B504" s="16">
        <v>906</v>
      </c>
      <c r="C504" s="20" t="s">
        <v>118</v>
      </c>
      <c r="D504" s="20" t="s">
        <v>140</v>
      </c>
      <c r="E504" s="20" t="s">
        <v>205</v>
      </c>
      <c r="F504" s="20" t="s">
        <v>132</v>
      </c>
      <c r="G504" s="26">
        <f t="shared" si="2"/>
        <v>5</v>
      </c>
      <c r="H504" s="173"/>
    </row>
    <row r="505" spans="1:12" ht="47.25" x14ac:dyDescent="0.25">
      <c r="A505" s="25" t="s">
        <v>133</v>
      </c>
      <c r="B505" s="16">
        <v>906</v>
      </c>
      <c r="C505" s="20" t="s">
        <v>118</v>
      </c>
      <c r="D505" s="20" t="s">
        <v>140</v>
      </c>
      <c r="E505" s="20" t="s">
        <v>205</v>
      </c>
      <c r="F505" s="20" t="s">
        <v>134</v>
      </c>
      <c r="G505" s="26">
        <v>5</v>
      </c>
      <c r="H505" s="173"/>
    </row>
    <row r="506" spans="1:12" ht="15.75" x14ac:dyDescent="0.25">
      <c r="A506" s="23" t="s">
        <v>263</v>
      </c>
      <c r="B506" s="19">
        <v>906</v>
      </c>
      <c r="C506" s="24" t="s">
        <v>264</v>
      </c>
      <c r="D506" s="24"/>
      <c r="E506" s="24"/>
      <c r="F506" s="24"/>
      <c r="G506" s="21">
        <f>G507+G546+G633+G645+G612</f>
        <v>261516.80000000002</v>
      </c>
      <c r="H506" s="173"/>
    </row>
    <row r="507" spans="1:12" ht="15.75" x14ac:dyDescent="0.25">
      <c r="A507" s="23" t="s">
        <v>404</v>
      </c>
      <c r="B507" s="19">
        <v>906</v>
      </c>
      <c r="C507" s="24" t="s">
        <v>264</v>
      </c>
      <c r="D507" s="24" t="s">
        <v>118</v>
      </c>
      <c r="E507" s="24"/>
      <c r="F507" s="24"/>
      <c r="G507" s="21">
        <f>G508+G526</f>
        <v>84659.4</v>
      </c>
      <c r="H507" s="173"/>
    </row>
    <row r="508" spans="1:12" ht="47.25" x14ac:dyDescent="0.25">
      <c r="A508" s="25" t="s">
        <v>405</v>
      </c>
      <c r="B508" s="16">
        <v>906</v>
      </c>
      <c r="C508" s="20" t="s">
        <v>264</v>
      </c>
      <c r="D508" s="20" t="s">
        <v>118</v>
      </c>
      <c r="E508" s="20" t="s">
        <v>406</v>
      </c>
      <c r="F508" s="20"/>
      <c r="G508" s="26">
        <f>G509+G513</f>
        <v>23453.4</v>
      </c>
      <c r="H508" s="173"/>
    </row>
    <row r="509" spans="1:12" ht="47.25" x14ac:dyDescent="0.25">
      <c r="A509" s="25" t="s">
        <v>407</v>
      </c>
      <c r="B509" s="16">
        <v>906</v>
      </c>
      <c r="C509" s="20" t="s">
        <v>264</v>
      </c>
      <c r="D509" s="20" t="s">
        <v>118</v>
      </c>
      <c r="E509" s="20" t="s">
        <v>408</v>
      </c>
      <c r="F509" s="20"/>
      <c r="G509" s="26">
        <f>G510</f>
        <v>15578.400000000001</v>
      </c>
      <c r="H509" s="173"/>
    </row>
    <row r="510" spans="1:12" ht="47.25" x14ac:dyDescent="0.25">
      <c r="A510" s="25" t="s">
        <v>409</v>
      </c>
      <c r="B510" s="16">
        <v>906</v>
      </c>
      <c r="C510" s="20" t="s">
        <v>264</v>
      </c>
      <c r="D510" s="20" t="s">
        <v>118</v>
      </c>
      <c r="E510" s="20" t="s">
        <v>410</v>
      </c>
      <c r="F510" s="20"/>
      <c r="G510" s="26">
        <f>G511</f>
        <v>15578.400000000001</v>
      </c>
      <c r="H510" s="173"/>
    </row>
    <row r="511" spans="1:12" ht="47.25" x14ac:dyDescent="0.25">
      <c r="A511" s="25" t="s">
        <v>272</v>
      </c>
      <c r="B511" s="16">
        <v>906</v>
      </c>
      <c r="C511" s="20" t="s">
        <v>264</v>
      </c>
      <c r="D511" s="20" t="s">
        <v>118</v>
      </c>
      <c r="E511" s="20" t="s">
        <v>410</v>
      </c>
      <c r="F511" s="20" t="s">
        <v>273</v>
      </c>
      <c r="G511" s="26">
        <f>G512</f>
        <v>15578.400000000001</v>
      </c>
      <c r="H511" s="173"/>
    </row>
    <row r="512" spans="1:12" ht="15.75" x14ac:dyDescent="0.25">
      <c r="A512" s="25" t="s">
        <v>274</v>
      </c>
      <c r="B512" s="16">
        <v>906</v>
      </c>
      <c r="C512" s="20" t="s">
        <v>264</v>
      </c>
      <c r="D512" s="20" t="s">
        <v>118</v>
      </c>
      <c r="E512" s="20" t="s">
        <v>410</v>
      </c>
      <c r="F512" s="20" t="s">
        <v>275</v>
      </c>
      <c r="G512" s="27">
        <f>17368.2+6858.7-6314-1360.2-974.3</f>
        <v>15578.400000000001</v>
      </c>
      <c r="H512" s="175"/>
      <c r="I512" s="124"/>
    </row>
    <row r="513" spans="1:8" ht="47.25" x14ac:dyDescent="0.25">
      <c r="A513" s="25" t="s">
        <v>411</v>
      </c>
      <c r="B513" s="16">
        <v>906</v>
      </c>
      <c r="C513" s="20" t="s">
        <v>264</v>
      </c>
      <c r="D513" s="20" t="s">
        <v>118</v>
      </c>
      <c r="E513" s="20" t="s">
        <v>412</v>
      </c>
      <c r="F513" s="20"/>
      <c r="G513" s="26">
        <f>G514+G517+G520+G523</f>
        <v>7875</v>
      </c>
      <c r="H513" s="173"/>
    </row>
    <row r="514" spans="1:8" ht="47.25" hidden="1" x14ac:dyDescent="0.25">
      <c r="A514" s="25" t="s">
        <v>278</v>
      </c>
      <c r="B514" s="16">
        <v>906</v>
      </c>
      <c r="C514" s="20" t="s">
        <v>264</v>
      </c>
      <c r="D514" s="20" t="s">
        <v>118</v>
      </c>
      <c r="E514" s="20" t="s">
        <v>413</v>
      </c>
      <c r="F514" s="20"/>
      <c r="G514" s="26">
        <f>G515</f>
        <v>0</v>
      </c>
      <c r="H514" s="173"/>
    </row>
    <row r="515" spans="1:8" ht="47.25" hidden="1" x14ac:dyDescent="0.25">
      <c r="A515" s="25" t="s">
        <v>272</v>
      </c>
      <c r="B515" s="16">
        <v>906</v>
      </c>
      <c r="C515" s="20" t="s">
        <v>264</v>
      </c>
      <c r="D515" s="20" t="s">
        <v>118</v>
      </c>
      <c r="E515" s="20" t="s">
        <v>413</v>
      </c>
      <c r="F515" s="20" t="s">
        <v>273</v>
      </c>
      <c r="G515" s="26">
        <f>G516</f>
        <v>0</v>
      </c>
      <c r="H515" s="173"/>
    </row>
    <row r="516" spans="1:8" ht="15.75" hidden="1" x14ac:dyDescent="0.25">
      <c r="A516" s="25" t="s">
        <v>274</v>
      </c>
      <c r="B516" s="16">
        <v>906</v>
      </c>
      <c r="C516" s="20" t="s">
        <v>264</v>
      </c>
      <c r="D516" s="20" t="s">
        <v>118</v>
      </c>
      <c r="E516" s="20" t="s">
        <v>413</v>
      </c>
      <c r="F516" s="20" t="s">
        <v>275</v>
      </c>
      <c r="G516" s="26">
        <v>0</v>
      </c>
      <c r="H516" s="173"/>
    </row>
    <row r="517" spans="1:8" ht="31.5" x14ac:dyDescent="0.25">
      <c r="A517" s="25" t="s">
        <v>280</v>
      </c>
      <c r="B517" s="16">
        <v>906</v>
      </c>
      <c r="C517" s="20" t="s">
        <v>264</v>
      </c>
      <c r="D517" s="20" t="s">
        <v>118</v>
      </c>
      <c r="E517" s="20" t="s">
        <v>414</v>
      </c>
      <c r="F517" s="20"/>
      <c r="G517" s="26">
        <f>G518</f>
        <v>1145</v>
      </c>
      <c r="H517" s="173"/>
    </row>
    <row r="518" spans="1:8" ht="47.25" x14ac:dyDescent="0.25">
      <c r="A518" s="25" t="s">
        <v>272</v>
      </c>
      <c r="B518" s="16">
        <v>906</v>
      </c>
      <c r="C518" s="20" t="s">
        <v>264</v>
      </c>
      <c r="D518" s="20" t="s">
        <v>118</v>
      </c>
      <c r="E518" s="20" t="s">
        <v>414</v>
      </c>
      <c r="F518" s="20" t="s">
        <v>273</v>
      </c>
      <c r="G518" s="26">
        <f>G519</f>
        <v>1145</v>
      </c>
      <c r="H518" s="173"/>
    </row>
    <row r="519" spans="1:8" ht="15.75" x14ac:dyDescent="0.25">
      <c r="A519" s="25" t="s">
        <v>274</v>
      </c>
      <c r="B519" s="16">
        <v>906</v>
      </c>
      <c r="C519" s="20" t="s">
        <v>264</v>
      </c>
      <c r="D519" s="20" t="s">
        <v>118</v>
      </c>
      <c r="E519" s="20" t="s">
        <v>414</v>
      </c>
      <c r="F519" s="20" t="s">
        <v>275</v>
      </c>
      <c r="G519" s="155">
        <f>800+300+45</f>
        <v>1145</v>
      </c>
      <c r="H519" s="162" t="s">
        <v>741</v>
      </c>
    </row>
    <row r="520" spans="1:8" ht="47.25" x14ac:dyDescent="0.25">
      <c r="A520" s="25" t="s">
        <v>415</v>
      </c>
      <c r="B520" s="16">
        <v>906</v>
      </c>
      <c r="C520" s="20" t="s">
        <v>264</v>
      </c>
      <c r="D520" s="20" t="s">
        <v>118</v>
      </c>
      <c r="E520" s="20" t="s">
        <v>416</v>
      </c>
      <c r="F520" s="20"/>
      <c r="G520" s="26">
        <f>G521</f>
        <v>6730</v>
      </c>
      <c r="H520" s="173"/>
    </row>
    <row r="521" spans="1:8" ht="47.25" x14ac:dyDescent="0.25">
      <c r="A521" s="25" t="s">
        <v>272</v>
      </c>
      <c r="B521" s="16">
        <v>906</v>
      </c>
      <c r="C521" s="20" t="s">
        <v>264</v>
      </c>
      <c r="D521" s="20" t="s">
        <v>118</v>
      </c>
      <c r="E521" s="20" t="s">
        <v>416</v>
      </c>
      <c r="F521" s="20" t="s">
        <v>273</v>
      </c>
      <c r="G521" s="26">
        <f>G522</f>
        <v>6730</v>
      </c>
      <c r="H521" s="173"/>
    </row>
    <row r="522" spans="1:8" ht="15.75" x14ac:dyDescent="0.25">
      <c r="A522" s="25" t="s">
        <v>274</v>
      </c>
      <c r="B522" s="16">
        <v>906</v>
      </c>
      <c r="C522" s="20" t="s">
        <v>264</v>
      </c>
      <c r="D522" s="20" t="s">
        <v>118</v>
      </c>
      <c r="E522" s="20" t="s">
        <v>416</v>
      </c>
      <c r="F522" s="20" t="s">
        <v>275</v>
      </c>
      <c r="G522" s="27">
        <v>6730</v>
      </c>
      <c r="H522" s="173"/>
    </row>
    <row r="523" spans="1:8" ht="31.5" hidden="1" x14ac:dyDescent="0.25">
      <c r="A523" s="25" t="s">
        <v>284</v>
      </c>
      <c r="B523" s="16">
        <v>906</v>
      </c>
      <c r="C523" s="20" t="s">
        <v>264</v>
      </c>
      <c r="D523" s="20" t="s">
        <v>118</v>
      </c>
      <c r="E523" s="20" t="s">
        <v>417</v>
      </c>
      <c r="F523" s="20"/>
      <c r="G523" s="26">
        <f>G524</f>
        <v>0</v>
      </c>
      <c r="H523" s="173"/>
    </row>
    <row r="524" spans="1:8" ht="47.25" hidden="1" x14ac:dyDescent="0.25">
      <c r="A524" s="25" t="s">
        <v>272</v>
      </c>
      <c r="B524" s="16">
        <v>906</v>
      </c>
      <c r="C524" s="20" t="s">
        <v>264</v>
      </c>
      <c r="D524" s="20" t="s">
        <v>118</v>
      </c>
      <c r="E524" s="20" t="s">
        <v>417</v>
      </c>
      <c r="F524" s="20" t="s">
        <v>273</v>
      </c>
      <c r="G524" s="26">
        <f>G525</f>
        <v>0</v>
      </c>
      <c r="H524" s="173"/>
    </row>
    <row r="525" spans="1:8" ht="15.75" hidden="1" x14ac:dyDescent="0.25">
      <c r="A525" s="25" t="s">
        <v>274</v>
      </c>
      <c r="B525" s="16">
        <v>906</v>
      </c>
      <c r="C525" s="20" t="s">
        <v>264</v>
      </c>
      <c r="D525" s="20" t="s">
        <v>118</v>
      </c>
      <c r="E525" s="20" t="s">
        <v>417</v>
      </c>
      <c r="F525" s="20" t="s">
        <v>275</v>
      </c>
      <c r="G525" s="26">
        <v>0</v>
      </c>
      <c r="H525" s="173"/>
    </row>
    <row r="526" spans="1:8" ht="15.75" x14ac:dyDescent="0.25">
      <c r="A526" s="25" t="s">
        <v>121</v>
      </c>
      <c r="B526" s="16">
        <v>906</v>
      </c>
      <c r="C526" s="20" t="s">
        <v>264</v>
      </c>
      <c r="D526" s="20" t="s">
        <v>118</v>
      </c>
      <c r="E526" s="20" t="s">
        <v>122</v>
      </c>
      <c r="F526" s="20"/>
      <c r="G526" s="26">
        <f>G527</f>
        <v>61206</v>
      </c>
      <c r="H526" s="173"/>
    </row>
    <row r="527" spans="1:8" ht="31.5" x14ac:dyDescent="0.25">
      <c r="A527" s="25" t="s">
        <v>185</v>
      </c>
      <c r="B527" s="16">
        <v>906</v>
      </c>
      <c r="C527" s="20" t="s">
        <v>264</v>
      </c>
      <c r="D527" s="20" t="s">
        <v>118</v>
      </c>
      <c r="E527" s="20" t="s">
        <v>186</v>
      </c>
      <c r="F527" s="20"/>
      <c r="G527" s="26">
        <f>G528+G531+G534+G537+G540+G543</f>
        <v>61206</v>
      </c>
      <c r="H527" s="173"/>
    </row>
    <row r="528" spans="1:8" ht="31.5" hidden="1" x14ac:dyDescent="0.25">
      <c r="A528" s="25" t="s">
        <v>418</v>
      </c>
      <c r="B528" s="16">
        <v>906</v>
      </c>
      <c r="C528" s="20" t="s">
        <v>264</v>
      </c>
      <c r="D528" s="20" t="s">
        <v>118</v>
      </c>
      <c r="E528" s="20" t="s">
        <v>419</v>
      </c>
      <c r="F528" s="20"/>
      <c r="G528" s="26">
        <f>G529</f>
        <v>0</v>
      </c>
      <c r="H528" s="173"/>
    </row>
    <row r="529" spans="1:9" ht="47.25" hidden="1" x14ac:dyDescent="0.25">
      <c r="A529" s="25" t="s">
        <v>272</v>
      </c>
      <c r="B529" s="16">
        <v>906</v>
      </c>
      <c r="C529" s="20" t="s">
        <v>264</v>
      </c>
      <c r="D529" s="20" t="s">
        <v>118</v>
      </c>
      <c r="E529" s="20" t="s">
        <v>419</v>
      </c>
      <c r="F529" s="20" t="s">
        <v>273</v>
      </c>
      <c r="G529" s="26">
        <f>G530</f>
        <v>0</v>
      </c>
      <c r="H529" s="173"/>
    </row>
    <row r="530" spans="1:9" ht="15.75" hidden="1" x14ac:dyDescent="0.25">
      <c r="A530" s="25" t="s">
        <v>274</v>
      </c>
      <c r="B530" s="16">
        <v>906</v>
      </c>
      <c r="C530" s="20" t="s">
        <v>264</v>
      </c>
      <c r="D530" s="20" t="s">
        <v>118</v>
      </c>
      <c r="E530" s="20" t="s">
        <v>419</v>
      </c>
      <c r="F530" s="20" t="s">
        <v>275</v>
      </c>
      <c r="G530" s="26"/>
      <c r="H530" s="173"/>
    </row>
    <row r="531" spans="1:9" ht="63" x14ac:dyDescent="0.25">
      <c r="A531" s="31" t="s">
        <v>289</v>
      </c>
      <c r="B531" s="16">
        <v>906</v>
      </c>
      <c r="C531" s="20" t="s">
        <v>264</v>
      </c>
      <c r="D531" s="20" t="s">
        <v>118</v>
      </c>
      <c r="E531" s="20" t="s">
        <v>290</v>
      </c>
      <c r="F531" s="20"/>
      <c r="G531" s="26">
        <f>G532</f>
        <v>310.2</v>
      </c>
      <c r="H531" s="173"/>
    </row>
    <row r="532" spans="1:9" ht="47.25" x14ac:dyDescent="0.25">
      <c r="A532" s="25" t="s">
        <v>272</v>
      </c>
      <c r="B532" s="16">
        <v>906</v>
      </c>
      <c r="C532" s="20" t="s">
        <v>264</v>
      </c>
      <c r="D532" s="20" t="s">
        <v>118</v>
      </c>
      <c r="E532" s="20" t="s">
        <v>290</v>
      </c>
      <c r="F532" s="20" t="s">
        <v>273</v>
      </c>
      <c r="G532" s="26">
        <f>G533</f>
        <v>310.2</v>
      </c>
      <c r="H532" s="173"/>
    </row>
    <row r="533" spans="1:9" ht="15.75" x14ac:dyDescent="0.25">
      <c r="A533" s="25" t="s">
        <v>274</v>
      </c>
      <c r="B533" s="16">
        <v>906</v>
      </c>
      <c r="C533" s="20" t="s">
        <v>264</v>
      </c>
      <c r="D533" s="20" t="s">
        <v>118</v>
      </c>
      <c r="E533" s="20" t="s">
        <v>290</v>
      </c>
      <c r="F533" s="20" t="s">
        <v>275</v>
      </c>
      <c r="G533" s="26">
        <f>416.2-106</f>
        <v>310.2</v>
      </c>
      <c r="H533" s="173"/>
      <c r="I533" s="114"/>
    </row>
    <row r="534" spans="1:9" ht="78.75" x14ac:dyDescent="0.25">
      <c r="A534" s="31" t="s">
        <v>420</v>
      </c>
      <c r="B534" s="16">
        <v>906</v>
      </c>
      <c r="C534" s="20" t="s">
        <v>264</v>
      </c>
      <c r="D534" s="20" t="s">
        <v>118</v>
      </c>
      <c r="E534" s="20" t="s">
        <v>292</v>
      </c>
      <c r="F534" s="20"/>
      <c r="G534" s="26">
        <f>G535</f>
        <v>1696.8</v>
      </c>
      <c r="H534" s="173"/>
    </row>
    <row r="535" spans="1:9" ht="47.25" x14ac:dyDescent="0.25">
      <c r="A535" s="25" t="s">
        <v>272</v>
      </c>
      <c r="B535" s="16">
        <v>906</v>
      </c>
      <c r="C535" s="20" t="s">
        <v>264</v>
      </c>
      <c r="D535" s="20" t="s">
        <v>118</v>
      </c>
      <c r="E535" s="20" t="s">
        <v>292</v>
      </c>
      <c r="F535" s="20" t="s">
        <v>273</v>
      </c>
      <c r="G535" s="26">
        <f>G536</f>
        <v>1696.8</v>
      </c>
      <c r="H535" s="173"/>
    </row>
    <row r="536" spans="1:9" ht="15.75" x14ac:dyDescent="0.25">
      <c r="A536" s="25" t="s">
        <v>274</v>
      </c>
      <c r="B536" s="16">
        <v>906</v>
      </c>
      <c r="C536" s="20" t="s">
        <v>264</v>
      </c>
      <c r="D536" s="20" t="s">
        <v>118</v>
      </c>
      <c r="E536" s="20" t="s">
        <v>292</v>
      </c>
      <c r="F536" s="20" t="s">
        <v>275</v>
      </c>
      <c r="G536" s="26">
        <f>1900-203.2</f>
        <v>1696.8</v>
      </c>
      <c r="H536" s="173"/>
      <c r="I536" s="114"/>
    </row>
    <row r="537" spans="1:9" ht="94.5" x14ac:dyDescent="0.25">
      <c r="A537" s="31" t="s">
        <v>421</v>
      </c>
      <c r="B537" s="16">
        <v>906</v>
      </c>
      <c r="C537" s="20" t="s">
        <v>264</v>
      </c>
      <c r="D537" s="20" t="s">
        <v>118</v>
      </c>
      <c r="E537" s="20" t="s">
        <v>422</v>
      </c>
      <c r="F537" s="20"/>
      <c r="G537" s="26">
        <f>G538</f>
        <v>56320</v>
      </c>
      <c r="H537" s="173"/>
    </row>
    <row r="538" spans="1:9" ht="47.25" x14ac:dyDescent="0.25">
      <c r="A538" s="25" t="s">
        <v>272</v>
      </c>
      <c r="B538" s="16">
        <v>906</v>
      </c>
      <c r="C538" s="20" t="s">
        <v>264</v>
      </c>
      <c r="D538" s="20" t="s">
        <v>118</v>
      </c>
      <c r="E538" s="20" t="s">
        <v>422</v>
      </c>
      <c r="F538" s="20" t="s">
        <v>273</v>
      </c>
      <c r="G538" s="26">
        <f>G539</f>
        <v>56320</v>
      </c>
      <c r="H538" s="173"/>
    </row>
    <row r="539" spans="1:9" ht="15.75" x14ac:dyDescent="0.25">
      <c r="A539" s="25" t="s">
        <v>274</v>
      </c>
      <c r="B539" s="16">
        <v>906</v>
      </c>
      <c r="C539" s="20" t="s">
        <v>264</v>
      </c>
      <c r="D539" s="20" t="s">
        <v>118</v>
      </c>
      <c r="E539" s="20" t="s">
        <v>422</v>
      </c>
      <c r="F539" s="20" t="s">
        <v>275</v>
      </c>
      <c r="G539" s="27">
        <f>66162.2-7643.6-2198.6</f>
        <v>56320</v>
      </c>
      <c r="H539" s="105"/>
      <c r="I539" s="114"/>
    </row>
    <row r="540" spans="1:9" ht="110.25" x14ac:dyDescent="0.25">
      <c r="A540" s="31" t="s">
        <v>293</v>
      </c>
      <c r="B540" s="16">
        <v>906</v>
      </c>
      <c r="C540" s="20" t="s">
        <v>264</v>
      </c>
      <c r="D540" s="20" t="s">
        <v>118</v>
      </c>
      <c r="E540" s="20" t="s">
        <v>294</v>
      </c>
      <c r="F540" s="20"/>
      <c r="G540" s="26">
        <f>G541</f>
        <v>2879</v>
      </c>
      <c r="H540" s="173"/>
    </row>
    <row r="541" spans="1:9" ht="47.25" x14ac:dyDescent="0.25">
      <c r="A541" s="25" t="s">
        <v>272</v>
      </c>
      <c r="B541" s="16">
        <v>906</v>
      </c>
      <c r="C541" s="20" t="s">
        <v>264</v>
      </c>
      <c r="D541" s="20" t="s">
        <v>118</v>
      </c>
      <c r="E541" s="20" t="s">
        <v>294</v>
      </c>
      <c r="F541" s="20" t="s">
        <v>273</v>
      </c>
      <c r="G541" s="26">
        <f>G542</f>
        <v>2879</v>
      </c>
      <c r="H541" s="173"/>
    </row>
    <row r="542" spans="1:9" ht="15.75" x14ac:dyDescent="0.25">
      <c r="A542" s="25" t="s">
        <v>274</v>
      </c>
      <c r="B542" s="16">
        <v>906</v>
      </c>
      <c r="C542" s="20" t="s">
        <v>264</v>
      </c>
      <c r="D542" s="20" t="s">
        <v>118</v>
      </c>
      <c r="E542" s="20" t="s">
        <v>294</v>
      </c>
      <c r="F542" s="20" t="s">
        <v>275</v>
      </c>
      <c r="G542" s="27">
        <f>2937.2-58.2</f>
        <v>2879</v>
      </c>
      <c r="H542" s="173"/>
      <c r="I542" s="114"/>
    </row>
    <row r="543" spans="1:9" ht="157.5" hidden="1" x14ac:dyDescent="0.25">
      <c r="A543" s="25" t="s">
        <v>423</v>
      </c>
      <c r="B543" s="16">
        <v>906</v>
      </c>
      <c r="C543" s="20" t="s">
        <v>264</v>
      </c>
      <c r="D543" s="20" t="s">
        <v>118</v>
      </c>
      <c r="E543" s="20" t="s">
        <v>424</v>
      </c>
      <c r="F543" s="20"/>
      <c r="G543" s="27">
        <f>G544</f>
        <v>0</v>
      </c>
      <c r="H543" s="173"/>
    </row>
    <row r="544" spans="1:9" ht="47.25" hidden="1" x14ac:dyDescent="0.25">
      <c r="A544" s="25" t="s">
        <v>272</v>
      </c>
      <c r="B544" s="16">
        <v>906</v>
      </c>
      <c r="C544" s="20" t="s">
        <v>264</v>
      </c>
      <c r="D544" s="20" t="s">
        <v>118</v>
      </c>
      <c r="E544" s="20" t="s">
        <v>424</v>
      </c>
      <c r="F544" s="20" t="s">
        <v>273</v>
      </c>
      <c r="G544" s="27">
        <f>G545</f>
        <v>0</v>
      </c>
      <c r="H544" s="173"/>
    </row>
    <row r="545" spans="1:9" ht="15.75" hidden="1" x14ac:dyDescent="0.25">
      <c r="A545" s="25" t="s">
        <v>274</v>
      </c>
      <c r="B545" s="16">
        <v>906</v>
      </c>
      <c r="C545" s="20" t="s">
        <v>264</v>
      </c>
      <c r="D545" s="20" t="s">
        <v>118</v>
      </c>
      <c r="E545" s="20" t="s">
        <v>424</v>
      </c>
      <c r="F545" s="20" t="s">
        <v>275</v>
      </c>
      <c r="G545" s="27">
        <f>276.5-276.5</f>
        <v>0</v>
      </c>
      <c r="H545" s="173"/>
      <c r="I545" s="114"/>
    </row>
    <row r="546" spans="1:9" ht="15.75" x14ac:dyDescent="0.25">
      <c r="A546" s="23" t="s">
        <v>425</v>
      </c>
      <c r="B546" s="19">
        <v>906</v>
      </c>
      <c r="C546" s="24" t="s">
        <v>264</v>
      </c>
      <c r="D546" s="24" t="s">
        <v>213</v>
      </c>
      <c r="E546" s="24"/>
      <c r="F546" s="24"/>
      <c r="G546" s="21">
        <f>G547+G580</f>
        <v>130684.4</v>
      </c>
      <c r="H546" s="173"/>
    </row>
    <row r="547" spans="1:9" ht="47.25" x14ac:dyDescent="0.25">
      <c r="A547" s="25" t="s">
        <v>426</v>
      </c>
      <c r="B547" s="16">
        <v>906</v>
      </c>
      <c r="C547" s="20" t="s">
        <v>264</v>
      </c>
      <c r="D547" s="20" t="s">
        <v>213</v>
      </c>
      <c r="E547" s="20" t="s">
        <v>406</v>
      </c>
      <c r="F547" s="20"/>
      <c r="G547" s="26">
        <f>G548+G552</f>
        <v>40826.6</v>
      </c>
      <c r="H547" s="173"/>
    </row>
    <row r="548" spans="1:9" ht="47.25" x14ac:dyDescent="0.25">
      <c r="A548" s="25" t="s">
        <v>407</v>
      </c>
      <c r="B548" s="16">
        <v>906</v>
      </c>
      <c r="C548" s="20" t="s">
        <v>264</v>
      </c>
      <c r="D548" s="20" t="s">
        <v>213</v>
      </c>
      <c r="E548" s="20" t="s">
        <v>408</v>
      </c>
      <c r="F548" s="20"/>
      <c r="G548" s="26">
        <f>G549</f>
        <v>34151.199999999997</v>
      </c>
      <c r="H548" s="173"/>
    </row>
    <row r="549" spans="1:9" ht="47.25" x14ac:dyDescent="0.25">
      <c r="A549" s="25" t="s">
        <v>427</v>
      </c>
      <c r="B549" s="16">
        <v>906</v>
      </c>
      <c r="C549" s="20" t="s">
        <v>264</v>
      </c>
      <c r="D549" s="20" t="s">
        <v>213</v>
      </c>
      <c r="E549" s="20" t="s">
        <v>428</v>
      </c>
      <c r="F549" s="20"/>
      <c r="G549" s="26">
        <f>G550</f>
        <v>34151.199999999997</v>
      </c>
      <c r="H549" s="173"/>
    </row>
    <row r="550" spans="1:9" ht="47.25" x14ac:dyDescent="0.25">
      <c r="A550" s="25" t="s">
        <v>272</v>
      </c>
      <c r="B550" s="16">
        <v>906</v>
      </c>
      <c r="C550" s="20" t="s">
        <v>264</v>
      </c>
      <c r="D550" s="20" t="s">
        <v>213</v>
      </c>
      <c r="E550" s="20" t="s">
        <v>428</v>
      </c>
      <c r="F550" s="20" t="s">
        <v>273</v>
      </c>
      <c r="G550" s="26">
        <f>G551</f>
        <v>34151.199999999997</v>
      </c>
      <c r="H550" s="173"/>
    </row>
    <row r="551" spans="1:9" ht="15.75" x14ac:dyDescent="0.25">
      <c r="A551" s="25" t="s">
        <v>274</v>
      </c>
      <c r="B551" s="16">
        <v>906</v>
      </c>
      <c r="C551" s="20" t="s">
        <v>264</v>
      </c>
      <c r="D551" s="20" t="s">
        <v>213</v>
      </c>
      <c r="E551" s="20" t="s">
        <v>428</v>
      </c>
      <c r="F551" s="20" t="s">
        <v>275</v>
      </c>
      <c r="G551" s="27">
        <f>21817.5+13206.2-481.7+562.6-953.4</f>
        <v>34151.199999999997</v>
      </c>
      <c r="H551" s="175"/>
      <c r="I551" s="124"/>
    </row>
    <row r="552" spans="1:9" ht="31.5" x14ac:dyDescent="0.25">
      <c r="A552" s="25" t="s">
        <v>430</v>
      </c>
      <c r="B552" s="16">
        <v>906</v>
      </c>
      <c r="C552" s="20" t="s">
        <v>264</v>
      </c>
      <c r="D552" s="20" t="s">
        <v>213</v>
      </c>
      <c r="E552" s="20" t="s">
        <v>431</v>
      </c>
      <c r="F552" s="20"/>
      <c r="G552" s="26">
        <f>G558+G574+G571+G577+G568+G553+G559+G562+G565</f>
        <v>6675.4</v>
      </c>
      <c r="H552" s="173"/>
    </row>
    <row r="553" spans="1:9" ht="63" hidden="1" x14ac:dyDescent="0.25">
      <c r="A553" s="25" t="s">
        <v>432</v>
      </c>
      <c r="B553" s="16">
        <v>906</v>
      </c>
      <c r="C553" s="20" t="s">
        <v>264</v>
      </c>
      <c r="D553" s="20" t="s">
        <v>213</v>
      </c>
      <c r="E553" s="20" t="s">
        <v>433</v>
      </c>
      <c r="F553" s="20"/>
      <c r="G553" s="26">
        <f>G554</f>
        <v>0</v>
      </c>
      <c r="H553" s="173"/>
    </row>
    <row r="554" spans="1:9" ht="47.25" hidden="1" x14ac:dyDescent="0.25">
      <c r="A554" s="25" t="s">
        <v>272</v>
      </c>
      <c r="B554" s="16">
        <v>906</v>
      </c>
      <c r="C554" s="20" t="s">
        <v>264</v>
      </c>
      <c r="D554" s="20" t="s">
        <v>213</v>
      </c>
      <c r="E554" s="20" t="s">
        <v>433</v>
      </c>
      <c r="F554" s="20" t="s">
        <v>273</v>
      </c>
      <c r="G554" s="26">
        <f>G555</f>
        <v>0</v>
      </c>
      <c r="H554" s="173"/>
    </row>
    <row r="555" spans="1:9" ht="15.75" hidden="1" x14ac:dyDescent="0.25">
      <c r="A555" s="25" t="s">
        <v>274</v>
      </c>
      <c r="B555" s="16">
        <v>906</v>
      </c>
      <c r="C555" s="20" t="s">
        <v>264</v>
      </c>
      <c r="D555" s="20" t="s">
        <v>213</v>
      </c>
      <c r="E555" s="20" t="s">
        <v>433</v>
      </c>
      <c r="F555" s="20" t="s">
        <v>275</v>
      </c>
      <c r="G555" s="26">
        <v>0</v>
      </c>
      <c r="H555" s="173"/>
    </row>
    <row r="556" spans="1:9" ht="48.75" hidden="1" customHeight="1" x14ac:dyDescent="0.25">
      <c r="A556" s="25" t="s">
        <v>434</v>
      </c>
      <c r="B556" s="16">
        <v>906</v>
      </c>
      <c r="C556" s="20" t="s">
        <v>264</v>
      </c>
      <c r="D556" s="20" t="s">
        <v>213</v>
      </c>
      <c r="E556" s="20" t="s">
        <v>435</v>
      </c>
      <c r="F556" s="20"/>
      <c r="G556" s="26">
        <f>G557</f>
        <v>0</v>
      </c>
      <c r="H556" s="173"/>
    </row>
    <row r="557" spans="1:9" ht="47.25" hidden="1" x14ac:dyDescent="0.25">
      <c r="A557" s="25" t="s">
        <v>272</v>
      </c>
      <c r="B557" s="16">
        <v>906</v>
      </c>
      <c r="C557" s="20" t="s">
        <v>264</v>
      </c>
      <c r="D557" s="20" t="s">
        <v>213</v>
      </c>
      <c r="E557" s="20" t="s">
        <v>435</v>
      </c>
      <c r="F557" s="20" t="s">
        <v>273</v>
      </c>
      <c r="G557" s="26">
        <f>G558</f>
        <v>0</v>
      </c>
      <c r="H557" s="173"/>
    </row>
    <row r="558" spans="1:9" ht="15.75" hidden="1" x14ac:dyDescent="0.25">
      <c r="A558" s="25" t="s">
        <v>274</v>
      </c>
      <c r="B558" s="16">
        <v>906</v>
      </c>
      <c r="C558" s="20" t="s">
        <v>264</v>
      </c>
      <c r="D558" s="20" t="s">
        <v>213</v>
      </c>
      <c r="E558" s="20" t="s">
        <v>435</v>
      </c>
      <c r="F558" s="20" t="s">
        <v>275</v>
      </c>
      <c r="G558" s="26">
        <v>0</v>
      </c>
      <c r="H558" s="173"/>
    </row>
    <row r="559" spans="1:9" ht="63" x14ac:dyDescent="0.25">
      <c r="A559" s="25" t="s">
        <v>436</v>
      </c>
      <c r="B559" s="16">
        <v>906</v>
      </c>
      <c r="C559" s="20" t="s">
        <v>264</v>
      </c>
      <c r="D559" s="20" t="s">
        <v>213</v>
      </c>
      <c r="E559" s="20" t="s">
        <v>437</v>
      </c>
      <c r="F559" s="20"/>
      <c r="G559" s="26">
        <f>G560</f>
        <v>2690</v>
      </c>
      <c r="H559" s="173"/>
    </row>
    <row r="560" spans="1:9" ht="47.25" x14ac:dyDescent="0.25">
      <c r="A560" s="25" t="s">
        <v>272</v>
      </c>
      <c r="B560" s="16">
        <v>906</v>
      </c>
      <c r="C560" s="20" t="s">
        <v>264</v>
      </c>
      <c r="D560" s="20" t="s">
        <v>213</v>
      </c>
      <c r="E560" s="20" t="s">
        <v>437</v>
      </c>
      <c r="F560" s="20" t="s">
        <v>273</v>
      </c>
      <c r="G560" s="26">
        <f>G561</f>
        <v>2690</v>
      </c>
      <c r="H560" s="173"/>
    </row>
    <row r="561" spans="1:8" ht="15.75" x14ac:dyDescent="0.25">
      <c r="A561" s="25" t="s">
        <v>274</v>
      </c>
      <c r="B561" s="16">
        <v>906</v>
      </c>
      <c r="C561" s="20" t="s">
        <v>264</v>
      </c>
      <c r="D561" s="20" t="s">
        <v>213</v>
      </c>
      <c r="E561" s="20" t="s">
        <v>437</v>
      </c>
      <c r="F561" s="20" t="s">
        <v>275</v>
      </c>
      <c r="G561" s="27">
        <f>3010-320</f>
        <v>2690</v>
      </c>
      <c r="H561" s="173"/>
    </row>
    <row r="562" spans="1:8" ht="63" x14ac:dyDescent="0.25">
      <c r="A562" s="25" t="s">
        <v>438</v>
      </c>
      <c r="B562" s="16">
        <v>906</v>
      </c>
      <c r="C562" s="20" t="s">
        <v>264</v>
      </c>
      <c r="D562" s="20" t="s">
        <v>213</v>
      </c>
      <c r="E562" s="20" t="s">
        <v>439</v>
      </c>
      <c r="F562" s="20"/>
      <c r="G562" s="26">
        <f>G563</f>
        <v>320</v>
      </c>
      <c r="H562" s="173"/>
    </row>
    <row r="563" spans="1:8" ht="47.25" x14ac:dyDescent="0.25">
      <c r="A563" s="25" t="s">
        <v>272</v>
      </c>
      <c r="B563" s="16">
        <v>906</v>
      </c>
      <c r="C563" s="20" t="s">
        <v>264</v>
      </c>
      <c r="D563" s="20" t="s">
        <v>213</v>
      </c>
      <c r="E563" s="20" t="s">
        <v>439</v>
      </c>
      <c r="F563" s="20" t="s">
        <v>273</v>
      </c>
      <c r="G563" s="26">
        <f>G564</f>
        <v>320</v>
      </c>
      <c r="H563" s="173"/>
    </row>
    <row r="564" spans="1:8" ht="15.75" x14ac:dyDescent="0.25">
      <c r="A564" s="25" t="s">
        <v>274</v>
      </c>
      <c r="B564" s="16">
        <v>906</v>
      </c>
      <c r="C564" s="20" t="s">
        <v>264</v>
      </c>
      <c r="D564" s="20" t="s">
        <v>213</v>
      </c>
      <c r="E564" s="20" t="s">
        <v>439</v>
      </c>
      <c r="F564" s="20" t="s">
        <v>275</v>
      </c>
      <c r="G564" s="26">
        <v>320</v>
      </c>
      <c r="H564" s="173"/>
    </row>
    <row r="565" spans="1:8" ht="47.25" hidden="1" x14ac:dyDescent="0.25">
      <c r="A565" s="25" t="s">
        <v>440</v>
      </c>
      <c r="B565" s="16">
        <v>906</v>
      </c>
      <c r="C565" s="20" t="s">
        <v>264</v>
      </c>
      <c r="D565" s="20" t="s">
        <v>213</v>
      </c>
      <c r="E565" s="20" t="s">
        <v>441</v>
      </c>
      <c r="F565" s="20"/>
      <c r="G565" s="26">
        <f>G566</f>
        <v>0</v>
      </c>
      <c r="H565" s="173"/>
    </row>
    <row r="566" spans="1:8" ht="47.25" hidden="1" x14ac:dyDescent="0.25">
      <c r="A566" s="25" t="s">
        <v>272</v>
      </c>
      <c r="B566" s="16">
        <v>906</v>
      </c>
      <c r="C566" s="20" t="s">
        <v>264</v>
      </c>
      <c r="D566" s="20" t="s">
        <v>213</v>
      </c>
      <c r="E566" s="20" t="s">
        <v>441</v>
      </c>
      <c r="F566" s="20" t="s">
        <v>273</v>
      </c>
      <c r="G566" s="26">
        <f>G567</f>
        <v>0</v>
      </c>
      <c r="H566" s="173"/>
    </row>
    <row r="567" spans="1:8" ht="15.75" hidden="1" x14ac:dyDescent="0.25">
      <c r="A567" s="25" t="s">
        <v>274</v>
      </c>
      <c r="B567" s="16">
        <v>906</v>
      </c>
      <c r="C567" s="20" t="s">
        <v>264</v>
      </c>
      <c r="D567" s="20" t="s">
        <v>213</v>
      </c>
      <c r="E567" s="20" t="s">
        <v>441</v>
      </c>
      <c r="F567" s="20" t="s">
        <v>275</v>
      </c>
      <c r="G567" s="26">
        <v>0</v>
      </c>
      <c r="H567" s="173"/>
    </row>
    <row r="568" spans="1:8" ht="47.25" x14ac:dyDescent="0.25">
      <c r="A568" s="25" t="s">
        <v>278</v>
      </c>
      <c r="B568" s="16">
        <v>906</v>
      </c>
      <c r="C568" s="20" t="s">
        <v>264</v>
      </c>
      <c r="D568" s="20" t="s">
        <v>213</v>
      </c>
      <c r="E568" s="20" t="s">
        <v>442</v>
      </c>
      <c r="F568" s="20"/>
      <c r="G568" s="26">
        <f>G569</f>
        <v>3309</v>
      </c>
      <c r="H568" s="173"/>
    </row>
    <row r="569" spans="1:8" ht="47.25" x14ac:dyDescent="0.25">
      <c r="A569" s="25" t="s">
        <v>272</v>
      </c>
      <c r="B569" s="16">
        <v>906</v>
      </c>
      <c r="C569" s="20" t="s">
        <v>264</v>
      </c>
      <c r="D569" s="20" t="s">
        <v>213</v>
      </c>
      <c r="E569" s="20" t="s">
        <v>442</v>
      </c>
      <c r="F569" s="20" t="s">
        <v>273</v>
      </c>
      <c r="G569" s="26">
        <f>G570</f>
        <v>3309</v>
      </c>
      <c r="H569" s="173"/>
    </row>
    <row r="570" spans="1:8" ht="15.75" x14ac:dyDescent="0.25">
      <c r="A570" s="25" t="s">
        <v>274</v>
      </c>
      <c r="B570" s="16">
        <v>906</v>
      </c>
      <c r="C570" s="20" t="s">
        <v>264</v>
      </c>
      <c r="D570" s="20" t="s">
        <v>213</v>
      </c>
      <c r="E570" s="20" t="s">
        <v>442</v>
      </c>
      <c r="F570" s="20" t="s">
        <v>275</v>
      </c>
      <c r="G570" s="26">
        <f>341+2968</f>
        <v>3309</v>
      </c>
      <c r="H570" s="119"/>
    </row>
    <row r="571" spans="1:8" ht="31.5" hidden="1" x14ac:dyDescent="0.25">
      <c r="A571" s="25" t="s">
        <v>280</v>
      </c>
      <c r="B571" s="16">
        <v>906</v>
      </c>
      <c r="C571" s="20" t="s">
        <v>264</v>
      </c>
      <c r="D571" s="20" t="s">
        <v>213</v>
      </c>
      <c r="E571" s="20" t="s">
        <v>443</v>
      </c>
      <c r="F571" s="20"/>
      <c r="G571" s="26">
        <f>G572</f>
        <v>0</v>
      </c>
      <c r="H571" s="173"/>
    </row>
    <row r="572" spans="1:8" ht="47.25" hidden="1" x14ac:dyDescent="0.25">
      <c r="A572" s="25" t="s">
        <v>272</v>
      </c>
      <c r="B572" s="16">
        <v>906</v>
      </c>
      <c r="C572" s="20" t="s">
        <v>264</v>
      </c>
      <c r="D572" s="20" t="s">
        <v>213</v>
      </c>
      <c r="E572" s="20" t="s">
        <v>443</v>
      </c>
      <c r="F572" s="20" t="s">
        <v>273</v>
      </c>
      <c r="G572" s="26">
        <f>G573</f>
        <v>0</v>
      </c>
      <c r="H572" s="173"/>
    </row>
    <row r="573" spans="1:8" ht="15.75" hidden="1" x14ac:dyDescent="0.25">
      <c r="A573" s="25" t="s">
        <v>274</v>
      </c>
      <c r="B573" s="16">
        <v>906</v>
      </c>
      <c r="C573" s="20" t="s">
        <v>264</v>
      </c>
      <c r="D573" s="20" t="s">
        <v>213</v>
      </c>
      <c r="E573" s="20" t="s">
        <v>443</v>
      </c>
      <c r="F573" s="20" t="s">
        <v>275</v>
      </c>
      <c r="G573" s="26">
        <v>0</v>
      </c>
      <c r="H573" s="173"/>
    </row>
    <row r="574" spans="1:8" ht="47.25" x14ac:dyDescent="0.25">
      <c r="A574" s="25" t="s">
        <v>282</v>
      </c>
      <c r="B574" s="16">
        <v>906</v>
      </c>
      <c r="C574" s="20" t="s">
        <v>264</v>
      </c>
      <c r="D574" s="20" t="s">
        <v>213</v>
      </c>
      <c r="E574" s="20" t="s">
        <v>444</v>
      </c>
      <c r="F574" s="20"/>
      <c r="G574" s="26">
        <f>G575</f>
        <v>127</v>
      </c>
      <c r="H574" s="173"/>
    </row>
    <row r="575" spans="1:8" ht="47.25" x14ac:dyDescent="0.25">
      <c r="A575" s="25" t="s">
        <v>272</v>
      </c>
      <c r="B575" s="16">
        <v>906</v>
      </c>
      <c r="C575" s="20" t="s">
        <v>264</v>
      </c>
      <c r="D575" s="20" t="s">
        <v>213</v>
      </c>
      <c r="E575" s="20" t="s">
        <v>444</v>
      </c>
      <c r="F575" s="20" t="s">
        <v>273</v>
      </c>
      <c r="G575" s="26">
        <f>G576</f>
        <v>127</v>
      </c>
      <c r="H575" s="173"/>
    </row>
    <row r="576" spans="1:8" ht="15.75" x14ac:dyDescent="0.25">
      <c r="A576" s="25" t="s">
        <v>274</v>
      </c>
      <c r="B576" s="16">
        <v>906</v>
      </c>
      <c r="C576" s="20" t="s">
        <v>264</v>
      </c>
      <c r="D576" s="20" t="s">
        <v>213</v>
      </c>
      <c r="E576" s="20" t="s">
        <v>444</v>
      </c>
      <c r="F576" s="20" t="s">
        <v>275</v>
      </c>
      <c r="G576" s="26">
        <v>127</v>
      </c>
      <c r="H576" s="173"/>
    </row>
    <row r="577" spans="1:12" ht="31.5" x14ac:dyDescent="0.25">
      <c r="A577" s="25" t="s">
        <v>284</v>
      </c>
      <c r="B577" s="16">
        <v>906</v>
      </c>
      <c r="C577" s="20" t="s">
        <v>264</v>
      </c>
      <c r="D577" s="20" t="s">
        <v>213</v>
      </c>
      <c r="E577" s="20" t="s">
        <v>445</v>
      </c>
      <c r="F577" s="20"/>
      <c r="G577" s="26">
        <f>G578</f>
        <v>229.4</v>
      </c>
      <c r="H577" s="173"/>
    </row>
    <row r="578" spans="1:12" ht="47.25" x14ac:dyDescent="0.25">
      <c r="A578" s="25" t="s">
        <v>272</v>
      </c>
      <c r="B578" s="16">
        <v>906</v>
      </c>
      <c r="C578" s="20" t="s">
        <v>264</v>
      </c>
      <c r="D578" s="20" t="s">
        <v>213</v>
      </c>
      <c r="E578" s="20" t="s">
        <v>445</v>
      </c>
      <c r="F578" s="20" t="s">
        <v>273</v>
      </c>
      <c r="G578" s="26">
        <f>G579</f>
        <v>229.4</v>
      </c>
      <c r="H578" s="173"/>
    </row>
    <row r="579" spans="1:12" ht="15.75" x14ac:dyDescent="0.25">
      <c r="A579" s="25" t="s">
        <v>274</v>
      </c>
      <c r="B579" s="16">
        <v>906</v>
      </c>
      <c r="C579" s="20" t="s">
        <v>264</v>
      </c>
      <c r="D579" s="20" t="s">
        <v>213</v>
      </c>
      <c r="E579" s="20" t="s">
        <v>445</v>
      </c>
      <c r="F579" s="20" t="s">
        <v>275</v>
      </c>
      <c r="G579" s="26">
        <v>229.4</v>
      </c>
      <c r="H579" s="105"/>
      <c r="I579" s="123"/>
    </row>
    <row r="580" spans="1:12" ht="15.75" x14ac:dyDescent="0.25">
      <c r="A580" s="25" t="s">
        <v>121</v>
      </c>
      <c r="B580" s="16">
        <v>906</v>
      </c>
      <c r="C580" s="20" t="s">
        <v>264</v>
      </c>
      <c r="D580" s="20" t="s">
        <v>213</v>
      </c>
      <c r="E580" s="20" t="s">
        <v>122</v>
      </c>
      <c r="F580" s="20"/>
      <c r="G580" s="26">
        <f>G581</f>
        <v>89857.8</v>
      </c>
      <c r="H580" s="173"/>
    </row>
    <row r="581" spans="1:12" ht="31.5" x14ac:dyDescent="0.25">
      <c r="A581" s="25" t="s">
        <v>185</v>
      </c>
      <c r="B581" s="16">
        <v>906</v>
      </c>
      <c r="C581" s="20" t="s">
        <v>264</v>
      </c>
      <c r="D581" s="20" t="s">
        <v>213</v>
      </c>
      <c r="E581" s="20" t="s">
        <v>186</v>
      </c>
      <c r="F581" s="20"/>
      <c r="G581" s="26">
        <f>G588+G591+G597+G600+G603+G606+G582+G585+G609+G594</f>
        <v>89857.8</v>
      </c>
      <c r="H581" s="173"/>
    </row>
    <row r="582" spans="1:12" ht="47.25" hidden="1" x14ac:dyDescent="0.25">
      <c r="A582" s="25" t="s">
        <v>450</v>
      </c>
      <c r="B582" s="16">
        <v>906</v>
      </c>
      <c r="C582" s="20" t="s">
        <v>264</v>
      </c>
      <c r="D582" s="20" t="s">
        <v>213</v>
      </c>
      <c r="E582" s="20" t="s">
        <v>451</v>
      </c>
      <c r="F582" s="20"/>
      <c r="G582" s="26">
        <f>G583</f>
        <v>0</v>
      </c>
      <c r="H582" s="173"/>
    </row>
    <row r="583" spans="1:12" ht="47.25" hidden="1" x14ac:dyDescent="0.25">
      <c r="A583" s="25" t="s">
        <v>272</v>
      </c>
      <c r="B583" s="16">
        <v>906</v>
      </c>
      <c r="C583" s="20" t="s">
        <v>264</v>
      </c>
      <c r="D583" s="20" t="s">
        <v>213</v>
      </c>
      <c r="E583" s="20" t="s">
        <v>451</v>
      </c>
      <c r="F583" s="20" t="s">
        <v>273</v>
      </c>
      <c r="G583" s="26">
        <f>G584</f>
        <v>0</v>
      </c>
      <c r="H583" s="173"/>
    </row>
    <row r="584" spans="1:12" ht="15.75" hidden="1" x14ac:dyDescent="0.25">
      <c r="A584" s="25" t="s">
        <v>274</v>
      </c>
      <c r="B584" s="16">
        <v>906</v>
      </c>
      <c r="C584" s="20" t="s">
        <v>264</v>
      </c>
      <c r="D584" s="20" t="s">
        <v>213</v>
      </c>
      <c r="E584" s="20" t="s">
        <v>451</v>
      </c>
      <c r="F584" s="20" t="s">
        <v>275</v>
      </c>
      <c r="G584" s="26">
        <v>0</v>
      </c>
      <c r="H584" s="173"/>
    </row>
    <row r="585" spans="1:12" ht="15.75" hidden="1" x14ac:dyDescent="0.25">
      <c r="A585" s="25" t="s">
        <v>452</v>
      </c>
      <c r="B585" s="16">
        <v>906</v>
      </c>
      <c r="C585" s="20" t="s">
        <v>264</v>
      </c>
      <c r="D585" s="20" t="s">
        <v>213</v>
      </c>
      <c r="E585" s="20" t="s">
        <v>453</v>
      </c>
      <c r="F585" s="20"/>
      <c r="G585" s="26">
        <f>G586</f>
        <v>0</v>
      </c>
      <c r="H585" s="173"/>
    </row>
    <row r="586" spans="1:12" ht="47.25" hidden="1" x14ac:dyDescent="0.25">
      <c r="A586" s="25" t="s">
        <v>272</v>
      </c>
      <c r="B586" s="16">
        <v>906</v>
      </c>
      <c r="C586" s="20" t="s">
        <v>264</v>
      </c>
      <c r="D586" s="20" t="s">
        <v>213</v>
      </c>
      <c r="E586" s="20" t="s">
        <v>453</v>
      </c>
      <c r="F586" s="20" t="s">
        <v>273</v>
      </c>
      <c r="G586" s="26">
        <f>G587</f>
        <v>0</v>
      </c>
      <c r="H586" s="173"/>
    </row>
    <row r="587" spans="1:12" ht="15.75" hidden="1" x14ac:dyDescent="0.25">
      <c r="A587" s="25" t="s">
        <v>274</v>
      </c>
      <c r="B587" s="16">
        <v>906</v>
      </c>
      <c r="C587" s="20" t="s">
        <v>264</v>
      </c>
      <c r="D587" s="20" t="s">
        <v>213</v>
      </c>
      <c r="E587" s="20" t="s">
        <v>453</v>
      </c>
      <c r="F587" s="20" t="s">
        <v>275</v>
      </c>
      <c r="G587" s="27">
        <v>0</v>
      </c>
      <c r="H587" s="173"/>
    </row>
    <row r="588" spans="1:12" ht="31.5" hidden="1" x14ac:dyDescent="0.25">
      <c r="A588" s="25" t="s">
        <v>454</v>
      </c>
      <c r="B588" s="16">
        <v>906</v>
      </c>
      <c r="C588" s="20" t="s">
        <v>264</v>
      </c>
      <c r="D588" s="20" t="s">
        <v>213</v>
      </c>
      <c r="E588" s="20" t="s">
        <v>455</v>
      </c>
      <c r="F588" s="20"/>
      <c r="G588" s="26">
        <f>G589</f>
        <v>0</v>
      </c>
      <c r="H588" s="173"/>
    </row>
    <row r="589" spans="1:12" ht="47.25" hidden="1" x14ac:dyDescent="0.25">
      <c r="A589" s="25" t="s">
        <v>272</v>
      </c>
      <c r="B589" s="16">
        <v>906</v>
      </c>
      <c r="C589" s="20" t="s">
        <v>264</v>
      </c>
      <c r="D589" s="20" t="s">
        <v>213</v>
      </c>
      <c r="E589" s="20" t="s">
        <v>455</v>
      </c>
      <c r="F589" s="20" t="s">
        <v>273</v>
      </c>
      <c r="G589" s="26">
        <f>G590</f>
        <v>0</v>
      </c>
      <c r="H589" s="173"/>
    </row>
    <row r="590" spans="1:12" ht="15.75" hidden="1" x14ac:dyDescent="0.25">
      <c r="A590" s="25" t="s">
        <v>274</v>
      </c>
      <c r="B590" s="16">
        <v>906</v>
      </c>
      <c r="C590" s="20" t="s">
        <v>264</v>
      </c>
      <c r="D590" s="20" t="s">
        <v>213</v>
      </c>
      <c r="E590" s="20" t="s">
        <v>455</v>
      </c>
      <c r="F590" s="20" t="s">
        <v>275</v>
      </c>
      <c r="G590" s="26">
        <f>157.3-157.3</f>
        <v>0</v>
      </c>
      <c r="H590" s="173"/>
      <c r="I590" s="114"/>
    </row>
    <row r="591" spans="1:12" ht="31.5" x14ac:dyDescent="0.25">
      <c r="A591" s="25" t="s">
        <v>456</v>
      </c>
      <c r="B591" s="16">
        <v>906</v>
      </c>
      <c r="C591" s="20" t="s">
        <v>264</v>
      </c>
      <c r="D591" s="20" t="s">
        <v>213</v>
      </c>
      <c r="E591" s="20" t="s">
        <v>457</v>
      </c>
      <c r="F591" s="20"/>
      <c r="G591" s="26">
        <f>G592</f>
        <v>1293.5999999999999</v>
      </c>
      <c r="H591" s="173"/>
    </row>
    <row r="592" spans="1:12" ht="47.25" x14ac:dyDescent="0.25">
      <c r="A592" s="25" t="s">
        <v>272</v>
      </c>
      <c r="B592" s="16">
        <v>906</v>
      </c>
      <c r="C592" s="20" t="s">
        <v>264</v>
      </c>
      <c r="D592" s="20" t="s">
        <v>213</v>
      </c>
      <c r="E592" s="20" t="s">
        <v>457</v>
      </c>
      <c r="F592" s="20" t="s">
        <v>273</v>
      </c>
      <c r="G592" s="26">
        <f>G593</f>
        <v>1293.5999999999999</v>
      </c>
      <c r="H592" s="173"/>
      <c r="L592" s="115"/>
    </row>
    <row r="593" spans="1:9" ht="15.75" x14ac:dyDescent="0.25">
      <c r="A593" s="25" t="s">
        <v>274</v>
      </c>
      <c r="B593" s="16">
        <v>906</v>
      </c>
      <c r="C593" s="20" t="s">
        <v>264</v>
      </c>
      <c r="D593" s="20" t="s">
        <v>213</v>
      </c>
      <c r="E593" s="20" t="s">
        <v>457</v>
      </c>
      <c r="F593" s="20" t="s">
        <v>275</v>
      </c>
      <c r="G593" s="27">
        <f>1572.5-278.9</f>
        <v>1293.5999999999999</v>
      </c>
      <c r="H593" s="173"/>
      <c r="I593" s="114"/>
    </row>
    <row r="594" spans="1:9" ht="47.25" x14ac:dyDescent="0.25">
      <c r="A594" s="25" t="s">
        <v>458</v>
      </c>
      <c r="B594" s="16">
        <v>906</v>
      </c>
      <c r="C594" s="20" t="s">
        <v>264</v>
      </c>
      <c r="D594" s="20" t="s">
        <v>213</v>
      </c>
      <c r="E594" s="20" t="s">
        <v>459</v>
      </c>
      <c r="F594" s="20"/>
      <c r="G594" s="27">
        <f>G595</f>
        <v>488.7</v>
      </c>
      <c r="H594" s="173"/>
    </row>
    <row r="595" spans="1:9" ht="47.25" x14ac:dyDescent="0.25">
      <c r="A595" s="25" t="s">
        <v>272</v>
      </c>
      <c r="B595" s="16">
        <v>906</v>
      </c>
      <c r="C595" s="20" t="s">
        <v>264</v>
      </c>
      <c r="D595" s="20" t="s">
        <v>213</v>
      </c>
      <c r="E595" s="20" t="s">
        <v>459</v>
      </c>
      <c r="F595" s="20" t="s">
        <v>273</v>
      </c>
      <c r="G595" s="27">
        <f>G596</f>
        <v>488.7</v>
      </c>
      <c r="H595" s="173"/>
    </row>
    <row r="596" spans="1:9" ht="15.75" x14ac:dyDescent="0.25">
      <c r="A596" s="25" t="s">
        <v>274</v>
      </c>
      <c r="B596" s="16">
        <v>906</v>
      </c>
      <c r="C596" s="20" t="s">
        <v>264</v>
      </c>
      <c r="D596" s="20" t="s">
        <v>213</v>
      </c>
      <c r="E596" s="20" t="s">
        <v>459</v>
      </c>
      <c r="F596" s="20" t="s">
        <v>275</v>
      </c>
      <c r="G596" s="27">
        <f>733.5-244.8</f>
        <v>488.7</v>
      </c>
      <c r="H596" s="173"/>
      <c r="I596" s="114"/>
    </row>
    <row r="597" spans="1:9" ht="94.5" x14ac:dyDescent="0.25">
      <c r="A597" s="31" t="s">
        <v>460</v>
      </c>
      <c r="B597" s="16">
        <v>906</v>
      </c>
      <c r="C597" s="20" t="s">
        <v>264</v>
      </c>
      <c r="D597" s="20" t="s">
        <v>213</v>
      </c>
      <c r="E597" s="20" t="s">
        <v>461</v>
      </c>
      <c r="F597" s="20"/>
      <c r="G597" s="26">
        <f>G598</f>
        <v>79753.600000000006</v>
      </c>
      <c r="H597" s="173"/>
    </row>
    <row r="598" spans="1:9" ht="47.25" x14ac:dyDescent="0.25">
      <c r="A598" s="25" t="s">
        <v>272</v>
      </c>
      <c r="B598" s="16">
        <v>906</v>
      </c>
      <c r="C598" s="20" t="s">
        <v>264</v>
      </c>
      <c r="D598" s="20" t="s">
        <v>213</v>
      </c>
      <c r="E598" s="20" t="s">
        <v>461</v>
      </c>
      <c r="F598" s="20" t="s">
        <v>273</v>
      </c>
      <c r="G598" s="26">
        <f>G599</f>
        <v>79753.600000000006</v>
      </c>
      <c r="H598" s="173"/>
    </row>
    <row r="599" spans="1:9" ht="15.75" x14ac:dyDescent="0.25">
      <c r="A599" s="25" t="s">
        <v>274</v>
      </c>
      <c r="B599" s="16">
        <v>906</v>
      </c>
      <c r="C599" s="20" t="s">
        <v>264</v>
      </c>
      <c r="D599" s="20" t="s">
        <v>213</v>
      </c>
      <c r="E599" s="20" t="s">
        <v>461</v>
      </c>
      <c r="F599" s="20" t="s">
        <v>275</v>
      </c>
      <c r="G599" s="27">
        <f>93568.6-13815</f>
        <v>79753.600000000006</v>
      </c>
      <c r="H599" s="173"/>
      <c r="I599" s="114"/>
    </row>
    <row r="600" spans="1:9" ht="63" x14ac:dyDescent="0.25">
      <c r="A600" s="31" t="s">
        <v>289</v>
      </c>
      <c r="B600" s="16">
        <v>906</v>
      </c>
      <c r="C600" s="20" t="s">
        <v>264</v>
      </c>
      <c r="D600" s="20" t="s">
        <v>213</v>
      </c>
      <c r="E600" s="20" t="s">
        <v>290</v>
      </c>
      <c r="F600" s="20"/>
      <c r="G600" s="26">
        <f>G601</f>
        <v>910.90000000000009</v>
      </c>
      <c r="H600" s="173"/>
    </row>
    <row r="601" spans="1:9" ht="47.25" x14ac:dyDescent="0.25">
      <c r="A601" s="25" t="s">
        <v>272</v>
      </c>
      <c r="B601" s="16">
        <v>906</v>
      </c>
      <c r="C601" s="20" t="s">
        <v>264</v>
      </c>
      <c r="D601" s="20" t="s">
        <v>213</v>
      </c>
      <c r="E601" s="20" t="s">
        <v>290</v>
      </c>
      <c r="F601" s="20" t="s">
        <v>273</v>
      </c>
      <c r="G601" s="26">
        <f>G602</f>
        <v>910.90000000000009</v>
      </c>
      <c r="H601" s="173"/>
    </row>
    <row r="602" spans="1:9" ht="15.75" x14ac:dyDescent="0.25">
      <c r="A602" s="25" t="s">
        <v>274</v>
      </c>
      <c r="B602" s="16">
        <v>906</v>
      </c>
      <c r="C602" s="20" t="s">
        <v>264</v>
      </c>
      <c r="D602" s="20" t="s">
        <v>213</v>
      </c>
      <c r="E602" s="20" t="s">
        <v>290</v>
      </c>
      <c r="F602" s="20" t="s">
        <v>275</v>
      </c>
      <c r="G602" s="27">
        <f>1101.7-190.8</f>
        <v>910.90000000000009</v>
      </c>
      <c r="H602" s="173"/>
      <c r="I602" s="114"/>
    </row>
    <row r="603" spans="1:9" ht="78.75" x14ac:dyDescent="0.25">
      <c r="A603" s="31" t="s">
        <v>291</v>
      </c>
      <c r="B603" s="16">
        <v>906</v>
      </c>
      <c r="C603" s="20" t="s">
        <v>264</v>
      </c>
      <c r="D603" s="20" t="s">
        <v>213</v>
      </c>
      <c r="E603" s="20" t="s">
        <v>292</v>
      </c>
      <c r="F603" s="20"/>
      <c r="G603" s="26">
        <f>G604</f>
        <v>2155.5</v>
      </c>
      <c r="H603" s="173"/>
    </row>
    <row r="604" spans="1:9" ht="47.25" x14ac:dyDescent="0.25">
      <c r="A604" s="25" t="s">
        <v>272</v>
      </c>
      <c r="B604" s="16">
        <v>906</v>
      </c>
      <c r="C604" s="20" t="s">
        <v>264</v>
      </c>
      <c r="D604" s="20" t="s">
        <v>213</v>
      </c>
      <c r="E604" s="20" t="s">
        <v>292</v>
      </c>
      <c r="F604" s="20" t="s">
        <v>273</v>
      </c>
      <c r="G604" s="26">
        <f>G605</f>
        <v>2155.5</v>
      </c>
      <c r="H604" s="173"/>
    </row>
    <row r="605" spans="1:9" ht="15.75" x14ac:dyDescent="0.25">
      <c r="A605" s="25" t="s">
        <v>274</v>
      </c>
      <c r="B605" s="16">
        <v>906</v>
      </c>
      <c r="C605" s="20" t="s">
        <v>264</v>
      </c>
      <c r="D605" s="20" t="s">
        <v>213</v>
      </c>
      <c r="E605" s="20" t="s">
        <v>292</v>
      </c>
      <c r="F605" s="20" t="s">
        <v>275</v>
      </c>
      <c r="G605" s="27">
        <f>2823.2-667.7</f>
        <v>2155.5</v>
      </c>
      <c r="H605" s="173"/>
      <c r="I605" s="114"/>
    </row>
    <row r="606" spans="1:9" ht="47.25" x14ac:dyDescent="0.25">
      <c r="A606" s="31" t="s">
        <v>462</v>
      </c>
      <c r="B606" s="16">
        <v>906</v>
      </c>
      <c r="C606" s="20" t="s">
        <v>264</v>
      </c>
      <c r="D606" s="20" t="s">
        <v>213</v>
      </c>
      <c r="E606" s="20" t="s">
        <v>463</v>
      </c>
      <c r="F606" s="20"/>
      <c r="G606" s="26">
        <f>G607</f>
        <v>886.5</v>
      </c>
      <c r="H606" s="173"/>
    </row>
    <row r="607" spans="1:9" ht="47.25" x14ac:dyDescent="0.25">
      <c r="A607" s="25" t="s">
        <v>272</v>
      </c>
      <c r="B607" s="16">
        <v>906</v>
      </c>
      <c r="C607" s="20" t="s">
        <v>264</v>
      </c>
      <c r="D607" s="20" t="s">
        <v>213</v>
      </c>
      <c r="E607" s="20" t="s">
        <v>463</v>
      </c>
      <c r="F607" s="20" t="s">
        <v>273</v>
      </c>
      <c r="G607" s="26">
        <f>G608</f>
        <v>886.5</v>
      </c>
      <c r="H607" s="173"/>
    </row>
    <row r="608" spans="1:9" ht="15.75" x14ac:dyDescent="0.25">
      <c r="A608" s="25" t="s">
        <v>274</v>
      </c>
      <c r="B608" s="16">
        <v>906</v>
      </c>
      <c r="C608" s="20" t="s">
        <v>264</v>
      </c>
      <c r="D608" s="20" t="s">
        <v>213</v>
      </c>
      <c r="E608" s="20" t="s">
        <v>463</v>
      </c>
      <c r="F608" s="20" t="s">
        <v>275</v>
      </c>
      <c r="G608" s="27">
        <f>998.4-111.9</f>
        <v>886.5</v>
      </c>
      <c r="H608" s="173"/>
      <c r="I608" s="114"/>
    </row>
    <row r="609" spans="1:9" ht="110.25" x14ac:dyDescent="0.25">
      <c r="A609" s="31" t="s">
        <v>464</v>
      </c>
      <c r="B609" s="16">
        <v>906</v>
      </c>
      <c r="C609" s="20" t="s">
        <v>264</v>
      </c>
      <c r="D609" s="20" t="s">
        <v>213</v>
      </c>
      <c r="E609" s="20" t="s">
        <v>294</v>
      </c>
      <c r="F609" s="20"/>
      <c r="G609" s="26">
        <f>G610</f>
        <v>4369</v>
      </c>
      <c r="H609" s="173"/>
    </row>
    <row r="610" spans="1:9" ht="47.25" x14ac:dyDescent="0.25">
      <c r="A610" s="25" t="s">
        <v>272</v>
      </c>
      <c r="B610" s="16">
        <v>906</v>
      </c>
      <c r="C610" s="20" t="s">
        <v>264</v>
      </c>
      <c r="D610" s="20" t="s">
        <v>213</v>
      </c>
      <c r="E610" s="20" t="s">
        <v>294</v>
      </c>
      <c r="F610" s="20" t="s">
        <v>273</v>
      </c>
      <c r="G610" s="26">
        <f>G611</f>
        <v>4369</v>
      </c>
      <c r="H610" s="173"/>
    </row>
    <row r="611" spans="1:9" ht="15.75" x14ac:dyDescent="0.25">
      <c r="A611" s="25" t="s">
        <v>274</v>
      </c>
      <c r="B611" s="16">
        <v>906</v>
      </c>
      <c r="C611" s="20" t="s">
        <v>264</v>
      </c>
      <c r="D611" s="20" t="s">
        <v>213</v>
      </c>
      <c r="E611" s="20" t="s">
        <v>294</v>
      </c>
      <c r="F611" s="20" t="s">
        <v>275</v>
      </c>
      <c r="G611" s="27">
        <f>5441.9-1072.9</f>
        <v>4369</v>
      </c>
      <c r="H611" s="173"/>
      <c r="I611" s="114"/>
    </row>
    <row r="612" spans="1:9" ht="15.75" x14ac:dyDescent="0.25">
      <c r="A612" s="23" t="s">
        <v>265</v>
      </c>
      <c r="B612" s="19">
        <v>906</v>
      </c>
      <c r="C612" s="24" t="s">
        <v>264</v>
      </c>
      <c r="D612" s="24" t="s">
        <v>215</v>
      </c>
      <c r="E612" s="24"/>
      <c r="F612" s="24"/>
      <c r="G612" s="44">
        <f>G613+G622</f>
        <v>23062.100000000002</v>
      </c>
      <c r="H612" s="173"/>
      <c r="I612" s="114"/>
    </row>
    <row r="613" spans="1:9" ht="47.25" x14ac:dyDescent="0.25">
      <c r="A613" s="25" t="s">
        <v>426</v>
      </c>
      <c r="B613" s="16">
        <v>906</v>
      </c>
      <c r="C613" s="20" t="s">
        <v>264</v>
      </c>
      <c r="D613" s="20" t="s">
        <v>215</v>
      </c>
      <c r="E613" s="20" t="s">
        <v>406</v>
      </c>
      <c r="F613" s="20"/>
      <c r="G613" s="27">
        <f>G614+G620</f>
        <v>21479.9</v>
      </c>
      <c r="H613" s="173"/>
      <c r="I613" s="114"/>
    </row>
    <row r="614" spans="1:9" ht="47.25" x14ac:dyDescent="0.25">
      <c r="A614" s="25" t="s">
        <v>407</v>
      </c>
      <c r="B614" s="16">
        <v>906</v>
      </c>
      <c r="C614" s="20" t="s">
        <v>264</v>
      </c>
      <c r="D614" s="20" t="s">
        <v>215</v>
      </c>
      <c r="E614" s="20" t="s">
        <v>408</v>
      </c>
      <c r="F614" s="20"/>
      <c r="G614" s="27">
        <f>G615</f>
        <v>21124</v>
      </c>
      <c r="H614" s="173"/>
      <c r="I614" s="114"/>
    </row>
    <row r="615" spans="1:9" ht="47.25" x14ac:dyDescent="0.25">
      <c r="A615" s="25" t="s">
        <v>270</v>
      </c>
      <c r="B615" s="16">
        <v>906</v>
      </c>
      <c r="C615" s="20" t="s">
        <v>264</v>
      </c>
      <c r="D615" s="20" t="s">
        <v>215</v>
      </c>
      <c r="E615" s="20" t="s">
        <v>429</v>
      </c>
      <c r="F615" s="20"/>
      <c r="G615" s="27">
        <f>G616</f>
        <v>21124</v>
      </c>
      <c r="H615" s="173"/>
      <c r="I615" s="114"/>
    </row>
    <row r="616" spans="1:9" ht="47.25" x14ac:dyDescent="0.25">
      <c r="A616" s="25" t="s">
        <v>272</v>
      </c>
      <c r="B616" s="16">
        <v>906</v>
      </c>
      <c r="C616" s="20" t="s">
        <v>264</v>
      </c>
      <c r="D616" s="20" t="s">
        <v>215</v>
      </c>
      <c r="E616" s="20" t="s">
        <v>429</v>
      </c>
      <c r="F616" s="20" t="s">
        <v>273</v>
      </c>
      <c r="G616" s="27">
        <f>G617</f>
        <v>21124</v>
      </c>
      <c r="H616" s="173"/>
      <c r="I616" s="114"/>
    </row>
    <row r="617" spans="1:9" ht="15.75" x14ac:dyDescent="0.25">
      <c r="A617" s="25" t="s">
        <v>274</v>
      </c>
      <c r="B617" s="16">
        <v>906</v>
      </c>
      <c r="C617" s="20" t="s">
        <v>264</v>
      </c>
      <c r="D617" s="20" t="s">
        <v>215</v>
      </c>
      <c r="E617" s="20" t="s">
        <v>429</v>
      </c>
      <c r="F617" s="20" t="s">
        <v>275</v>
      </c>
      <c r="G617" s="27">
        <f>21044+80</f>
        <v>21124</v>
      </c>
      <c r="H617" s="105"/>
      <c r="I617" s="124"/>
    </row>
    <row r="618" spans="1:9" ht="47.25" x14ac:dyDescent="0.25">
      <c r="A618" s="31" t="s">
        <v>700</v>
      </c>
      <c r="B618" s="16">
        <v>906</v>
      </c>
      <c r="C618" s="20" t="s">
        <v>264</v>
      </c>
      <c r="D618" s="20" t="s">
        <v>215</v>
      </c>
      <c r="E618" s="20" t="s">
        <v>447</v>
      </c>
      <c r="F618" s="20"/>
      <c r="G618" s="27">
        <f>G619</f>
        <v>355.9</v>
      </c>
      <c r="H618" s="173"/>
      <c r="I618" s="114"/>
    </row>
    <row r="619" spans="1:9" ht="31.5" x14ac:dyDescent="0.25">
      <c r="A619" s="45" t="s">
        <v>701</v>
      </c>
      <c r="B619" s="16">
        <v>906</v>
      </c>
      <c r="C619" s="20" t="s">
        <v>264</v>
      </c>
      <c r="D619" s="20" t="s">
        <v>215</v>
      </c>
      <c r="E619" s="20" t="s">
        <v>702</v>
      </c>
      <c r="F619" s="20"/>
      <c r="G619" s="27">
        <f>G620</f>
        <v>355.9</v>
      </c>
      <c r="H619" s="173"/>
      <c r="I619" s="114"/>
    </row>
    <row r="620" spans="1:9" ht="47.25" x14ac:dyDescent="0.25">
      <c r="A620" s="31" t="s">
        <v>272</v>
      </c>
      <c r="B620" s="16">
        <v>906</v>
      </c>
      <c r="C620" s="20" t="s">
        <v>264</v>
      </c>
      <c r="D620" s="20" t="s">
        <v>215</v>
      </c>
      <c r="E620" s="20" t="s">
        <v>702</v>
      </c>
      <c r="F620" s="20" t="s">
        <v>273</v>
      </c>
      <c r="G620" s="27">
        <f>G621</f>
        <v>355.9</v>
      </c>
      <c r="H620" s="105"/>
      <c r="I620" s="114"/>
    </row>
    <row r="621" spans="1:9" ht="15.75" x14ac:dyDescent="0.25">
      <c r="A621" s="31" t="s">
        <v>274</v>
      </c>
      <c r="B621" s="16">
        <v>906</v>
      </c>
      <c r="C621" s="20" t="s">
        <v>264</v>
      </c>
      <c r="D621" s="20" t="s">
        <v>215</v>
      </c>
      <c r="E621" s="20" t="s">
        <v>702</v>
      </c>
      <c r="F621" s="20" t="s">
        <v>275</v>
      </c>
      <c r="G621" s="27">
        <v>355.9</v>
      </c>
      <c r="H621" s="173"/>
      <c r="I621" s="114"/>
    </row>
    <row r="622" spans="1:9" ht="15.75" x14ac:dyDescent="0.25">
      <c r="A622" s="25" t="s">
        <v>465</v>
      </c>
      <c r="B622" s="16">
        <v>906</v>
      </c>
      <c r="C622" s="20" t="s">
        <v>264</v>
      </c>
      <c r="D622" s="20" t="s">
        <v>215</v>
      </c>
      <c r="E622" s="20" t="s">
        <v>122</v>
      </c>
      <c r="F622" s="20"/>
      <c r="G622" s="27">
        <f>G623</f>
        <v>1582.2</v>
      </c>
      <c r="H622" s="173"/>
      <c r="I622" s="114"/>
    </row>
    <row r="623" spans="1:9" ht="31.5" x14ac:dyDescent="0.25">
      <c r="A623" s="25" t="s">
        <v>185</v>
      </c>
      <c r="B623" s="16">
        <v>906</v>
      </c>
      <c r="C623" s="20" t="s">
        <v>264</v>
      </c>
      <c r="D623" s="20" t="s">
        <v>215</v>
      </c>
      <c r="E623" s="20" t="s">
        <v>186</v>
      </c>
      <c r="F623" s="20"/>
      <c r="G623" s="27">
        <f>G624+G627+G630</f>
        <v>1582.2</v>
      </c>
      <c r="H623" s="173"/>
      <c r="I623" s="114"/>
    </row>
    <row r="624" spans="1:9" ht="63" x14ac:dyDescent="0.25">
      <c r="A624" s="31" t="s">
        <v>289</v>
      </c>
      <c r="B624" s="16">
        <v>906</v>
      </c>
      <c r="C624" s="20" t="s">
        <v>264</v>
      </c>
      <c r="D624" s="20" t="s">
        <v>215</v>
      </c>
      <c r="E624" s="20" t="s">
        <v>290</v>
      </c>
      <c r="F624" s="20"/>
      <c r="G624" s="27">
        <f>G625</f>
        <v>110</v>
      </c>
      <c r="H624" s="173"/>
      <c r="I624" s="114"/>
    </row>
    <row r="625" spans="1:9" ht="47.25" x14ac:dyDescent="0.25">
      <c r="A625" s="25" t="s">
        <v>272</v>
      </c>
      <c r="B625" s="16">
        <v>906</v>
      </c>
      <c r="C625" s="20" t="s">
        <v>264</v>
      </c>
      <c r="D625" s="20" t="s">
        <v>215</v>
      </c>
      <c r="E625" s="20" t="s">
        <v>290</v>
      </c>
      <c r="F625" s="20" t="s">
        <v>273</v>
      </c>
      <c r="G625" s="27">
        <f>G626</f>
        <v>110</v>
      </c>
      <c r="H625" s="173"/>
      <c r="I625" s="114"/>
    </row>
    <row r="626" spans="1:9" ht="15.75" x14ac:dyDescent="0.25">
      <c r="A626" s="25" t="s">
        <v>274</v>
      </c>
      <c r="B626" s="16">
        <v>906</v>
      </c>
      <c r="C626" s="20" t="s">
        <v>264</v>
      </c>
      <c r="D626" s="20" t="s">
        <v>215</v>
      </c>
      <c r="E626" s="20" t="s">
        <v>290</v>
      </c>
      <c r="F626" s="20" t="s">
        <v>275</v>
      </c>
      <c r="G626" s="27">
        <v>110</v>
      </c>
      <c r="H626" s="173"/>
      <c r="I626" s="114"/>
    </row>
    <row r="627" spans="1:9" ht="78.75" x14ac:dyDescent="0.25">
      <c r="A627" s="31" t="s">
        <v>291</v>
      </c>
      <c r="B627" s="16">
        <v>906</v>
      </c>
      <c r="C627" s="20" t="s">
        <v>264</v>
      </c>
      <c r="D627" s="20" t="s">
        <v>215</v>
      </c>
      <c r="E627" s="20" t="s">
        <v>292</v>
      </c>
      <c r="F627" s="20"/>
      <c r="G627" s="27">
        <f>G628</f>
        <v>572.20000000000005</v>
      </c>
      <c r="H627" s="173"/>
      <c r="I627" s="114"/>
    </row>
    <row r="628" spans="1:9" ht="47.25" x14ac:dyDescent="0.25">
      <c r="A628" s="25" t="s">
        <v>272</v>
      </c>
      <c r="B628" s="16">
        <v>906</v>
      </c>
      <c r="C628" s="20" t="s">
        <v>264</v>
      </c>
      <c r="D628" s="20" t="s">
        <v>215</v>
      </c>
      <c r="E628" s="20" t="s">
        <v>292</v>
      </c>
      <c r="F628" s="20" t="s">
        <v>273</v>
      </c>
      <c r="G628" s="27">
        <f>G629</f>
        <v>572.20000000000005</v>
      </c>
      <c r="H628" s="173"/>
      <c r="I628" s="114"/>
    </row>
    <row r="629" spans="1:9" ht="15.75" x14ac:dyDescent="0.25">
      <c r="A629" s="25" t="s">
        <v>274</v>
      </c>
      <c r="B629" s="16">
        <v>906</v>
      </c>
      <c r="C629" s="20" t="s">
        <v>264</v>
      </c>
      <c r="D629" s="20" t="s">
        <v>215</v>
      </c>
      <c r="E629" s="20" t="s">
        <v>292</v>
      </c>
      <c r="F629" s="20" t="s">
        <v>275</v>
      </c>
      <c r="G629" s="27">
        <v>572.20000000000005</v>
      </c>
      <c r="H629" s="173"/>
      <c r="I629" s="114"/>
    </row>
    <row r="630" spans="1:9" ht="110.25" x14ac:dyDescent="0.25">
      <c r="A630" s="31" t="s">
        <v>293</v>
      </c>
      <c r="B630" s="16">
        <v>906</v>
      </c>
      <c r="C630" s="20" t="s">
        <v>264</v>
      </c>
      <c r="D630" s="20" t="s">
        <v>215</v>
      </c>
      <c r="E630" s="20" t="s">
        <v>294</v>
      </c>
      <c r="F630" s="20"/>
      <c r="G630" s="27">
        <f>G631</f>
        <v>900</v>
      </c>
      <c r="H630" s="173"/>
      <c r="I630" s="114"/>
    </row>
    <row r="631" spans="1:9" ht="47.25" x14ac:dyDescent="0.25">
      <c r="A631" s="25" t="s">
        <v>272</v>
      </c>
      <c r="B631" s="16">
        <v>906</v>
      </c>
      <c r="C631" s="20" t="s">
        <v>264</v>
      </c>
      <c r="D631" s="20" t="s">
        <v>215</v>
      </c>
      <c r="E631" s="20" t="s">
        <v>294</v>
      </c>
      <c r="F631" s="20" t="s">
        <v>273</v>
      </c>
      <c r="G631" s="27">
        <f>G632</f>
        <v>900</v>
      </c>
      <c r="H631" s="173"/>
      <c r="I631" s="114"/>
    </row>
    <row r="632" spans="1:9" ht="15.75" x14ac:dyDescent="0.25">
      <c r="A632" s="25" t="s">
        <v>274</v>
      </c>
      <c r="B632" s="16">
        <v>906</v>
      </c>
      <c r="C632" s="20" t="s">
        <v>264</v>
      </c>
      <c r="D632" s="20" t="s">
        <v>215</v>
      </c>
      <c r="E632" s="20" t="s">
        <v>294</v>
      </c>
      <c r="F632" s="20" t="s">
        <v>275</v>
      </c>
      <c r="G632" s="27">
        <v>900</v>
      </c>
      <c r="H632" s="173"/>
      <c r="I632" s="114"/>
    </row>
    <row r="633" spans="1:9" ht="31.5" x14ac:dyDescent="0.25">
      <c r="A633" s="23" t="s">
        <v>466</v>
      </c>
      <c r="B633" s="19">
        <v>906</v>
      </c>
      <c r="C633" s="24" t="s">
        <v>264</v>
      </c>
      <c r="D633" s="24" t="s">
        <v>264</v>
      </c>
      <c r="E633" s="24"/>
      <c r="F633" s="24"/>
      <c r="G633" s="21">
        <f>G634+G639</f>
        <v>4788.6000000000004</v>
      </c>
      <c r="H633" s="173"/>
    </row>
    <row r="634" spans="1:9" ht="47.25" x14ac:dyDescent="0.25">
      <c r="A634" s="25" t="s">
        <v>426</v>
      </c>
      <c r="B634" s="16">
        <v>906</v>
      </c>
      <c r="C634" s="20" t="s">
        <v>264</v>
      </c>
      <c r="D634" s="20" t="s">
        <v>264</v>
      </c>
      <c r="E634" s="20" t="s">
        <v>406</v>
      </c>
      <c r="F634" s="20"/>
      <c r="G634" s="26">
        <f>G635</f>
        <v>3484.8</v>
      </c>
      <c r="H634" s="173"/>
    </row>
    <row r="635" spans="1:9" ht="31.5" x14ac:dyDescent="0.25">
      <c r="A635" s="25" t="s">
        <v>467</v>
      </c>
      <c r="B635" s="16">
        <v>906</v>
      </c>
      <c r="C635" s="20" t="s">
        <v>264</v>
      </c>
      <c r="D635" s="20" t="s">
        <v>468</v>
      </c>
      <c r="E635" s="20" t="s">
        <v>469</v>
      </c>
      <c r="F635" s="20"/>
      <c r="G635" s="26">
        <f>G636</f>
        <v>3484.8</v>
      </c>
      <c r="H635" s="173"/>
    </row>
    <row r="636" spans="1:9" ht="47.25" x14ac:dyDescent="0.25">
      <c r="A636" s="25" t="s">
        <v>470</v>
      </c>
      <c r="B636" s="16">
        <v>906</v>
      </c>
      <c r="C636" s="20" t="s">
        <v>264</v>
      </c>
      <c r="D636" s="20" t="s">
        <v>264</v>
      </c>
      <c r="E636" s="20" t="s">
        <v>471</v>
      </c>
      <c r="F636" s="20"/>
      <c r="G636" s="26">
        <f>G637</f>
        <v>3484.8</v>
      </c>
      <c r="H636" s="173"/>
    </row>
    <row r="637" spans="1:9" ht="47.25" x14ac:dyDescent="0.25">
      <c r="A637" s="25" t="s">
        <v>272</v>
      </c>
      <c r="B637" s="16">
        <v>906</v>
      </c>
      <c r="C637" s="20" t="s">
        <v>264</v>
      </c>
      <c r="D637" s="20" t="s">
        <v>264</v>
      </c>
      <c r="E637" s="20" t="s">
        <v>471</v>
      </c>
      <c r="F637" s="20" t="s">
        <v>273</v>
      </c>
      <c r="G637" s="26">
        <f t="shared" ref="G637:G642" si="3">G638</f>
        <v>3484.8</v>
      </c>
      <c r="H637" s="173"/>
    </row>
    <row r="638" spans="1:9" ht="15.75" x14ac:dyDescent="0.25">
      <c r="A638" s="25" t="s">
        <v>274</v>
      </c>
      <c r="B638" s="16">
        <v>906</v>
      </c>
      <c r="C638" s="20" t="s">
        <v>264</v>
      </c>
      <c r="D638" s="20" t="s">
        <v>264</v>
      </c>
      <c r="E638" s="20" t="s">
        <v>471</v>
      </c>
      <c r="F638" s="20" t="s">
        <v>275</v>
      </c>
      <c r="G638" s="27">
        <v>3484.8</v>
      </c>
      <c r="H638" s="173"/>
    </row>
    <row r="639" spans="1:9" ht="15.75" x14ac:dyDescent="0.25">
      <c r="A639" s="25" t="s">
        <v>121</v>
      </c>
      <c r="B639" s="16">
        <v>906</v>
      </c>
      <c r="C639" s="20" t="s">
        <v>264</v>
      </c>
      <c r="D639" s="20" t="s">
        <v>264</v>
      </c>
      <c r="E639" s="20" t="s">
        <v>122</v>
      </c>
      <c r="F639" s="20"/>
      <c r="G639" s="26">
        <f>G640</f>
        <v>1303.8000000000002</v>
      </c>
      <c r="H639" s="173"/>
    </row>
    <row r="640" spans="1:9" ht="31.5" x14ac:dyDescent="0.25">
      <c r="A640" s="25" t="s">
        <v>185</v>
      </c>
      <c r="B640" s="16">
        <v>906</v>
      </c>
      <c r="C640" s="20" t="s">
        <v>264</v>
      </c>
      <c r="D640" s="20" t="s">
        <v>264</v>
      </c>
      <c r="E640" s="20" t="s">
        <v>186</v>
      </c>
      <c r="F640" s="20"/>
      <c r="G640" s="26">
        <f>G642</f>
        <v>1303.8000000000002</v>
      </c>
      <c r="H640" s="173"/>
    </row>
    <row r="641" spans="1:9" ht="63" hidden="1" x14ac:dyDescent="0.25">
      <c r="A641" s="25" t="s">
        <v>472</v>
      </c>
      <c r="B641" s="16">
        <v>906</v>
      </c>
      <c r="C641" s="20" t="s">
        <v>264</v>
      </c>
      <c r="D641" s="20" t="s">
        <v>264</v>
      </c>
      <c r="E641" s="20" t="s">
        <v>473</v>
      </c>
      <c r="F641" s="20"/>
      <c r="G641" s="26">
        <f t="shared" si="3"/>
        <v>1303.8000000000002</v>
      </c>
      <c r="H641" s="173"/>
    </row>
    <row r="642" spans="1:9" ht="31.5" x14ac:dyDescent="0.25">
      <c r="A642" s="31" t="s">
        <v>474</v>
      </c>
      <c r="B642" s="16">
        <v>906</v>
      </c>
      <c r="C642" s="20" t="s">
        <v>264</v>
      </c>
      <c r="D642" s="20" t="s">
        <v>264</v>
      </c>
      <c r="E642" s="20" t="s">
        <v>475</v>
      </c>
      <c r="F642" s="20"/>
      <c r="G642" s="26">
        <f t="shared" si="3"/>
        <v>1303.8000000000002</v>
      </c>
      <c r="H642" s="173"/>
    </row>
    <row r="643" spans="1:9" ht="47.25" x14ac:dyDescent="0.25">
      <c r="A643" s="25" t="s">
        <v>272</v>
      </c>
      <c r="B643" s="16">
        <v>906</v>
      </c>
      <c r="C643" s="20" t="s">
        <v>264</v>
      </c>
      <c r="D643" s="20" t="s">
        <v>264</v>
      </c>
      <c r="E643" s="20" t="s">
        <v>475</v>
      </c>
      <c r="F643" s="20" t="s">
        <v>273</v>
      </c>
      <c r="G643" s="26">
        <f>G644</f>
        <v>1303.8000000000002</v>
      </c>
      <c r="H643" s="173"/>
    </row>
    <row r="644" spans="1:9" ht="15.75" x14ac:dyDescent="0.25">
      <c r="A644" s="25" t="s">
        <v>274</v>
      </c>
      <c r="B644" s="16">
        <v>906</v>
      </c>
      <c r="C644" s="20" t="s">
        <v>264</v>
      </c>
      <c r="D644" s="20" t="s">
        <v>264</v>
      </c>
      <c r="E644" s="20" t="s">
        <v>475</v>
      </c>
      <c r="F644" s="20" t="s">
        <v>275</v>
      </c>
      <c r="G644" s="27">
        <f>1660.4-356.6</f>
        <v>1303.8000000000002</v>
      </c>
      <c r="H644" s="173"/>
      <c r="I644" s="114"/>
    </row>
    <row r="645" spans="1:9" ht="15.75" x14ac:dyDescent="0.25">
      <c r="A645" s="23" t="s">
        <v>295</v>
      </c>
      <c r="B645" s="19">
        <v>906</v>
      </c>
      <c r="C645" s="24" t="s">
        <v>264</v>
      </c>
      <c r="D645" s="24" t="s">
        <v>219</v>
      </c>
      <c r="E645" s="24"/>
      <c r="F645" s="24"/>
      <c r="G645" s="21">
        <f>G646+G655</f>
        <v>18322.300000000003</v>
      </c>
      <c r="H645" s="173"/>
    </row>
    <row r="646" spans="1:9" ht="47.25" x14ac:dyDescent="0.25">
      <c r="A646" s="25" t="s">
        <v>334</v>
      </c>
      <c r="B646" s="16">
        <v>906</v>
      </c>
      <c r="C646" s="20" t="s">
        <v>264</v>
      </c>
      <c r="D646" s="20" t="s">
        <v>219</v>
      </c>
      <c r="E646" s="20" t="s">
        <v>335</v>
      </c>
      <c r="F646" s="20"/>
      <c r="G646" s="26">
        <f>G647+G650</f>
        <v>20</v>
      </c>
      <c r="H646" s="173"/>
      <c r="I646" s="114"/>
    </row>
    <row r="647" spans="1:9" ht="31.5" hidden="1" x14ac:dyDescent="0.25">
      <c r="A647" s="25" t="s">
        <v>336</v>
      </c>
      <c r="B647" s="16">
        <v>906</v>
      </c>
      <c r="C647" s="20" t="s">
        <v>264</v>
      </c>
      <c r="D647" s="20" t="s">
        <v>219</v>
      </c>
      <c r="E647" s="20" t="s">
        <v>337</v>
      </c>
      <c r="F647" s="20"/>
      <c r="G647" s="26">
        <f>G648</f>
        <v>0</v>
      </c>
      <c r="H647" s="173"/>
    </row>
    <row r="648" spans="1:9" ht="31.5" hidden="1" x14ac:dyDescent="0.25">
      <c r="A648" s="25" t="s">
        <v>131</v>
      </c>
      <c r="B648" s="16">
        <v>906</v>
      </c>
      <c r="C648" s="20" t="s">
        <v>264</v>
      </c>
      <c r="D648" s="20" t="s">
        <v>219</v>
      </c>
      <c r="E648" s="20" t="s">
        <v>337</v>
      </c>
      <c r="F648" s="20" t="s">
        <v>132</v>
      </c>
      <c r="G648" s="26">
        <f>G649</f>
        <v>0</v>
      </c>
      <c r="H648" s="173"/>
    </row>
    <row r="649" spans="1:9" ht="47.25" hidden="1" x14ac:dyDescent="0.25">
      <c r="A649" s="25" t="s">
        <v>133</v>
      </c>
      <c r="B649" s="16">
        <v>906</v>
      </c>
      <c r="C649" s="20" t="s">
        <v>264</v>
      </c>
      <c r="D649" s="20" t="s">
        <v>219</v>
      </c>
      <c r="E649" s="20" t="s">
        <v>337</v>
      </c>
      <c r="F649" s="20" t="s">
        <v>134</v>
      </c>
      <c r="G649" s="26">
        <f>50-50</f>
        <v>0</v>
      </c>
      <c r="H649" s="105"/>
      <c r="I649" s="123"/>
    </row>
    <row r="650" spans="1:9" ht="63" x14ac:dyDescent="0.25">
      <c r="A650" s="25" t="s">
        <v>476</v>
      </c>
      <c r="B650" s="16">
        <v>906</v>
      </c>
      <c r="C650" s="20" t="s">
        <v>264</v>
      </c>
      <c r="D650" s="20" t="s">
        <v>219</v>
      </c>
      <c r="E650" s="20" t="s">
        <v>477</v>
      </c>
      <c r="F650" s="20"/>
      <c r="G650" s="26">
        <f>G651+G653</f>
        <v>20</v>
      </c>
      <c r="H650" s="173"/>
    </row>
    <row r="651" spans="1:9" ht="94.5" x14ac:dyDescent="0.25">
      <c r="A651" s="25" t="s">
        <v>127</v>
      </c>
      <c r="B651" s="16">
        <v>906</v>
      </c>
      <c r="C651" s="20" t="s">
        <v>264</v>
      </c>
      <c r="D651" s="20" t="s">
        <v>219</v>
      </c>
      <c r="E651" s="20" t="s">
        <v>477</v>
      </c>
      <c r="F651" s="20" t="s">
        <v>128</v>
      </c>
      <c r="G651" s="26">
        <f>G652</f>
        <v>5</v>
      </c>
      <c r="H651" s="173"/>
    </row>
    <row r="652" spans="1:9" ht="31.5" x14ac:dyDescent="0.25">
      <c r="A652" s="25" t="s">
        <v>342</v>
      </c>
      <c r="B652" s="16">
        <v>906</v>
      </c>
      <c r="C652" s="20" t="s">
        <v>264</v>
      </c>
      <c r="D652" s="20" t="s">
        <v>219</v>
      </c>
      <c r="E652" s="20" t="s">
        <v>477</v>
      </c>
      <c r="F652" s="20" t="s">
        <v>209</v>
      </c>
      <c r="G652" s="26">
        <v>5</v>
      </c>
      <c r="H652" s="173"/>
    </row>
    <row r="653" spans="1:9" ht="31.5" x14ac:dyDescent="0.25">
      <c r="A653" s="25" t="s">
        <v>131</v>
      </c>
      <c r="B653" s="16">
        <v>906</v>
      </c>
      <c r="C653" s="20" t="s">
        <v>264</v>
      </c>
      <c r="D653" s="20" t="s">
        <v>219</v>
      </c>
      <c r="E653" s="20" t="s">
        <v>477</v>
      </c>
      <c r="F653" s="20" t="s">
        <v>132</v>
      </c>
      <c r="G653" s="26">
        <f>G654</f>
        <v>15</v>
      </c>
      <c r="H653" s="173"/>
    </row>
    <row r="654" spans="1:9" ht="47.25" x14ac:dyDescent="0.25">
      <c r="A654" s="25" t="s">
        <v>133</v>
      </c>
      <c r="B654" s="16">
        <v>906</v>
      </c>
      <c r="C654" s="20" t="s">
        <v>264</v>
      </c>
      <c r="D654" s="20" t="s">
        <v>219</v>
      </c>
      <c r="E654" s="20" t="s">
        <v>477</v>
      </c>
      <c r="F654" s="20" t="s">
        <v>134</v>
      </c>
      <c r="G654" s="26">
        <v>15</v>
      </c>
      <c r="H654" s="173"/>
    </row>
    <row r="655" spans="1:9" ht="15.75" x14ac:dyDescent="0.25">
      <c r="A655" s="25" t="s">
        <v>121</v>
      </c>
      <c r="B655" s="16">
        <v>906</v>
      </c>
      <c r="C655" s="20" t="s">
        <v>264</v>
      </c>
      <c r="D655" s="20" t="s">
        <v>219</v>
      </c>
      <c r="E655" s="20" t="s">
        <v>122</v>
      </c>
      <c r="F655" s="20"/>
      <c r="G655" s="26">
        <f>G656+G662</f>
        <v>18302.300000000003</v>
      </c>
      <c r="H655" s="173"/>
    </row>
    <row r="656" spans="1:9" ht="31.5" x14ac:dyDescent="0.25">
      <c r="A656" s="25" t="s">
        <v>123</v>
      </c>
      <c r="B656" s="16">
        <v>906</v>
      </c>
      <c r="C656" s="20" t="s">
        <v>264</v>
      </c>
      <c r="D656" s="20" t="s">
        <v>219</v>
      </c>
      <c r="E656" s="20" t="s">
        <v>124</v>
      </c>
      <c r="F656" s="20"/>
      <c r="G656" s="26">
        <f>G657</f>
        <v>5138.7</v>
      </c>
      <c r="H656" s="173"/>
    </row>
    <row r="657" spans="1:11" ht="47.25" x14ac:dyDescent="0.25">
      <c r="A657" s="25" t="s">
        <v>125</v>
      </c>
      <c r="B657" s="16">
        <v>906</v>
      </c>
      <c r="C657" s="20" t="s">
        <v>264</v>
      </c>
      <c r="D657" s="20" t="s">
        <v>219</v>
      </c>
      <c r="E657" s="20" t="s">
        <v>126</v>
      </c>
      <c r="F657" s="20"/>
      <c r="G657" s="26">
        <f>G658+G660</f>
        <v>5138.7</v>
      </c>
      <c r="H657" s="173"/>
    </row>
    <row r="658" spans="1:11" ht="94.5" x14ac:dyDescent="0.25">
      <c r="A658" s="25" t="s">
        <v>127</v>
      </c>
      <c r="B658" s="16">
        <v>906</v>
      </c>
      <c r="C658" s="20" t="s">
        <v>264</v>
      </c>
      <c r="D658" s="20" t="s">
        <v>219</v>
      </c>
      <c r="E658" s="20" t="s">
        <v>126</v>
      </c>
      <c r="F658" s="20" t="s">
        <v>128</v>
      </c>
      <c r="G658" s="26">
        <f>G659</f>
        <v>4981.5</v>
      </c>
      <c r="H658" s="173"/>
    </row>
    <row r="659" spans="1:11" ht="31.5" x14ac:dyDescent="0.25">
      <c r="A659" s="25" t="s">
        <v>129</v>
      </c>
      <c r="B659" s="16">
        <v>906</v>
      </c>
      <c r="C659" s="20" t="s">
        <v>264</v>
      </c>
      <c r="D659" s="20" t="s">
        <v>219</v>
      </c>
      <c r="E659" s="20" t="s">
        <v>126</v>
      </c>
      <c r="F659" s="20" t="s">
        <v>130</v>
      </c>
      <c r="G659" s="153">
        <f>4975.7+5.8</f>
        <v>4981.5</v>
      </c>
      <c r="H659" s="154" t="s">
        <v>724</v>
      </c>
    </row>
    <row r="660" spans="1:11" ht="31.5" x14ac:dyDescent="0.25">
      <c r="A660" s="25" t="s">
        <v>131</v>
      </c>
      <c r="B660" s="16">
        <v>906</v>
      </c>
      <c r="C660" s="20" t="s">
        <v>264</v>
      </c>
      <c r="D660" s="20" t="s">
        <v>219</v>
      </c>
      <c r="E660" s="20" t="s">
        <v>126</v>
      </c>
      <c r="F660" s="20" t="s">
        <v>132</v>
      </c>
      <c r="G660" s="26">
        <f>G661</f>
        <v>157.19999999999999</v>
      </c>
      <c r="H660" s="173"/>
    </row>
    <row r="661" spans="1:11" ht="47.25" x14ac:dyDescent="0.25">
      <c r="A661" s="25" t="s">
        <v>133</v>
      </c>
      <c r="B661" s="16">
        <v>906</v>
      </c>
      <c r="C661" s="20" t="s">
        <v>264</v>
      </c>
      <c r="D661" s="20" t="s">
        <v>219</v>
      </c>
      <c r="E661" s="20" t="s">
        <v>126</v>
      </c>
      <c r="F661" s="20" t="s">
        <v>134</v>
      </c>
      <c r="G661" s="155">
        <f>163-5.8</f>
        <v>157.19999999999999</v>
      </c>
      <c r="H661" s="154" t="s">
        <v>723</v>
      </c>
    </row>
    <row r="662" spans="1:11" ht="15.75" x14ac:dyDescent="0.25">
      <c r="A662" s="25" t="s">
        <v>141</v>
      </c>
      <c r="B662" s="16">
        <v>906</v>
      </c>
      <c r="C662" s="20" t="s">
        <v>264</v>
      </c>
      <c r="D662" s="20" t="s">
        <v>219</v>
      </c>
      <c r="E662" s="20" t="s">
        <v>142</v>
      </c>
      <c r="F662" s="20"/>
      <c r="G662" s="26">
        <f>G666+G663</f>
        <v>13163.600000000002</v>
      </c>
      <c r="H662" s="173"/>
    </row>
    <row r="663" spans="1:11" ht="15.75" x14ac:dyDescent="0.25">
      <c r="A663" s="25" t="s">
        <v>478</v>
      </c>
      <c r="B663" s="16">
        <v>906</v>
      </c>
      <c r="C663" s="20" t="s">
        <v>264</v>
      </c>
      <c r="D663" s="20" t="s">
        <v>219</v>
      </c>
      <c r="E663" s="20" t="s">
        <v>479</v>
      </c>
      <c r="F663" s="20"/>
      <c r="G663" s="26">
        <f>G664</f>
        <v>375</v>
      </c>
      <c r="H663" s="173"/>
    </row>
    <row r="664" spans="1:11" ht="31.5" x14ac:dyDescent="0.25">
      <c r="A664" s="25" t="s">
        <v>131</v>
      </c>
      <c r="B664" s="16">
        <v>906</v>
      </c>
      <c r="C664" s="20" t="s">
        <v>264</v>
      </c>
      <c r="D664" s="20" t="s">
        <v>219</v>
      </c>
      <c r="E664" s="20" t="s">
        <v>479</v>
      </c>
      <c r="F664" s="20" t="s">
        <v>132</v>
      </c>
      <c r="G664" s="26">
        <f>G665</f>
        <v>375</v>
      </c>
      <c r="H664" s="173"/>
    </row>
    <row r="665" spans="1:11" ht="47.25" x14ac:dyDescent="0.25">
      <c r="A665" s="25" t="s">
        <v>133</v>
      </c>
      <c r="B665" s="16">
        <v>906</v>
      </c>
      <c r="C665" s="20" t="s">
        <v>264</v>
      </c>
      <c r="D665" s="20" t="s">
        <v>219</v>
      </c>
      <c r="E665" s="20" t="s">
        <v>479</v>
      </c>
      <c r="F665" s="20" t="s">
        <v>134</v>
      </c>
      <c r="G665" s="159">
        <f>206.3+143.7+25</f>
        <v>375</v>
      </c>
      <c r="H665" s="154" t="s">
        <v>740</v>
      </c>
      <c r="I665" s="114"/>
    </row>
    <row r="666" spans="1:11" ht="31.5" x14ac:dyDescent="0.25">
      <c r="A666" s="25" t="s">
        <v>340</v>
      </c>
      <c r="B666" s="16">
        <v>906</v>
      </c>
      <c r="C666" s="20" t="s">
        <v>264</v>
      </c>
      <c r="D666" s="20" t="s">
        <v>219</v>
      </c>
      <c r="E666" s="20" t="s">
        <v>341</v>
      </c>
      <c r="F666" s="20"/>
      <c r="G666" s="26">
        <f>G667+G669+G671</f>
        <v>12788.600000000002</v>
      </c>
      <c r="H666" s="173"/>
      <c r="J666" s="629"/>
      <c r="K666" s="629"/>
    </row>
    <row r="667" spans="1:11" ht="94.5" x14ac:dyDescent="0.25">
      <c r="A667" s="25" t="s">
        <v>127</v>
      </c>
      <c r="B667" s="16">
        <v>906</v>
      </c>
      <c r="C667" s="20" t="s">
        <v>264</v>
      </c>
      <c r="D667" s="20" t="s">
        <v>219</v>
      </c>
      <c r="E667" s="20" t="s">
        <v>341</v>
      </c>
      <c r="F667" s="20" t="s">
        <v>128</v>
      </c>
      <c r="G667" s="26">
        <f>G668</f>
        <v>11519.300000000001</v>
      </c>
      <c r="H667" s="173"/>
      <c r="J667" s="629"/>
      <c r="K667" s="629"/>
    </row>
    <row r="668" spans="1:11" ht="31.5" x14ac:dyDescent="0.25">
      <c r="A668" s="25" t="s">
        <v>342</v>
      </c>
      <c r="B668" s="16">
        <v>906</v>
      </c>
      <c r="C668" s="20" t="s">
        <v>264</v>
      </c>
      <c r="D668" s="20" t="s">
        <v>219</v>
      </c>
      <c r="E668" s="20" t="s">
        <v>341</v>
      </c>
      <c r="F668" s="20" t="s">
        <v>209</v>
      </c>
      <c r="G668" s="27">
        <f>11988.7-469.4</f>
        <v>11519.300000000001</v>
      </c>
      <c r="H668" s="105"/>
      <c r="I668" s="123"/>
      <c r="J668" s="629"/>
      <c r="K668" s="629"/>
    </row>
    <row r="669" spans="1:11" ht="31.5" x14ac:dyDescent="0.25">
      <c r="A669" s="25" t="s">
        <v>131</v>
      </c>
      <c r="B669" s="16">
        <v>906</v>
      </c>
      <c r="C669" s="20" t="s">
        <v>264</v>
      </c>
      <c r="D669" s="20" t="s">
        <v>219</v>
      </c>
      <c r="E669" s="20" t="s">
        <v>341</v>
      </c>
      <c r="F669" s="20" t="s">
        <v>132</v>
      </c>
      <c r="G669" s="26">
        <f>G670</f>
        <v>1264.0999999999999</v>
      </c>
      <c r="H669" s="173"/>
      <c r="J669" s="629"/>
      <c r="K669" s="629"/>
    </row>
    <row r="670" spans="1:11" ht="47.25" x14ac:dyDescent="0.25">
      <c r="A670" s="25" t="s">
        <v>133</v>
      </c>
      <c r="B670" s="16">
        <v>906</v>
      </c>
      <c r="C670" s="20" t="s">
        <v>264</v>
      </c>
      <c r="D670" s="20" t="s">
        <v>219</v>
      </c>
      <c r="E670" s="20" t="s">
        <v>341</v>
      </c>
      <c r="F670" s="20" t="s">
        <v>134</v>
      </c>
      <c r="G670" s="26">
        <f>1416.8-152.7</f>
        <v>1264.0999999999999</v>
      </c>
      <c r="H670" s="105"/>
      <c r="I670" s="123"/>
      <c r="J670" s="629"/>
      <c r="K670" s="629"/>
    </row>
    <row r="671" spans="1:11" ht="15.75" x14ac:dyDescent="0.25">
      <c r="A671" s="25" t="s">
        <v>135</v>
      </c>
      <c r="B671" s="16">
        <v>906</v>
      </c>
      <c r="C671" s="20" t="s">
        <v>264</v>
      </c>
      <c r="D671" s="20" t="s">
        <v>219</v>
      </c>
      <c r="E671" s="20" t="s">
        <v>341</v>
      </c>
      <c r="F671" s="20" t="s">
        <v>145</v>
      </c>
      <c r="G671" s="26">
        <f>G672</f>
        <v>5.2</v>
      </c>
      <c r="H671" s="173"/>
      <c r="J671" s="629"/>
      <c r="K671" s="629"/>
    </row>
    <row r="672" spans="1:11" ht="15.75" x14ac:dyDescent="0.25">
      <c r="A672" s="25" t="s">
        <v>568</v>
      </c>
      <c r="B672" s="16">
        <v>906</v>
      </c>
      <c r="C672" s="20" t="s">
        <v>264</v>
      </c>
      <c r="D672" s="20" t="s">
        <v>219</v>
      </c>
      <c r="E672" s="20" t="s">
        <v>341</v>
      </c>
      <c r="F672" s="20" t="s">
        <v>138</v>
      </c>
      <c r="G672" s="26">
        <f>7-1.8</f>
        <v>5.2</v>
      </c>
      <c r="H672" s="105"/>
      <c r="I672" s="123"/>
      <c r="J672" s="629"/>
      <c r="K672" s="629"/>
    </row>
    <row r="673" spans="1:10" ht="47.25" x14ac:dyDescent="0.25">
      <c r="A673" s="19" t="s">
        <v>480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3"/>
    </row>
    <row r="674" spans="1:10" ht="15.75" x14ac:dyDescent="0.25">
      <c r="A674" s="23" t="s">
        <v>263</v>
      </c>
      <c r="B674" s="19">
        <v>907</v>
      </c>
      <c r="C674" s="24" t="s">
        <v>468</v>
      </c>
      <c r="D674" s="24"/>
      <c r="E674" s="24"/>
      <c r="F674" s="24"/>
      <c r="G674" s="21">
        <f>G675</f>
        <v>11485.1</v>
      </c>
      <c r="H674" s="173"/>
    </row>
    <row r="675" spans="1:10" ht="15.75" x14ac:dyDescent="0.25">
      <c r="A675" s="23" t="s">
        <v>265</v>
      </c>
      <c r="B675" s="19">
        <v>907</v>
      </c>
      <c r="C675" s="24" t="s">
        <v>264</v>
      </c>
      <c r="D675" s="24" t="s">
        <v>215</v>
      </c>
      <c r="E675" s="24"/>
      <c r="F675" s="24"/>
      <c r="G675" s="21">
        <f>G676+G693</f>
        <v>11485.1</v>
      </c>
      <c r="H675" s="173"/>
      <c r="J675" s="115"/>
    </row>
    <row r="676" spans="1:10" ht="47.25" x14ac:dyDescent="0.25">
      <c r="A676" s="25" t="s">
        <v>481</v>
      </c>
      <c r="B676" s="16">
        <v>907</v>
      </c>
      <c r="C676" s="20" t="s">
        <v>264</v>
      </c>
      <c r="D676" s="20" t="s">
        <v>215</v>
      </c>
      <c r="E676" s="20" t="s">
        <v>482</v>
      </c>
      <c r="F676" s="20"/>
      <c r="G676" s="26">
        <f>G677</f>
        <v>10758</v>
      </c>
      <c r="H676" s="173"/>
    </row>
    <row r="677" spans="1:10" ht="47.25" x14ac:dyDescent="0.25">
      <c r="A677" s="25" t="s">
        <v>483</v>
      </c>
      <c r="B677" s="16">
        <v>907</v>
      </c>
      <c r="C677" s="20" t="s">
        <v>264</v>
      </c>
      <c r="D677" s="20" t="s">
        <v>215</v>
      </c>
      <c r="E677" s="20" t="s">
        <v>484</v>
      </c>
      <c r="F677" s="20"/>
      <c r="G677" s="26">
        <f>G678+G681+G684+G690+G687</f>
        <v>10758</v>
      </c>
      <c r="H677" s="173"/>
    </row>
    <row r="678" spans="1:10" ht="47.25" x14ac:dyDescent="0.25">
      <c r="A678" s="25" t="s">
        <v>270</v>
      </c>
      <c r="B678" s="16">
        <v>907</v>
      </c>
      <c r="C678" s="20" t="s">
        <v>264</v>
      </c>
      <c r="D678" s="20" t="s">
        <v>215</v>
      </c>
      <c r="E678" s="20" t="s">
        <v>485</v>
      </c>
      <c r="F678" s="20"/>
      <c r="G678" s="26">
        <f>G679</f>
        <v>10722</v>
      </c>
      <c r="H678" s="173"/>
    </row>
    <row r="679" spans="1:10" ht="47.25" x14ac:dyDescent="0.25">
      <c r="A679" s="25" t="s">
        <v>272</v>
      </c>
      <c r="B679" s="16">
        <v>907</v>
      </c>
      <c r="C679" s="20" t="s">
        <v>264</v>
      </c>
      <c r="D679" s="20" t="s">
        <v>215</v>
      </c>
      <c r="E679" s="20" t="s">
        <v>485</v>
      </c>
      <c r="F679" s="20" t="s">
        <v>273</v>
      </c>
      <c r="G679" s="26">
        <f>G680</f>
        <v>10722</v>
      </c>
      <c r="H679" s="173"/>
    </row>
    <row r="680" spans="1:10" ht="15.75" x14ac:dyDescent="0.25">
      <c r="A680" s="25" t="s">
        <v>274</v>
      </c>
      <c r="B680" s="16">
        <v>907</v>
      </c>
      <c r="C680" s="20" t="s">
        <v>264</v>
      </c>
      <c r="D680" s="20" t="s">
        <v>215</v>
      </c>
      <c r="E680" s="20" t="s">
        <v>485</v>
      </c>
      <c r="F680" s="20" t="s">
        <v>275</v>
      </c>
      <c r="G680" s="27">
        <f>10500+753.9-531.9</f>
        <v>10722</v>
      </c>
      <c r="H680" s="105"/>
      <c r="I680" s="124"/>
    </row>
    <row r="681" spans="1:10" ht="47.25" hidden="1" x14ac:dyDescent="0.25">
      <c r="A681" s="25" t="s">
        <v>278</v>
      </c>
      <c r="B681" s="16">
        <v>907</v>
      </c>
      <c r="C681" s="20" t="s">
        <v>264</v>
      </c>
      <c r="D681" s="20" t="s">
        <v>213</v>
      </c>
      <c r="E681" s="20" t="s">
        <v>486</v>
      </c>
      <c r="F681" s="20"/>
      <c r="G681" s="26">
        <f>G682</f>
        <v>0</v>
      </c>
      <c r="H681" s="173"/>
    </row>
    <row r="682" spans="1:10" ht="47.25" hidden="1" x14ac:dyDescent="0.25">
      <c r="A682" s="25" t="s">
        <v>272</v>
      </c>
      <c r="B682" s="16">
        <v>907</v>
      </c>
      <c r="C682" s="20" t="s">
        <v>264</v>
      </c>
      <c r="D682" s="20" t="s">
        <v>213</v>
      </c>
      <c r="E682" s="20" t="s">
        <v>486</v>
      </c>
      <c r="F682" s="20" t="s">
        <v>273</v>
      </c>
      <c r="G682" s="26">
        <f>G683</f>
        <v>0</v>
      </c>
      <c r="H682" s="173"/>
    </row>
    <row r="683" spans="1:10" ht="15.75" hidden="1" x14ac:dyDescent="0.25">
      <c r="A683" s="25" t="s">
        <v>274</v>
      </c>
      <c r="B683" s="16">
        <v>907</v>
      </c>
      <c r="C683" s="20" t="s">
        <v>264</v>
      </c>
      <c r="D683" s="20" t="s">
        <v>213</v>
      </c>
      <c r="E683" s="20" t="s">
        <v>486</v>
      </c>
      <c r="F683" s="20" t="s">
        <v>275</v>
      </c>
      <c r="G683" s="26">
        <v>0</v>
      </c>
      <c r="H683" s="173"/>
    </row>
    <row r="684" spans="1:10" ht="31.5" hidden="1" x14ac:dyDescent="0.25">
      <c r="A684" s="25" t="s">
        <v>280</v>
      </c>
      <c r="B684" s="16">
        <v>907</v>
      </c>
      <c r="C684" s="20" t="s">
        <v>264</v>
      </c>
      <c r="D684" s="20" t="s">
        <v>213</v>
      </c>
      <c r="E684" s="20" t="s">
        <v>487</v>
      </c>
      <c r="F684" s="20"/>
      <c r="G684" s="26">
        <f>G685</f>
        <v>0</v>
      </c>
      <c r="H684" s="173"/>
    </row>
    <row r="685" spans="1:10" ht="47.25" hidden="1" x14ac:dyDescent="0.25">
      <c r="A685" s="25" t="s">
        <v>272</v>
      </c>
      <c r="B685" s="16">
        <v>907</v>
      </c>
      <c r="C685" s="20" t="s">
        <v>264</v>
      </c>
      <c r="D685" s="20" t="s">
        <v>213</v>
      </c>
      <c r="E685" s="20" t="s">
        <v>487</v>
      </c>
      <c r="F685" s="20" t="s">
        <v>273</v>
      </c>
      <c r="G685" s="26">
        <f>G686</f>
        <v>0</v>
      </c>
      <c r="H685" s="173"/>
    </row>
    <row r="686" spans="1:10" ht="15.75" hidden="1" x14ac:dyDescent="0.25">
      <c r="A686" s="25" t="s">
        <v>274</v>
      </c>
      <c r="B686" s="16">
        <v>907</v>
      </c>
      <c r="C686" s="20" t="s">
        <v>264</v>
      </c>
      <c r="D686" s="20" t="s">
        <v>213</v>
      </c>
      <c r="E686" s="20" t="s">
        <v>487</v>
      </c>
      <c r="F686" s="20" t="s">
        <v>275</v>
      </c>
      <c r="G686" s="26">
        <v>0</v>
      </c>
      <c r="H686" s="173"/>
    </row>
    <row r="687" spans="1:10" ht="47.25" x14ac:dyDescent="0.25">
      <c r="A687" s="25" t="s">
        <v>282</v>
      </c>
      <c r="B687" s="16">
        <v>907</v>
      </c>
      <c r="C687" s="20" t="s">
        <v>264</v>
      </c>
      <c r="D687" s="20" t="s">
        <v>215</v>
      </c>
      <c r="E687" s="20" t="s">
        <v>488</v>
      </c>
      <c r="F687" s="20"/>
      <c r="G687" s="26">
        <f>G688</f>
        <v>36</v>
      </c>
      <c r="H687" s="173"/>
    </row>
    <row r="688" spans="1:10" ht="47.25" x14ac:dyDescent="0.25">
      <c r="A688" s="25" t="s">
        <v>272</v>
      </c>
      <c r="B688" s="16">
        <v>907</v>
      </c>
      <c r="C688" s="20" t="s">
        <v>264</v>
      </c>
      <c r="D688" s="20" t="s">
        <v>215</v>
      </c>
      <c r="E688" s="20" t="s">
        <v>488</v>
      </c>
      <c r="F688" s="20" t="s">
        <v>273</v>
      </c>
      <c r="G688" s="26">
        <f>G689</f>
        <v>36</v>
      </c>
      <c r="H688" s="173"/>
    </row>
    <row r="689" spans="1:10" ht="15.75" x14ac:dyDescent="0.25">
      <c r="A689" s="25" t="s">
        <v>274</v>
      </c>
      <c r="B689" s="16">
        <v>907</v>
      </c>
      <c r="C689" s="20" t="s">
        <v>264</v>
      </c>
      <c r="D689" s="20" t="s">
        <v>215</v>
      </c>
      <c r="E689" s="20" t="s">
        <v>488</v>
      </c>
      <c r="F689" s="20" t="s">
        <v>275</v>
      </c>
      <c r="G689" s="26">
        <v>36</v>
      </c>
      <c r="H689" s="173"/>
    </row>
    <row r="690" spans="1:10" ht="31.5" hidden="1" x14ac:dyDescent="0.25">
      <c r="A690" s="25" t="s">
        <v>284</v>
      </c>
      <c r="B690" s="16">
        <v>907</v>
      </c>
      <c r="C690" s="20" t="s">
        <v>264</v>
      </c>
      <c r="D690" s="20" t="s">
        <v>213</v>
      </c>
      <c r="E690" s="20" t="s">
        <v>489</v>
      </c>
      <c r="F690" s="20"/>
      <c r="G690" s="26">
        <f>G691</f>
        <v>0</v>
      </c>
      <c r="H690" s="173"/>
    </row>
    <row r="691" spans="1:10" ht="47.25" hidden="1" x14ac:dyDescent="0.25">
      <c r="A691" s="25" t="s">
        <v>272</v>
      </c>
      <c r="B691" s="16">
        <v>907</v>
      </c>
      <c r="C691" s="20" t="s">
        <v>264</v>
      </c>
      <c r="D691" s="20" t="s">
        <v>213</v>
      </c>
      <c r="E691" s="20" t="s">
        <v>489</v>
      </c>
      <c r="F691" s="20" t="s">
        <v>273</v>
      </c>
      <c r="G691" s="26">
        <f>G692</f>
        <v>0</v>
      </c>
      <c r="H691" s="173"/>
    </row>
    <row r="692" spans="1:10" ht="15.75" hidden="1" x14ac:dyDescent="0.25">
      <c r="A692" s="25" t="s">
        <v>274</v>
      </c>
      <c r="B692" s="16">
        <v>907</v>
      </c>
      <c r="C692" s="20" t="s">
        <v>264</v>
      </c>
      <c r="D692" s="20" t="s">
        <v>213</v>
      </c>
      <c r="E692" s="20" t="s">
        <v>489</v>
      </c>
      <c r="F692" s="20" t="s">
        <v>275</v>
      </c>
      <c r="G692" s="26">
        <v>0</v>
      </c>
      <c r="H692" s="173"/>
    </row>
    <row r="693" spans="1:10" ht="15.75" x14ac:dyDescent="0.25">
      <c r="A693" s="25" t="s">
        <v>121</v>
      </c>
      <c r="B693" s="16">
        <v>907</v>
      </c>
      <c r="C693" s="20" t="s">
        <v>264</v>
      </c>
      <c r="D693" s="20" t="s">
        <v>215</v>
      </c>
      <c r="E693" s="20" t="s">
        <v>122</v>
      </c>
      <c r="F693" s="20"/>
      <c r="G693" s="26">
        <f>G694</f>
        <v>727.1</v>
      </c>
      <c r="H693" s="173"/>
    </row>
    <row r="694" spans="1:10" ht="31.5" x14ac:dyDescent="0.25">
      <c r="A694" s="25" t="s">
        <v>185</v>
      </c>
      <c r="B694" s="16">
        <v>907</v>
      </c>
      <c r="C694" s="20" t="s">
        <v>264</v>
      </c>
      <c r="D694" s="20" t="s">
        <v>215</v>
      </c>
      <c r="E694" s="20" t="s">
        <v>186</v>
      </c>
      <c r="F694" s="20"/>
      <c r="G694" s="26">
        <f>G695+G698+G701</f>
        <v>727.1</v>
      </c>
      <c r="H694" s="173"/>
    </row>
    <row r="695" spans="1:10" ht="63" x14ac:dyDescent="0.25">
      <c r="A695" s="31" t="s">
        <v>289</v>
      </c>
      <c r="B695" s="16">
        <v>907</v>
      </c>
      <c r="C695" s="20" t="s">
        <v>264</v>
      </c>
      <c r="D695" s="20" t="s">
        <v>215</v>
      </c>
      <c r="E695" s="20" t="s">
        <v>290</v>
      </c>
      <c r="F695" s="20"/>
      <c r="G695" s="26">
        <f>G696</f>
        <v>50</v>
      </c>
      <c r="H695" s="173"/>
    </row>
    <row r="696" spans="1:10" ht="47.25" x14ac:dyDescent="0.25">
      <c r="A696" s="25" t="s">
        <v>272</v>
      </c>
      <c r="B696" s="16">
        <v>907</v>
      </c>
      <c r="C696" s="20" t="s">
        <v>264</v>
      </c>
      <c r="D696" s="20" t="s">
        <v>215</v>
      </c>
      <c r="E696" s="20" t="s">
        <v>290</v>
      </c>
      <c r="F696" s="20" t="s">
        <v>273</v>
      </c>
      <c r="G696" s="26">
        <f>G697</f>
        <v>50</v>
      </c>
      <c r="H696" s="173"/>
    </row>
    <row r="697" spans="1:10" ht="15.75" x14ac:dyDescent="0.25">
      <c r="A697" s="25" t="s">
        <v>274</v>
      </c>
      <c r="B697" s="16">
        <v>907</v>
      </c>
      <c r="C697" s="20" t="s">
        <v>264</v>
      </c>
      <c r="D697" s="20" t="s">
        <v>215</v>
      </c>
      <c r="E697" s="20" t="s">
        <v>290</v>
      </c>
      <c r="F697" s="20" t="s">
        <v>275</v>
      </c>
      <c r="G697" s="26">
        <v>50</v>
      </c>
      <c r="H697" s="173"/>
    </row>
    <row r="698" spans="1:10" ht="78.75" x14ac:dyDescent="0.25">
      <c r="A698" s="31" t="s">
        <v>291</v>
      </c>
      <c r="B698" s="16">
        <v>907</v>
      </c>
      <c r="C698" s="20" t="s">
        <v>264</v>
      </c>
      <c r="D698" s="20" t="s">
        <v>215</v>
      </c>
      <c r="E698" s="20" t="s">
        <v>292</v>
      </c>
      <c r="F698" s="20"/>
      <c r="G698" s="26">
        <f>G699</f>
        <v>197.3</v>
      </c>
      <c r="H698" s="173"/>
    </row>
    <row r="699" spans="1:10" ht="47.25" x14ac:dyDescent="0.25">
      <c r="A699" s="25" t="s">
        <v>272</v>
      </c>
      <c r="B699" s="16">
        <v>907</v>
      </c>
      <c r="C699" s="20" t="s">
        <v>264</v>
      </c>
      <c r="D699" s="20" t="s">
        <v>215</v>
      </c>
      <c r="E699" s="20" t="s">
        <v>292</v>
      </c>
      <c r="F699" s="20" t="s">
        <v>273</v>
      </c>
      <c r="G699" s="26">
        <f>G700</f>
        <v>197.3</v>
      </c>
      <c r="H699" s="173"/>
    </row>
    <row r="700" spans="1:10" ht="15.75" x14ac:dyDescent="0.25">
      <c r="A700" s="25" t="s">
        <v>274</v>
      </c>
      <c r="B700" s="16">
        <v>907</v>
      </c>
      <c r="C700" s="20" t="s">
        <v>264</v>
      </c>
      <c r="D700" s="20" t="s">
        <v>215</v>
      </c>
      <c r="E700" s="20" t="s">
        <v>292</v>
      </c>
      <c r="F700" s="20" t="s">
        <v>275</v>
      </c>
      <c r="G700" s="26">
        <f>200-2.7</f>
        <v>197.3</v>
      </c>
      <c r="H700" s="173"/>
      <c r="I700" s="114"/>
      <c r="J700" s="115"/>
    </row>
    <row r="701" spans="1:10" ht="110.25" x14ac:dyDescent="0.25">
      <c r="A701" s="31" t="s">
        <v>464</v>
      </c>
      <c r="B701" s="16">
        <v>907</v>
      </c>
      <c r="C701" s="20" t="s">
        <v>264</v>
      </c>
      <c r="D701" s="20" t="s">
        <v>215</v>
      </c>
      <c r="E701" s="20" t="s">
        <v>294</v>
      </c>
      <c r="F701" s="20"/>
      <c r="G701" s="26">
        <f>G702</f>
        <v>479.8</v>
      </c>
      <c r="H701" s="173"/>
    </row>
    <row r="702" spans="1:10" ht="47.25" x14ac:dyDescent="0.25">
      <c r="A702" s="25" t="s">
        <v>272</v>
      </c>
      <c r="B702" s="16">
        <v>907</v>
      </c>
      <c r="C702" s="20" t="s">
        <v>264</v>
      </c>
      <c r="D702" s="20" t="s">
        <v>215</v>
      </c>
      <c r="E702" s="20" t="s">
        <v>294</v>
      </c>
      <c r="F702" s="20" t="s">
        <v>273</v>
      </c>
      <c r="G702" s="26">
        <f>G703</f>
        <v>479.8</v>
      </c>
      <c r="H702" s="173"/>
    </row>
    <row r="703" spans="1:10" ht="15.75" x14ac:dyDescent="0.25">
      <c r="A703" s="25" t="s">
        <v>274</v>
      </c>
      <c r="B703" s="16">
        <v>907</v>
      </c>
      <c r="C703" s="20" t="s">
        <v>264</v>
      </c>
      <c r="D703" s="20" t="s">
        <v>215</v>
      </c>
      <c r="E703" s="20" t="s">
        <v>294</v>
      </c>
      <c r="F703" s="20" t="s">
        <v>275</v>
      </c>
      <c r="G703" s="26">
        <f>500-20.2</f>
        <v>479.8</v>
      </c>
      <c r="H703" s="173"/>
      <c r="I703" s="114"/>
    </row>
    <row r="704" spans="1:10" ht="15.75" x14ac:dyDescent="0.25">
      <c r="A704" s="23" t="s">
        <v>490</v>
      </c>
      <c r="B704" s="19">
        <v>907</v>
      </c>
      <c r="C704" s="24" t="s">
        <v>491</v>
      </c>
      <c r="D704" s="20"/>
      <c r="E704" s="20"/>
      <c r="F704" s="20"/>
      <c r="G704" s="21">
        <f>G705+G725</f>
        <v>34702.699999999997</v>
      </c>
      <c r="H704" s="173"/>
    </row>
    <row r="705" spans="1:9" ht="15.75" x14ac:dyDescent="0.25">
      <c r="A705" s="23" t="s">
        <v>492</v>
      </c>
      <c r="B705" s="19">
        <v>907</v>
      </c>
      <c r="C705" s="24" t="s">
        <v>491</v>
      </c>
      <c r="D705" s="24" t="s">
        <v>118</v>
      </c>
      <c r="E705" s="20"/>
      <c r="F705" s="20"/>
      <c r="G705" s="21">
        <f>G706+G721</f>
        <v>23173.9</v>
      </c>
      <c r="H705" s="173"/>
    </row>
    <row r="706" spans="1:9" ht="47.25" x14ac:dyDescent="0.25">
      <c r="A706" s="25" t="s">
        <v>481</v>
      </c>
      <c r="B706" s="16">
        <v>907</v>
      </c>
      <c r="C706" s="20" t="s">
        <v>491</v>
      </c>
      <c r="D706" s="20" t="s">
        <v>118</v>
      </c>
      <c r="E706" s="20" t="s">
        <v>482</v>
      </c>
      <c r="F706" s="20"/>
      <c r="G706" s="26">
        <f>G707</f>
        <v>22673.9</v>
      </c>
      <c r="H706" s="173"/>
    </row>
    <row r="707" spans="1:9" ht="47.25" x14ac:dyDescent="0.25">
      <c r="A707" s="25" t="s">
        <v>493</v>
      </c>
      <c r="B707" s="16">
        <v>907</v>
      </c>
      <c r="C707" s="20" t="s">
        <v>491</v>
      </c>
      <c r="D707" s="20" t="s">
        <v>118</v>
      </c>
      <c r="E707" s="20" t="s">
        <v>494</v>
      </c>
      <c r="F707" s="20"/>
      <c r="G707" s="26">
        <f>G708+G711+G714+G717</f>
        <v>22673.9</v>
      </c>
      <c r="H707" s="173"/>
    </row>
    <row r="708" spans="1:9" ht="47.25" x14ac:dyDescent="0.25">
      <c r="A708" s="25" t="s">
        <v>495</v>
      </c>
      <c r="B708" s="16">
        <v>907</v>
      </c>
      <c r="C708" s="20" t="s">
        <v>491</v>
      </c>
      <c r="D708" s="20" t="s">
        <v>118</v>
      </c>
      <c r="E708" s="20" t="s">
        <v>496</v>
      </c>
      <c r="F708" s="20"/>
      <c r="G708" s="26">
        <f>G709</f>
        <v>22376.400000000001</v>
      </c>
      <c r="H708" s="173"/>
    </row>
    <row r="709" spans="1:9" ht="47.25" x14ac:dyDescent="0.25">
      <c r="A709" s="25" t="s">
        <v>272</v>
      </c>
      <c r="B709" s="16">
        <v>907</v>
      </c>
      <c r="C709" s="20" t="s">
        <v>491</v>
      </c>
      <c r="D709" s="20" t="s">
        <v>118</v>
      </c>
      <c r="E709" s="20" t="s">
        <v>496</v>
      </c>
      <c r="F709" s="20" t="s">
        <v>273</v>
      </c>
      <c r="G709" s="26">
        <f>G710</f>
        <v>22376.400000000001</v>
      </c>
      <c r="H709" s="173"/>
    </row>
    <row r="710" spans="1:9" ht="15.75" x14ac:dyDescent="0.25">
      <c r="A710" s="25" t="s">
        <v>274</v>
      </c>
      <c r="B710" s="16">
        <v>907</v>
      </c>
      <c r="C710" s="20" t="s">
        <v>491</v>
      </c>
      <c r="D710" s="20" t="s">
        <v>118</v>
      </c>
      <c r="E710" s="20" t="s">
        <v>496</v>
      </c>
      <c r="F710" s="20" t="s">
        <v>275</v>
      </c>
      <c r="G710" s="160">
        <f>10890+1490.1+9887.3-199+308</f>
        <v>22376.400000000001</v>
      </c>
      <c r="H710" s="105" t="s">
        <v>733</v>
      </c>
      <c r="I710" s="124"/>
    </row>
    <row r="711" spans="1:9" ht="47.25" x14ac:dyDescent="0.25">
      <c r="A711" s="25" t="s">
        <v>278</v>
      </c>
      <c r="B711" s="16">
        <v>907</v>
      </c>
      <c r="C711" s="20" t="s">
        <v>491</v>
      </c>
      <c r="D711" s="20" t="s">
        <v>118</v>
      </c>
      <c r="E711" s="20" t="s">
        <v>497</v>
      </c>
      <c r="F711" s="20"/>
      <c r="G711" s="26">
        <f>G712</f>
        <v>297.5</v>
      </c>
      <c r="H711" s="173"/>
    </row>
    <row r="712" spans="1:9" ht="47.25" x14ac:dyDescent="0.25">
      <c r="A712" s="25" t="s">
        <v>272</v>
      </c>
      <c r="B712" s="16">
        <v>907</v>
      </c>
      <c r="C712" s="20" t="s">
        <v>491</v>
      </c>
      <c r="D712" s="20" t="s">
        <v>118</v>
      </c>
      <c r="E712" s="20" t="s">
        <v>497</v>
      </c>
      <c r="F712" s="20" t="s">
        <v>273</v>
      </c>
      <c r="G712" s="26">
        <f>G713</f>
        <v>297.5</v>
      </c>
      <c r="H712" s="173"/>
    </row>
    <row r="713" spans="1:9" ht="15.75" x14ac:dyDescent="0.25">
      <c r="A713" s="25" t="s">
        <v>274</v>
      </c>
      <c r="B713" s="16">
        <v>907</v>
      </c>
      <c r="C713" s="20" t="s">
        <v>491</v>
      </c>
      <c r="D713" s="20" t="s">
        <v>118</v>
      </c>
      <c r="E713" s="20" t="s">
        <v>497</v>
      </c>
      <c r="F713" s="20" t="s">
        <v>275</v>
      </c>
      <c r="G713" s="155">
        <f>797.5-500</f>
        <v>297.5</v>
      </c>
      <c r="H713" s="154" t="s">
        <v>731</v>
      </c>
    </row>
    <row r="714" spans="1:9" ht="31.5" hidden="1" x14ac:dyDescent="0.25">
      <c r="A714" s="25" t="s">
        <v>280</v>
      </c>
      <c r="B714" s="16">
        <v>907</v>
      </c>
      <c r="C714" s="20" t="s">
        <v>491</v>
      </c>
      <c r="D714" s="20" t="s">
        <v>118</v>
      </c>
      <c r="E714" s="20" t="s">
        <v>498</v>
      </c>
      <c r="F714" s="20"/>
      <c r="G714" s="26">
        <f>G715</f>
        <v>0</v>
      </c>
      <c r="H714" s="173"/>
    </row>
    <row r="715" spans="1:9" ht="47.25" hidden="1" x14ac:dyDescent="0.25">
      <c r="A715" s="25" t="s">
        <v>272</v>
      </c>
      <c r="B715" s="16">
        <v>907</v>
      </c>
      <c r="C715" s="20" t="s">
        <v>491</v>
      </c>
      <c r="D715" s="20" t="s">
        <v>118</v>
      </c>
      <c r="E715" s="20" t="s">
        <v>498</v>
      </c>
      <c r="F715" s="20" t="s">
        <v>273</v>
      </c>
      <c r="G715" s="26">
        <f>G716</f>
        <v>0</v>
      </c>
      <c r="H715" s="173"/>
    </row>
    <row r="716" spans="1:9" ht="15.75" hidden="1" x14ac:dyDescent="0.25">
      <c r="A716" s="25" t="s">
        <v>274</v>
      </c>
      <c r="B716" s="16">
        <v>907</v>
      </c>
      <c r="C716" s="20" t="s">
        <v>491</v>
      </c>
      <c r="D716" s="20" t="s">
        <v>118</v>
      </c>
      <c r="E716" s="20" t="s">
        <v>498</v>
      </c>
      <c r="F716" s="20" t="s">
        <v>275</v>
      </c>
      <c r="G716" s="26">
        <v>0</v>
      </c>
      <c r="H716" s="173"/>
    </row>
    <row r="717" spans="1:9" ht="31.5" hidden="1" x14ac:dyDescent="0.25">
      <c r="A717" s="25" t="s">
        <v>284</v>
      </c>
      <c r="B717" s="16">
        <v>907</v>
      </c>
      <c r="C717" s="20" t="s">
        <v>491</v>
      </c>
      <c r="D717" s="20" t="s">
        <v>118</v>
      </c>
      <c r="E717" s="20" t="s">
        <v>499</v>
      </c>
      <c r="F717" s="20"/>
      <c r="G717" s="26">
        <f>G718</f>
        <v>0</v>
      </c>
      <c r="H717" s="173"/>
    </row>
    <row r="718" spans="1:9" ht="47.25" hidden="1" x14ac:dyDescent="0.25">
      <c r="A718" s="25" t="s">
        <v>272</v>
      </c>
      <c r="B718" s="16">
        <v>907</v>
      </c>
      <c r="C718" s="20" t="s">
        <v>491</v>
      </c>
      <c r="D718" s="20" t="s">
        <v>118</v>
      </c>
      <c r="E718" s="20" t="s">
        <v>499</v>
      </c>
      <c r="F718" s="20" t="s">
        <v>273</v>
      </c>
      <c r="G718" s="26">
        <f>G719</f>
        <v>0</v>
      </c>
      <c r="H718" s="173"/>
    </row>
    <row r="719" spans="1:9" ht="15.75" hidden="1" x14ac:dyDescent="0.25">
      <c r="A719" s="25" t="s">
        <v>274</v>
      </c>
      <c r="B719" s="16">
        <v>907</v>
      </c>
      <c r="C719" s="20" t="s">
        <v>491</v>
      </c>
      <c r="D719" s="20" t="s">
        <v>118</v>
      </c>
      <c r="E719" s="20" t="s">
        <v>499</v>
      </c>
      <c r="F719" s="20" t="s">
        <v>275</v>
      </c>
      <c r="G719" s="26">
        <v>0</v>
      </c>
      <c r="H719" s="173"/>
    </row>
    <row r="720" spans="1:9" ht="15.75" x14ac:dyDescent="0.25">
      <c r="A720" s="25" t="s">
        <v>121</v>
      </c>
      <c r="B720" s="16">
        <v>907</v>
      </c>
      <c r="C720" s="20" t="s">
        <v>491</v>
      </c>
      <c r="D720" s="20" t="s">
        <v>118</v>
      </c>
      <c r="E720" s="20" t="s">
        <v>122</v>
      </c>
      <c r="F720" s="20"/>
      <c r="G720" s="26">
        <f>G721</f>
        <v>500</v>
      </c>
      <c r="H720" s="173"/>
    </row>
    <row r="721" spans="1:9" ht="31.5" x14ac:dyDescent="0.25">
      <c r="A721" s="25" t="s">
        <v>185</v>
      </c>
      <c r="B721" s="16">
        <v>907</v>
      </c>
      <c r="C721" s="20" t="s">
        <v>491</v>
      </c>
      <c r="D721" s="20" t="s">
        <v>118</v>
      </c>
      <c r="E721" s="20" t="s">
        <v>186</v>
      </c>
      <c r="F721" s="20"/>
      <c r="G721" s="26">
        <f>G722</f>
        <v>500</v>
      </c>
      <c r="H721" s="173"/>
    </row>
    <row r="722" spans="1:9" ht="31.5" x14ac:dyDescent="0.25">
      <c r="A722" s="25" t="s">
        <v>730</v>
      </c>
      <c r="B722" s="16">
        <v>907</v>
      </c>
      <c r="C722" s="20" t="s">
        <v>491</v>
      </c>
      <c r="D722" s="20" t="s">
        <v>118</v>
      </c>
      <c r="E722" s="20" t="s">
        <v>728</v>
      </c>
      <c r="F722" s="20"/>
      <c r="G722" s="26">
        <f>G724</f>
        <v>500</v>
      </c>
      <c r="H722" s="173"/>
    </row>
    <row r="723" spans="1:9" ht="47.25" x14ac:dyDescent="0.25">
      <c r="A723" s="25" t="s">
        <v>272</v>
      </c>
      <c r="B723" s="16">
        <v>907</v>
      </c>
      <c r="C723" s="20" t="s">
        <v>491</v>
      </c>
      <c r="D723" s="20" t="s">
        <v>118</v>
      </c>
      <c r="E723" s="20" t="s">
        <v>728</v>
      </c>
      <c r="F723" s="20" t="s">
        <v>273</v>
      </c>
      <c r="G723" s="26">
        <f>G724</f>
        <v>500</v>
      </c>
      <c r="H723" s="173"/>
    </row>
    <row r="724" spans="1:9" ht="15.75" x14ac:dyDescent="0.25">
      <c r="A724" s="25" t="s">
        <v>274</v>
      </c>
      <c r="B724" s="16">
        <v>907</v>
      </c>
      <c r="C724" s="20" t="s">
        <v>491</v>
      </c>
      <c r="D724" s="20" t="s">
        <v>118</v>
      </c>
      <c r="E724" s="20" t="s">
        <v>728</v>
      </c>
      <c r="F724" s="20" t="s">
        <v>275</v>
      </c>
      <c r="G724" s="155">
        <v>500</v>
      </c>
      <c r="H724" s="154" t="s">
        <v>732</v>
      </c>
    </row>
    <row r="725" spans="1:9" ht="31.5" x14ac:dyDescent="0.25">
      <c r="A725" s="23" t="s">
        <v>500</v>
      </c>
      <c r="B725" s="19">
        <v>907</v>
      </c>
      <c r="C725" s="24" t="s">
        <v>491</v>
      </c>
      <c r="D725" s="24" t="s">
        <v>234</v>
      </c>
      <c r="E725" s="24"/>
      <c r="F725" s="24"/>
      <c r="G725" s="21">
        <f>G733+G726</f>
        <v>11528.8</v>
      </c>
      <c r="H725" s="173"/>
    </row>
    <row r="726" spans="1:9" ht="47.25" x14ac:dyDescent="0.25">
      <c r="A726" s="29" t="s">
        <v>481</v>
      </c>
      <c r="B726" s="16">
        <v>907</v>
      </c>
      <c r="C726" s="20" t="s">
        <v>491</v>
      </c>
      <c r="D726" s="20" t="s">
        <v>234</v>
      </c>
      <c r="E726" s="40" t="s">
        <v>482</v>
      </c>
      <c r="F726" s="20"/>
      <c r="G726" s="26">
        <f>G727</f>
        <v>3047</v>
      </c>
      <c r="H726" s="173"/>
    </row>
    <row r="727" spans="1:9" ht="47.25" x14ac:dyDescent="0.25">
      <c r="A727" s="45" t="s">
        <v>501</v>
      </c>
      <c r="B727" s="16">
        <v>907</v>
      </c>
      <c r="C727" s="20" t="s">
        <v>491</v>
      </c>
      <c r="D727" s="20" t="s">
        <v>234</v>
      </c>
      <c r="E727" s="40" t="s">
        <v>502</v>
      </c>
      <c r="F727" s="20"/>
      <c r="G727" s="26">
        <f>G728</f>
        <v>3047</v>
      </c>
      <c r="H727" s="173"/>
    </row>
    <row r="728" spans="1:9" ht="31.5" x14ac:dyDescent="0.25">
      <c r="A728" s="29" t="s">
        <v>157</v>
      </c>
      <c r="B728" s="16">
        <v>907</v>
      </c>
      <c r="C728" s="20" t="s">
        <v>491</v>
      </c>
      <c r="D728" s="20" t="s">
        <v>234</v>
      </c>
      <c r="E728" s="40" t="s">
        <v>503</v>
      </c>
      <c r="F728" s="20"/>
      <c r="G728" s="26">
        <f>G731+G729</f>
        <v>3047</v>
      </c>
      <c r="H728" s="173"/>
    </row>
    <row r="729" spans="1:9" ht="94.5" x14ac:dyDescent="0.25">
      <c r="A729" s="25" t="s">
        <v>127</v>
      </c>
      <c r="B729" s="16">
        <v>907</v>
      </c>
      <c r="C729" s="20" t="s">
        <v>491</v>
      </c>
      <c r="D729" s="20" t="s">
        <v>234</v>
      </c>
      <c r="E729" s="40" t="s">
        <v>503</v>
      </c>
      <c r="F729" s="20" t="s">
        <v>128</v>
      </c>
      <c r="G729" s="26">
        <f>G730</f>
        <v>2111</v>
      </c>
      <c r="H729" s="173"/>
    </row>
    <row r="730" spans="1:9" ht="31.5" x14ac:dyDescent="0.25">
      <c r="A730" s="25" t="s">
        <v>129</v>
      </c>
      <c r="B730" s="16">
        <v>907</v>
      </c>
      <c r="C730" s="20" t="s">
        <v>491</v>
      </c>
      <c r="D730" s="20" t="s">
        <v>234</v>
      </c>
      <c r="E730" s="40" t="s">
        <v>503</v>
      </c>
      <c r="F730" s="20" t="s">
        <v>130</v>
      </c>
      <c r="G730" s="26">
        <v>2111</v>
      </c>
      <c r="H730" s="173"/>
      <c r="I730" s="114"/>
    </row>
    <row r="731" spans="1:9" ht="31.5" x14ac:dyDescent="0.25">
      <c r="A731" s="29" t="s">
        <v>131</v>
      </c>
      <c r="B731" s="16">
        <v>907</v>
      </c>
      <c r="C731" s="20" t="s">
        <v>491</v>
      </c>
      <c r="D731" s="20" t="s">
        <v>234</v>
      </c>
      <c r="E731" s="40" t="s">
        <v>503</v>
      </c>
      <c r="F731" s="20" t="s">
        <v>132</v>
      </c>
      <c r="G731" s="26">
        <f>G732</f>
        <v>936</v>
      </c>
      <c r="H731" s="173"/>
    </row>
    <row r="732" spans="1:9" ht="47.25" x14ac:dyDescent="0.25">
      <c r="A732" s="29" t="s">
        <v>133</v>
      </c>
      <c r="B732" s="16">
        <v>907</v>
      </c>
      <c r="C732" s="20" t="s">
        <v>491</v>
      </c>
      <c r="D732" s="20" t="s">
        <v>234</v>
      </c>
      <c r="E732" s="40" t="s">
        <v>503</v>
      </c>
      <c r="F732" s="20" t="s">
        <v>134</v>
      </c>
      <c r="G732" s="26">
        <f>3047-2111</f>
        <v>936</v>
      </c>
      <c r="H732" s="173"/>
      <c r="I732" s="114"/>
    </row>
    <row r="733" spans="1:9" ht="15.75" x14ac:dyDescent="0.25">
      <c r="A733" s="25" t="s">
        <v>121</v>
      </c>
      <c r="B733" s="16">
        <v>907</v>
      </c>
      <c r="C733" s="20" t="s">
        <v>491</v>
      </c>
      <c r="D733" s="20" t="s">
        <v>234</v>
      </c>
      <c r="E733" s="20" t="s">
        <v>122</v>
      </c>
      <c r="F733" s="20"/>
      <c r="G733" s="26">
        <f>G734+G740</f>
        <v>8481.7999999999993</v>
      </c>
      <c r="H733" s="173"/>
    </row>
    <row r="734" spans="1:9" ht="31.5" x14ac:dyDescent="0.25">
      <c r="A734" s="25" t="s">
        <v>123</v>
      </c>
      <c r="B734" s="16">
        <v>907</v>
      </c>
      <c r="C734" s="20" t="s">
        <v>491</v>
      </c>
      <c r="D734" s="20" t="s">
        <v>234</v>
      </c>
      <c r="E734" s="20" t="s">
        <v>124</v>
      </c>
      <c r="F734" s="20"/>
      <c r="G734" s="26">
        <f>G735</f>
        <v>3599.8</v>
      </c>
      <c r="H734" s="173"/>
    </row>
    <row r="735" spans="1:9" ht="47.25" x14ac:dyDescent="0.25">
      <c r="A735" s="25" t="s">
        <v>125</v>
      </c>
      <c r="B735" s="16">
        <v>907</v>
      </c>
      <c r="C735" s="20" t="s">
        <v>491</v>
      </c>
      <c r="D735" s="20" t="s">
        <v>234</v>
      </c>
      <c r="E735" s="20" t="s">
        <v>126</v>
      </c>
      <c r="F735" s="20"/>
      <c r="G735" s="26">
        <f>G736+G738</f>
        <v>3599.8</v>
      </c>
      <c r="H735" s="173"/>
    </row>
    <row r="736" spans="1:9" ht="94.5" x14ac:dyDescent="0.25">
      <c r="A736" s="25" t="s">
        <v>127</v>
      </c>
      <c r="B736" s="16">
        <v>907</v>
      </c>
      <c r="C736" s="20" t="s">
        <v>491</v>
      </c>
      <c r="D736" s="20" t="s">
        <v>234</v>
      </c>
      <c r="E736" s="20" t="s">
        <v>126</v>
      </c>
      <c r="F736" s="20" t="s">
        <v>128</v>
      </c>
      <c r="G736" s="26">
        <f>G737</f>
        <v>3599.8</v>
      </c>
      <c r="H736" s="173"/>
    </row>
    <row r="737" spans="1:12" ht="31.5" x14ac:dyDescent="0.25">
      <c r="A737" s="25" t="s">
        <v>129</v>
      </c>
      <c r="B737" s="16">
        <v>907</v>
      </c>
      <c r="C737" s="20" t="s">
        <v>491</v>
      </c>
      <c r="D737" s="20" t="s">
        <v>234</v>
      </c>
      <c r="E737" s="20" t="s">
        <v>126</v>
      </c>
      <c r="F737" s="20" t="s">
        <v>130</v>
      </c>
      <c r="G737" s="27">
        <v>3599.8</v>
      </c>
      <c r="H737" s="173"/>
    </row>
    <row r="738" spans="1:12" ht="31.5" hidden="1" x14ac:dyDescent="0.25">
      <c r="A738" s="25" t="s">
        <v>131</v>
      </c>
      <c r="B738" s="16">
        <v>907</v>
      </c>
      <c r="C738" s="20" t="s">
        <v>491</v>
      </c>
      <c r="D738" s="20" t="s">
        <v>234</v>
      </c>
      <c r="E738" s="20" t="s">
        <v>126</v>
      </c>
      <c r="F738" s="20" t="s">
        <v>132</v>
      </c>
      <c r="G738" s="26">
        <f>G739</f>
        <v>0</v>
      </c>
      <c r="H738" s="173"/>
    </row>
    <row r="739" spans="1:12" ht="47.25" hidden="1" x14ac:dyDescent="0.25">
      <c r="A739" s="25" t="s">
        <v>133</v>
      </c>
      <c r="B739" s="16">
        <v>907</v>
      </c>
      <c r="C739" s="20" t="s">
        <v>491</v>
      </c>
      <c r="D739" s="20" t="s">
        <v>234</v>
      </c>
      <c r="E739" s="20" t="s">
        <v>126</v>
      </c>
      <c r="F739" s="20" t="s">
        <v>134</v>
      </c>
      <c r="G739" s="26"/>
      <c r="H739" s="173"/>
    </row>
    <row r="740" spans="1:12" ht="15.75" x14ac:dyDescent="0.25">
      <c r="A740" s="25" t="s">
        <v>141</v>
      </c>
      <c r="B740" s="16">
        <v>907</v>
      </c>
      <c r="C740" s="20" t="s">
        <v>491</v>
      </c>
      <c r="D740" s="20" t="s">
        <v>234</v>
      </c>
      <c r="E740" s="20" t="s">
        <v>142</v>
      </c>
      <c r="F740" s="20"/>
      <c r="G740" s="26">
        <f>G741</f>
        <v>4882</v>
      </c>
      <c r="H740" s="173"/>
    </row>
    <row r="741" spans="1:12" ht="31.5" x14ac:dyDescent="0.25">
      <c r="A741" s="25" t="s">
        <v>340</v>
      </c>
      <c r="B741" s="16">
        <v>907</v>
      </c>
      <c r="C741" s="20" t="s">
        <v>491</v>
      </c>
      <c r="D741" s="20" t="s">
        <v>234</v>
      </c>
      <c r="E741" s="20" t="s">
        <v>341</v>
      </c>
      <c r="F741" s="20"/>
      <c r="G741" s="26">
        <f>G742+G744+G746</f>
        <v>4882</v>
      </c>
      <c r="H741" s="173"/>
      <c r="J741" s="629"/>
      <c r="K741" s="629"/>
    </row>
    <row r="742" spans="1:12" ht="94.5" x14ac:dyDescent="0.25">
      <c r="A742" s="25" t="s">
        <v>127</v>
      </c>
      <c r="B742" s="16">
        <v>907</v>
      </c>
      <c r="C742" s="20" t="s">
        <v>491</v>
      </c>
      <c r="D742" s="20" t="s">
        <v>234</v>
      </c>
      <c r="E742" s="20" t="s">
        <v>341</v>
      </c>
      <c r="F742" s="20" t="s">
        <v>128</v>
      </c>
      <c r="G742" s="26">
        <f>G743</f>
        <v>3660.7</v>
      </c>
      <c r="H742" s="173"/>
      <c r="J742" s="629"/>
      <c r="K742" s="629"/>
    </row>
    <row r="743" spans="1:12" ht="31.5" x14ac:dyDescent="0.25">
      <c r="A743" s="25" t="s">
        <v>342</v>
      </c>
      <c r="B743" s="16">
        <v>907</v>
      </c>
      <c r="C743" s="20" t="s">
        <v>491</v>
      </c>
      <c r="D743" s="20" t="s">
        <v>234</v>
      </c>
      <c r="E743" s="20" t="s">
        <v>341</v>
      </c>
      <c r="F743" s="20" t="s">
        <v>209</v>
      </c>
      <c r="G743" s="27">
        <f>4240.2-579.5</f>
        <v>3660.7</v>
      </c>
      <c r="H743" s="105"/>
      <c r="I743" s="123"/>
      <c r="J743" s="629"/>
      <c r="K743" s="629"/>
    </row>
    <row r="744" spans="1:12" ht="31.5" x14ac:dyDescent="0.25">
      <c r="A744" s="25" t="s">
        <v>131</v>
      </c>
      <c r="B744" s="16">
        <v>907</v>
      </c>
      <c r="C744" s="20" t="s">
        <v>491</v>
      </c>
      <c r="D744" s="20" t="s">
        <v>234</v>
      </c>
      <c r="E744" s="20" t="s">
        <v>341</v>
      </c>
      <c r="F744" s="20" t="s">
        <v>132</v>
      </c>
      <c r="G744" s="26">
        <f>G745</f>
        <v>1194.1999999999998</v>
      </c>
      <c r="H744" s="173"/>
      <c r="J744" s="629"/>
      <c r="K744" s="629"/>
    </row>
    <row r="745" spans="1:12" ht="47.25" x14ac:dyDescent="0.25">
      <c r="A745" s="25" t="s">
        <v>133</v>
      </c>
      <c r="B745" s="16">
        <v>907</v>
      </c>
      <c r="C745" s="20" t="s">
        <v>491</v>
      </c>
      <c r="D745" s="20" t="s">
        <v>234</v>
      </c>
      <c r="E745" s="20" t="s">
        <v>341</v>
      </c>
      <c r="F745" s="20" t="s">
        <v>134</v>
      </c>
      <c r="G745" s="27">
        <f>1339.6-145.4</f>
        <v>1194.1999999999998</v>
      </c>
      <c r="H745" s="105"/>
      <c r="I745" s="123"/>
      <c r="J745" s="629"/>
      <c r="K745" s="629"/>
    </row>
    <row r="746" spans="1:12" ht="15.75" x14ac:dyDescent="0.25">
      <c r="A746" s="25" t="s">
        <v>135</v>
      </c>
      <c r="B746" s="16">
        <v>907</v>
      </c>
      <c r="C746" s="20" t="s">
        <v>491</v>
      </c>
      <c r="D746" s="20" t="s">
        <v>234</v>
      </c>
      <c r="E746" s="20" t="s">
        <v>341</v>
      </c>
      <c r="F746" s="20" t="s">
        <v>145</v>
      </c>
      <c r="G746" s="26">
        <f>G747</f>
        <v>27.1</v>
      </c>
      <c r="H746" s="173"/>
      <c r="J746" s="629"/>
      <c r="K746" s="629"/>
    </row>
    <row r="747" spans="1:12" ht="15.75" x14ac:dyDescent="0.25">
      <c r="A747" s="25" t="s">
        <v>568</v>
      </c>
      <c r="B747" s="16">
        <v>907</v>
      </c>
      <c r="C747" s="20" t="s">
        <v>491</v>
      </c>
      <c r="D747" s="20" t="s">
        <v>234</v>
      </c>
      <c r="E747" s="20" t="s">
        <v>341</v>
      </c>
      <c r="F747" s="20" t="s">
        <v>138</v>
      </c>
      <c r="G747" s="26">
        <f>27.1</f>
        <v>27.1</v>
      </c>
      <c r="H747" s="105"/>
      <c r="I747" s="123"/>
      <c r="J747" s="629"/>
      <c r="K747" s="629"/>
    </row>
    <row r="748" spans="1:12" ht="47.25" x14ac:dyDescent="0.25">
      <c r="A748" s="19" t="s">
        <v>504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3"/>
      <c r="L748" s="115"/>
    </row>
    <row r="749" spans="1:12" ht="15.75" x14ac:dyDescent="0.25">
      <c r="A749" s="34" t="s">
        <v>117</v>
      </c>
      <c r="B749" s="19">
        <v>908</v>
      </c>
      <c r="C749" s="24" t="s">
        <v>118</v>
      </c>
      <c r="D749" s="20"/>
      <c r="E749" s="20"/>
      <c r="F749" s="20"/>
      <c r="G749" s="21">
        <f>G750</f>
        <v>16714.8</v>
      </c>
      <c r="H749" s="173"/>
      <c r="L749" s="115"/>
    </row>
    <row r="750" spans="1:12" ht="15.75" x14ac:dyDescent="0.25">
      <c r="A750" s="34" t="s">
        <v>139</v>
      </c>
      <c r="B750" s="19">
        <v>908</v>
      </c>
      <c r="C750" s="24" t="s">
        <v>118</v>
      </c>
      <c r="D750" s="24" t="s">
        <v>140</v>
      </c>
      <c r="E750" s="20"/>
      <c r="F750" s="20"/>
      <c r="G750" s="21">
        <f>G752+G755</f>
        <v>16714.8</v>
      </c>
      <c r="H750" s="173"/>
      <c r="L750" s="115"/>
    </row>
    <row r="751" spans="1:12" ht="15.75" x14ac:dyDescent="0.25">
      <c r="A751" s="25" t="s">
        <v>141</v>
      </c>
      <c r="B751" s="16">
        <v>908</v>
      </c>
      <c r="C751" s="20" t="s">
        <v>118</v>
      </c>
      <c r="D751" s="20" t="s">
        <v>140</v>
      </c>
      <c r="E751" s="20" t="s">
        <v>142</v>
      </c>
      <c r="F751" s="20"/>
      <c r="G751" s="26">
        <f>G752</f>
        <v>262.5</v>
      </c>
      <c r="H751" s="173"/>
      <c r="L751" s="115"/>
    </row>
    <row r="752" spans="1:12" ht="15.75" x14ac:dyDescent="0.25">
      <c r="A752" s="25" t="s">
        <v>143</v>
      </c>
      <c r="B752" s="16">
        <v>908</v>
      </c>
      <c r="C752" s="20" t="s">
        <v>118</v>
      </c>
      <c r="D752" s="20" t="s">
        <v>140</v>
      </c>
      <c r="E752" s="20" t="s">
        <v>144</v>
      </c>
      <c r="F752" s="20"/>
      <c r="G752" s="26">
        <f>G753</f>
        <v>262.5</v>
      </c>
      <c r="H752" s="173"/>
      <c r="L752" s="115"/>
    </row>
    <row r="753" spans="1:12" ht="15.75" x14ac:dyDescent="0.25">
      <c r="A753" s="25" t="s">
        <v>135</v>
      </c>
      <c r="B753" s="16">
        <v>908</v>
      </c>
      <c r="C753" s="20" t="s">
        <v>118</v>
      </c>
      <c r="D753" s="20" t="s">
        <v>140</v>
      </c>
      <c r="E753" s="20" t="s">
        <v>144</v>
      </c>
      <c r="F753" s="20" t="s">
        <v>145</v>
      </c>
      <c r="G753" s="26">
        <f>G754</f>
        <v>262.5</v>
      </c>
      <c r="H753" s="173"/>
      <c r="L753" s="115"/>
    </row>
    <row r="754" spans="1:12" ht="15.75" x14ac:dyDescent="0.25">
      <c r="A754" s="25" t="s">
        <v>568</v>
      </c>
      <c r="B754" s="16">
        <v>908</v>
      </c>
      <c r="C754" s="20" t="s">
        <v>118</v>
      </c>
      <c r="D754" s="20" t="s">
        <v>140</v>
      </c>
      <c r="E754" s="20" t="s">
        <v>144</v>
      </c>
      <c r="F754" s="20" t="s">
        <v>138</v>
      </c>
      <c r="G754" s="26">
        <v>262.5</v>
      </c>
      <c r="H754" s="105"/>
      <c r="I754" s="123"/>
      <c r="L754" s="115"/>
    </row>
    <row r="755" spans="1:12" ht="31.5" x14ac:dyDescent="0.25">
      <c r="A755" s="25" t="s">
        <v>584</v>
      </c>
      <c r="B755" s="16">
        <v>908</v>
      </c>
      <c r="C755" s="20" t="s">
        <v>118</v>
      </c>
      <c r="D755" s="20" t="s">
        <v>140</v>
      </c>
      <c r="E755" s="20" t="s">
        <v>585</v>
      </c>
      <c r="F755" s="20"/>
      <c r="G755" s="27">
        <f>G756</f>
        <v>16452.3</v>
      </c>
      <c r="H755" s="173"/>
    </row>
    <row r="756" spans="1:12" ht="31.5" x14ac:dyDescent="0.25">
      <c r="A756" s="25" t="s">
        <v>310</v>
      </c>
      <c r="B756" s="16">
        <v>908</v>
      </c>
      <c r="C756" s="20" t="s">
        <v>118</v>
      </c>
      <c r="D756" s="20" t="s">
        <v>140</v>
      </c>
      <c r="E756" s="20" t="s">
        <v>586</v>
      </c>
      <c r="F756" s="20"/>
      <c r="G756" s="27">
        <f>G757+G759+G761</f>
        <v>16452.3</v>
      </c>
      <c r="H756" s="173"/>
    </row>
    <row r="757" spans="1:12" ht="94.5" x14ac:dyDescent="0.25">
      <c r="A757" s="25" t="s">
        <v>127</v>
      </c>
      <c r="B757" s="16">
        <v>908</v>
      </c>
      <c r="C757" s="20" t="s">
        <v>118</v>
      </c>
      <c r="D757" s="20" t="s">
        <v>140</v>
      </c>
      <c r="E757" s="20" t="s">
        <v>586</v>
      </c>
      <c r="F757" s="20" t="s">
        <v>128</v>
      </c>
      <c r="G757" s="27">
        <f>G758</f>
        <v>13760</v>
      </c>
      <c r="H757" s="173"/>
    </row>
    <row r="758" spans="1:12" ht="31.5" x14ac:dyDescent="0.25">
      <c r="A758" s="46" t="s">
        <v>342</v>
      </c>
      <c r="B758" s="16">
        <v>908</v>
      </c>
      <c r="C758" s="20" t="s">
        <v>118</v>
      </c>
      <c r="D758" s="20" t="s">
        <v>140</v>
      </c>
      <c r="E758" s="20" t="s">
        <v>586</v>
      </c>
      <c r="F758" s="20" t="s">
        <v>209</v>
      </c>
      <c r="G758" s="163">
        <f>13403.8+356.2</f>
        <v>13760</v>
      </c>
      <c r="H758" s="105" t="s">
        <v>742</v>
      </c>
      <c r="I758" s="123"/>
      <c r="L758" s="115"/>
    </row>
    <row r="759" spans="1:12" ht="31.5" x14ac:dyDescent="0.25">
      <c r="A759" s="25" t="s">
        <v>131</v>
      </c>
      <c r="B759" s="16">
        <v>908</v>
      </c>
      <c r="C759" s="20" t="s">
        <v>118</v>
      </c>
      <c r="D759" s="20" t="s">
        <v>140</v>
      </c>
      <c r="E759" s="20" t="s">
        <v>586</v>
      </c>
      <c r="F759" s="20" t="s">
        <v>132</v>
      </c>
      <c r="G759" s="27">
        <f>G760</f>
        <v>2678</v>
      </c>
      <c r="H759" s="173"/>
      <c r="L759" s="115"/>
    </row>
    <row r="760" spans="1:12" ht="47.25" x14ac:dyDescent="0.25">
      <c r="A760" s="25" t="s">
        <v>133</v>
      </c>
      <c r="B760" s="16">
        <v>908</v>
      </c>
      <c r="C760" s="20" t="s">
        <v>118</v>
      </c>
      <c r="D760" s="20" t="s">
        <v>140</v>
      </c>
      <c r="E760" s="20" t="s">
        <v>586</v>
      </c>
      <c r="F760" s="20" t="s">
        <v>134</v>
      </c>
      <c r="G760" s="163">
        <f>3034.2-356.2</f>
        <v>2678</v>
      </c>
      <c r="H760" s="105" t="s">
        <v>743</v>
      </c>
      <c r="I760" s="123"/>
      <c r="L760" s="115"/>
    </row>
    <row r="761" spans="1:12" ht="15.75" x14ac:dyDescent="0.25">
      <c r="A761" s="25" t="s">
        <v>135</v>
      </c>
      <c r="B761" s="16">
        <v>908</v>
      </c>
      <c r="C761" s="20" t="s">
        <v>118</v>
      </c>
      <c r="D761" s="20" t="s">
        <v>140</v>
      </c>
      <c r="E761" s="20" t="s">
        <v>586</v>
      </c>
      <c r="F761" s="20" t="s">
        <v>145</v>
      </c>
      <c r="G761" s="27">
        <f>G762</f>
        <v>14.3</v>
      </c>
      <c r="H761" s="173"/>
      <c r="L761" s="115"/>
    </row>
    <row r="762" spans="1:12" ht="15.75" x14ac:dyDescent="0.25">
      <c r="A762" s="25" t="s">
        <v>704</v>
      </c>
      <c r="B762" s="16">
        <v>908</v>
      </c>
      <c r="C762" s="20" t="s">
        <v>118</v>
      </c>
      <c r="D762" s="20" t="s">
        <v>140</v>
      </c>
      <c r="E762" s="20" t="s">
        <v>586</v>
      </c>
      <c r="F762" s="20" t="s">
        <v>138</v>
      </c>
      <c r="G762" s="27">
        <v>14.3</v>
      </c>
      <c r="H762" s="105"/>
      <c r="I762" s="123"/>
      <c r="L762" s="115"/>
    </row>
    <row r="763" spans="1:12" ht="31.5" x14ac:dyDescent="0.25">
      <c r="A763" s="23" t="s">
        <v>222</v>
      </c>
      <c r="B763" s="19">
        <v>908</v>
      </c>
      <c r="C763" s="24" t="s">
        <v>215</v>
      </c>
      <c r="D763" s="24"/>
      <c r="E763" s="24"/>
      <c r="F763" s="24"/>
      <c r="G763" s="21">
        <f t="shared" ref="G763:G768" si="4">G764</f>
        <v>50</v>
      </c>
      <c r="H763" s="173"/>
    </row>
    <row r="764" spans="1:12" ht="63" x14ac:dyDescent="0.25">
      <c r="A764" s="23" t="s">
        <v>223</v>
      </c>
      <c r="B764" s="19">
        <v>908</v>
      </c>
      <c r="C764" s="24" t="s">
        <v>215</v>
      </c>
      <c r="D764" s="24" t="s">
        <v>219</v>
      </c>
      <c r="E764" s="24"/>
      <c r="F764" s="24"/>
      <c r="G764" s="21">
        <f t="shared" si="4"/>
        <v>50</v>
      </c>
      <c r="H764" s="173"/>
    </row>
    <row r="765" spans="1:12" ht="21.75" customHeight="1" x14ac:dyDescent="0.25">
      <c r="A765" s="25" t="s">
        <v>121</v>
      </c>
      <c r="B765" s="16">
        <v>908</v>
      </c>
      <c r="C765" s="20" t="s">
        <v>215</v>
      </c>
      <c r="D765" s="20" t="s">
        <v>219</v>
      </c>
      <c r="E765" s="20" t="s">
        <v>122</v>
      </c>
      <c r="F765" s="20"/>
      <c r="G765" s="26">
        <f t="shared" si="4"/>
        <v>50</v>
      </c>
      <c r="H765" s="173"/>
    </row>
    <row r="766" spans="1:12" ht="15.75" x14ac:dyDescent="0.25">
      <c r="A766" s="25" t="s">
        <v>141</v>
      </c>
      <c r="B766" s="16">
        <v>908</v>
      </c>
      <c r="C766" s="20" t="s">
        <v>215</v>
      </c>
      <c r="D766" s="20" t="s">
        <v>219</v>
      </c>
      <c r="E766" s="20" t="s">
        <v>142</v>
      </c>
      <c r="F766" s="20"/>
      <c r="G766" s="26">
        <f t="shared" si="4"/>
        <v>50</v>
      </c>
      <c r="H766" s="173"/>
    </row>
    <row r="767" spans="1:12" ht="15.75" x14ac:dyDescent="0.25">
      <c r="A767" s="25" t="s">
        <v>230</v>
      </c>
      <c r="B767" s="16">
        <v>908</v>
      </c>
      <c r="C767" s="20" t="s">
        <v>215</v>
      </c>
      <c r="D767" s="20" t="s">
        <v>219</v>
      </c>
      <c r="E767" s="20" t="s">
        <v>231</v>
      </c>
      <c r="F767" s="20"/>
      <c r="G767" s="26">
        <f t="shared" si="4"/>
        <v>50</v>
      </c>
      <c r="H767" s="173"/>
    </row>
    <row r="768" spans="1:12" ht="31.5" x14ac:dyDescent="0.25">
      <c r="A768" s="25" t="s">
        <v>131</v>
      </c>
      <c r="B768" s="16">
        <v>908</v>
      </c>
      <c r="C768" s="20" t="s">
        <v>215</v>
      </c>
      <c r="D768" s="20" t="s">
        <v>219</v>
      </c>
      <c r="E768" s="20" t="s">
        <v>231</v>
      </c>
      <c r="F768" s="20" t="s">
        <v>132</v>
      </c>
      <c r="G768" s="26">
        <f t="shared" si="4"/>
        <v>50</v>
      </c>
      <c r="H768" s="173"/>
    </row>
    <row r="769" spans="1:9" ht="47.25" x14ac:dyDescent="0.25">
      <c r="A769" s="25" t="s">
        <v>133</v>
      </c>
      <c r="B769" s="16">
        <v>908</v>
      </c>
      <c r="C769" s="20" t="s">
        <v>215</v>
      </c>
      <c r="D769" s="20" t="s">
        <v>219</v>
      </c>
      <c r="E769" s="20" t="s">
        <v>231</v>
      </c>
      <c r="F769" s="20" t="s">
        <v>134</v>
      </c>
      <c r="G769" s="26">
        <v>50</v>
      </c>
      <c r="H769" s="173"/>
    </row>
    <row r="770" spans="1:9" ht="15.75" x14ac:dyDescent="0.25">
      <c r="A770" s="23" t="s">
        <v>232</v>
      </c>
      <c r="B770" s="19">
        <v>908</v>
      </c>
      <c r="C770" s="24" t="s">
        <v>150</v>
      </c>
      <c r="D770" s="24"/>
      <c r="E770" s="24"/>
      <c r="F770" s="24"/>
      <c r="G770" s="21">
        <f>G771+G777</f>
        <v>18331.8</v>
      </c>
      <c r="H770" s="173"/>
    </row>
    <row r="771" spans="1:9" ht="15.75" x14ac:dyDescent="0.25">
      <c r="A771" s="23" t="s">
        <v>505</v>
      </c>
      <c r="B771" s="19">
        <v>908</v>
      </c>
      <c r="C771" s="24" t="s">
        <v>150</v>
      </c>
      <c r="D771" s="24" t="s">
        <v>299</v>
      </c>
      <c r="E771" s="24"/>
      <c r="F771" s="24"/>
      <c r="G771" s="21">
        <f>G772</f>
        <v>3207.7</v>
      </c>
      <c r="H771" s="173"/>
    </row>
    <row r="772" spans="1:9" ht="15.75" x14ac:dyDescent="0.25">
      <c r="A772" s="25" t="s">
        <v>121</v>
      </c>
      <c r="B772" s="16">
        <v>908</v>
      </c>
      <c r="C772" s="20" t="s">
        <v>150</v>
      </c>
      <c r="D772" s="20" t="s">
        <v>299</v>
      </c>
      <c r="E772" s="20" t="s">
        <v>122</v>
      </c>
      <c r="F772" s="24"/>
      <c r="G772" s="26">
        <f>G773</f>
        <v>3207.7</v>
      </c>
      <c r="H772" s="173"/>
    </row>
    <row r="773" spans="1:9" ht="15.75" x14ac:dyDescent="0.25">
      <c r="A773" s="25" t="s">
        <v>141</v>
      </c>
      <c r="B773" s="16">
        <v>908</v>
      </c>
      <c r="C773" s="20" t="s">
        <v>150</v>
      </c>
      <c r="D773" s="20" t="s">
        <v>299</v>
      </c>
      <c r="E773" s="20" t="s">
        <v>142</v>
      </c>
      <c r="F773" s="24"/>
      <c r="G773" s="26">
        <f>G774</f>
        <v>3207.7</v>
      </c>
      <c r="H773" s="173"/>
    </row>
    <row r="774" spans="1:9" ht="39.200000000000003" customHeight="1" x14ac:dyDescent="0.25">
      <c r="A774" s="25" t="s">
        <v>506</v>
      </c>
      <c r="B774" s="16">
        <v>908</v>
      </c>
      <c r="C774" s="20" t="s">
        <v>150</v>
      </c>
      <c r="D774" s="20" t="s">
        <v>299</v>
      </c>
      <c r="E774" s="20" t="s">
        <v>507</v>
      </c>
      <c r="F774" s="20"/>
      <c r="G774" s="26">
        <f>G775</f>
        <v>3207.7</v>
      </c>
      <c r="H774" s="173"/>
    </row>
    <row r="775" spans="1:9" ht="31.5" x14ac:dyDescent="0.25">
      <c r="A775" s="25" t="s">
        <v>131</v>
      </c>
      <c r="B775" s="16">
        <v>908</v>
      </c>
      <c r="C775" s="20" t="s">
        <v>150</v>
      </c>
      <c r="D775" s="20" t="s">
        <v>299</v>
      </c>
      <c r="E775" s="20" t="s">
        <v>507</v>
      </c>
      <c r="F775" s="20" t="s">
        <v>132</v>
      </c>
      <c r="G775" s="26">
        <f>G776</f>
        <v>3207.7</v>
      </c>
      <c r="H775" s="173"/>
    </row>
    <row r="776" spans="1:9" ht="47.25" x14ac:dyDescent="0.25">
      <c r="A776" s="25" t="s">
        <v>133</v>
      </c>
      <c r="B776" s="16">
        <v>908</v>
      </c>
      <c r="C776" s="20" t="s">
        <v>150</v>
      </c>
      <c r="D776" s="20" t="s">
        <v>299</v>
      </c>
      <c r="E776" s="20" t="s">
        <v>507</v>
      </c>
      <c r="F776" s="20" t="s">
        <v>134</v>
      </c>
      <c r="G776" s="26">
        <v>3207.7</v>
      </c>
      <c r="H776" s="173"/>
    </row>
    <row r="777" spans="1:9" ht="15.75" x14ac:dyDescent="0.25">
      <c r="A777" s="23" t="s">
        <v>508</v>
      </c>
      <c r="B777" s="19">
        <v>908</v>
      </c>
      <c r="C777" s="24" t="s">
        <v>150</v>
      </c>
      <c r="D777" s="24" t="s">
        <v>219</v>
      </c>
      <c r="E777" s="20"/>
      <c r="F777" s="24"/>
      <c r="G777" s="21">
        <f>G778</f>
        <v>15124.1</v>
      </c>
      <c r="H777" s="173"/>
    </row>
    <row r="778" spans="1:9" ht="47.25" x14ac:dyDescent="0.25">
      <c r="A778" s="31" t="s">
        <v>509</v>
      </c>
      <c r="B778" s="16">
        <v>908</v>
      </c>
      <c r="C778" s="20" t="s">
        <v>150</v>
      </c>
      <c r="D778" s="20" t="s">
        <v>219</v>
      </c>
      <c r="E778" s="20" t="s">
        <v>510</v>
      </c>
      <c r="F778" s="20"/>
      <c r="G778" s="26">
        <f>G779</f>
        <v>15124.1</v>
      </c>
      <c r="H778" s="173"/>
    </row>
    <row r="779" spans="1:9" ht="15.75" x14ac:dyDescent="0.25">
      <c r="A779" s="29" t="s">
        <v>511</v>
      </c>
      <c r="B779" s="16">
        <v>908</v>
      </c>
      <c r="C779" s="20" t="s">
        <v>150</v>
      </c>
      <c r="D779" s="20" t="s">
        <v>219</v>
      </c>
      <c r="E779" s="40" t="s">
        <v>512</v>
      </c>
      <c r="F779" s="20"/>
      <c r="G779" s="26">
        <f>G780+G782</f>
        <v>15124.1</v>
      </c>
      <c r="H779" s="173"/>
    </row>
    <row r="780" spans="1:9" ht="31.5" x14ac:dyDescent="0.25">
      <c r="A780" s="25" t="s">
        <v>131</v>
      </c>
      <c r="B780" s="16">
        <v>908</v>
      </c>
      <c r="C780" s="20" t="s">
        <v>150</v>
      </c>
      <c r="D780" s="20" t="s">
        <v>219</v>
      </c>
      <c r="E780" s="40" t="s">
        <v>512</v>
      </c>
      <c r="F780" s="20" t="s">
        <v>132</v>
      </c>
      <c r="G780" s="26">
        <f>G781</f>
        <v>15108.1</v>
      </c>
      <c r="H780" s="173"/>
    </row>
    <row r="781" spans="1:9" ht="47.25" x14ac:dyDescent="0.25">
      <c r="A781" s="25" t="s">
        <v>133</v>
      </c>
      <c r="B781" s="16">
        <v>908</v>
      </c>
      <c r="C781" s="20" t="s">
        <v>150</v>
      </c>
      <c r="D781" s="20" t="s">
        <v>219</v>
      </c>
      <c r="E781" s="40" t="s">
        <v>512</v>
      </c>
      <c r="F781" s="20" t="s">
        <v>134</v>
      </c>
      <c r="G781" s="26">
        <f>15124.1-10-6</f>
        <v>15108.1</v>
      </c>
      <c r="H781" s="119" t="s">
        <v>762</v>
      </c>
    </row>
    <row r="782" spans="1:9" ht="15.75" x14ac:dyDescent="0.25">
      <c r="A782" s="25" t="s">
        <v>135</v>
      </c>
      <c r="B782" s="16">
        <v>908</v>
      </c>
      <c r="C782" s="20" t="s">
        <v>150</v>
      </c>
      <c r="D782" s="20" t="s">
        <v>219</v>
      </c>
      <c r="E782" s="40" t="s">
        <v>512</v>
      </c>
      <c r="F782" s="20" t="s">
        <v>145</v>
      </c>
      <c r="G782" s="26">
        <f>G783</f>
        <v>16</v>
      </c>
      <c r="H782" s="173"/>
    </row>
    <row r="783" spans="1:9" ht="15.75" x14ac:dyDescent="0.25">
      <c r="A783" s="25" t="s">
        <v>568</v>
      </c>
      <c r="B783" s="16">
        <v>908</v>
      </c>
      <c r="C783" s="20" t="s">
        <v>150</v>
      </c>
      <c r="D783" s="20" t="s">
        <v>219</v>
      </c>
      <c r="E783" s="40" t="s">
        <v>512</v>
      </c>
      <c r="F783" s="20" t="s">
        <v>138</v>
      </c>
      <c r="G783" s="26">
        <f>10+6</f>
        <v>16</v>
      </c>
      <c r="H783" s="154" t="s">
        <v>763</v>
      </c>
    </row>
    <row r="784" spans="1:9" ht="15.75" x14ac:dyDescent="0.25">
      <c r="A784" s="23" t="s">
        <v>390</v>
      </c>
      <c r="B784" s="19">
        <v>908</v>
      </c>
      <c r="C784" s="24" t="s">
        <v>234</v>
      </c>
      <c r="D784" s="24"/>
      <c r="E784" s="24"/>
      <c r="F784" s="24"/>
      <c r="G784" s="21">
        <f>G785+G800+G847+G899</f>
        <v>108065.79000000001</v>
      </c>
      <c r="H784" s="173"/>
      <c r="I784" s="113"/>
    </row>
    <row r="785" spans="1:12" ht="15.75" x14ac:dyDescent="0.25">
      <c r="A785" s="23" t="s">
        <v>391</v>
      </c>
      <c r="B785" s="19">
        <v>908</v>
      </c>
      <c r="C785" s="24" t="s">
        <v>234</v>
      </c>
      <c r="D785" s="24" t="s">
        <v>118</v>
      </c>
      <c r="E785" s="24"/>
      <c r="F785" s="24"/>
      <c r="G785" s="21">
        <f>G786</f>
        <v>7765.4000000000005</v>
      </c>
      <c r="H785" s="173"/>
    </row>
    <row r="786" spans="1:12" ht="15.75" x14ac:dyDescent="0.25">
      <c r="A786" s="25" t="s">
        <v>121</v>
      </c>
      <c r="B786" s="16">
        <v>908</v>
      </c>
      <c r="C786" s="20" t="s">
        <v>234</v>
      </c>
      <c r="D786" s="20" t="s">
        <v>118</v>
      </c>
      <c r="E786" s="20" t="s">
        <v>122</v>
      </c>
      <c r="F786" s="20"/>
      <c r="G786" s="26">
        <f>G791</f>
        <v>7765.4000000000005</v>
      </c>
      <c r="H786" s="173"/>
    </row>
    <row r="787" spans="1:12" ht="31.5" hidden="1" x14ac:dyDescent="0.25">
      <c r="A787" s="25" t="s">
        <v>185</v>
      </c>
      <c r="B787" s="16">
        <v>908</v>
      </c>
      <c r="C787" s="20" t="s">
        <v>234</v>
      </c>
      <c r="D787" s="20" t="s">
        <v>118</v>
      </c>
      <c r="E787" s="20" t="s">
        <v>186</v>
      </c>
      <c r="F787" s="20"/>
      <c r="G787" s="26">
        <f>G788</f>
        <v>0</v>
      </c>
      <c r="H787" s="173"/>
    </row>
    <row r="788" spans="1:12" ht="15.75" hidden="1" x14ac:dyDescent="0.25">
      <c r="A788" s="25" t="s">
        <v>513</v>
      </c>
      <c r="B788" s="16">
        <v>908</v>
      </c>
      <c r="C788" s="20" t="s">
        <v>234</v>
      </c>
      <c r="D788" s="20" t="s">
        <v>118</v>
      </c>
      <c r="E788" s="20" t="s">
        <v>514</v>
      </c>
      <c r="F788" s="20"/>
      <c r="G788" s="26">
        <f>G789</f>
        <v>0</v>
      </c>
      <c r="H788" s="173"/>
    </row>
    <row r="789" spans="1:12" ht="15.75" hidden="1" x14ac:dyDescent="0.25">
      <c r="A789" s="25" t="s">
        <v>135</v>
      </c>
      <c r="B789" s="16">
        <v>908</v>
      </c>
      <c r="C789" s="20" t="s">
        <v>234</v>
      </c>
      <c r="D789" s="20" t="s">
        <v>118</v>
      </c>
      <c r="E789" s="20" t="s">
        <v>514</v>
      </c>
      <c r="F789" s="20" t="s">
        <v>145</v>
      </c>
      <c r="G789" s="26">
        <f>G790</f>
        <v>0</v>
      </c>
      <c r="H789" s="173"/>
    </row>
    <row r="790" spans="1:12" ht="63" hidden="1" x14ac:dyDescent="0.25">
      <c r="A790" s="25" t="s">
        <v>184</v>
      </c>
      <c r="B790" s="16">
        <v>908</v>
      </c>
      <c r="C790" s="20" t="s">
        <v>234</v>
      </c>
      <c r="D790" s="20" t="s">
        <v>118</v>
      </c>
      <c r="E790" s="20" t="s">
        <v>514</v>
      </c>
      <c r="F790" s="20" t="s">
        <v>160</v>
      </c>
      <c r="G790" s="26">
        <v>0</v>
      </c>
      <c r="H790" s="173"/>
    </row>
    <row r="791" spans="1:12" ht="15.75" x14ac:dyDescent="0.25">
      <c r="A791" s="25" t="s">
        <v>141</v>
      </c>
      <c r="B791" s="16">
        <v>908</v>
      </c>
      <c r="C791" s="20" t="s">
        <v>234</v>
      </c>
      <c r="D791" s="20" t="s">
        <v>118</v>
      </c>
      <c r="E791" s="20" t="s">
        <v>142</v>
      </c>
      <c r="F791" s="24"/>
      <c r="G791" s="26">
        <f>G792+G797</f>
        <v>7765.4000000000005</v>
      </c>
      <c r="H791" s="173"/>
    </row>
    <row r="792" spans="1:12" ht="15.75" x14ac:dyDescent="0.25">
      <c r="A792" s="25" t="s">
        <v>515</v>
      </c>
      <c r="B792" s="16">
        <v>908</v>
      </c>
      <c r="C792" s="20" t="s">
        <v>234</v>
      </c>
      <c r="D792" s="20" t="s">
        <v>118</v>
      </c>
      <c r="E792" s="20" t="s">
        <v>516</v>
      </c>
      <c r="F792" s="24"/>
      <c r="G792" s="26">
        <f>G795+G793</f>
        <v>3531.3</v>
      </c>
      <c r="H792" s="173"/>
    </row>
    <row r="793" spans="1:12" ht="31.5" x14ac:dyDescent="0.25">
      <c r="A793" s="25" t="s">
        <v>131</v>
      </c>
      <c r="B793" s="16">
        <v>908</v>
      </c>
      <c r="C793" s="20" t="s">
        <v>234</v>
      </c>
      <c r="D793" s="20" t="s">
        <v>118</v>
      </c>
      <c r="E793" s="20" t="s">
        <v>516</v>
      </c>
      <c r="F793" s="20" t="s">
        <v>132</v>
      </c>
      <c r="G793" s="26">
        <f>G794</f>
        <v>1131.3</v>
      </c>
      <c r="H793" s="173"/>
    </row>
    <row r="794" spans="1:12" ht="47.25" x14ac:dyDescent="0.25">
      <c r="A794" s="25" t="s">
        <v>133</v>
      </c>
      <c r="B794" s="16">
        <v>908</v>
      </c>
      <c r="C794" s="20" t="s">
        <v>234</v>
      </c>
      <c r="D794" s="20" t="s">
        <v>118</v>
      </c>
      <c r="E794" s="20" t="s">
        <v>516</v>
      </c>
      <c r="F794" s="20" t="s">
        <v>134</v>
      </c>
      <c r="G794" s="26">
        <v>1131.3</v>
      </c>
      <c r="H794" s="105"/>
      <c r="I794" s="124"/>
    </row>
    <row r="795" spans="1:12" ht="15.75" x14ac:dyDescent="0.25">
      <c r="A795" s="25" t="s">
        <v>135</v>
      </c>
      <c r="B795" s="16">
        <v>908</v>
      </c>
      <c r="C795" s="20" t="s">
        <v>234</v>
      </c>
      <c r="D795" s="20" t="s">
        <v>118</v>
      </c>
      <c r="E795" s="20" t="s">
        <v>516</v>
      </c>
      <c r="F795" s="20" t="s">
        <v>145</v>
      </c>
      <c r="G795" s="26">
        <f>G796</f>
        <v>2400</v>
      </c>
      <c r="H795" s="173"/>
    </row>
    <row r="796" spans="1:12" ht="63" x14ac:dyDescent="0.25">
      <c r="A796" s="25" t="s">
        <v>184</v>
      </c>
      <c r="B796" s="16">
        <v>908</v>
      </c>
      <c r="C796" s="20" t="s">
        <v>234</v>
      </c>
      <c r="D796" s="20" t="s">
        <v>118</v>
      </c>
      <c r="E796" s="20" t="s">
        <v>516</v>
      </c>
      <c r="F796" s="20" t="s">
        <v>160</v>
      </c>
      <c r="G796" s="26">
        <f>1500+900</f>
        <v>2400</v>
      </c>
      <c r="H796" s="173"/>
      <c r="I796" s="114"/>
    </row>
    <row r="797" spans="1:12" ht="31.5" x14ac:dyDescent="0.25">
      <c r="A797" s="29" t="s">
        <v>398</v>
      </c>
      <c r="B797" s="16">
        <v>908</v>
      </c>
      <c r="C797" s="20" t="s">
        <v>234</v>
      </c>
      <c r="D797" s="20" t="s">
        <v>118</v>
      </c>
      <c r="E797" s="20" t="s">
        <v>399</v>
      </c>
      <c r="F797" s="24"/>
      <c r="G797" s="26">
        <f>G798</f>
        <v>4234.1000000000004</v>
      </c>
      <c r="H797" s="173"/>
    </row>
    <row r="798" spans="1:12" ht="31.5" x14ac:dyDescent="0.25">
      <c r="A798" s="25" t="s">
        <v>131</v>
      </c>
      <c r="B798" s="16">
        <v>908</v>
      </c>
      <c r="C798" s="20" t="s">
        <v>234</v>
      </c>
      <c r="D798" s="20" t="s">
        <v>118</v>
      </c>
      <c r="E798" s="20" t="s">
        <v>399</v>
      </c>
      <c r="F798" s="20" t="s">
        <v>132</v>
      </c>
      <c r="G798" s="26">
        <f>G799</f>
        <v>4234.1000000000004</v>
      </c>
      <c r="H798" s="173"/>
    </row>
    <row r="799" spans="1:12" ht="47.25" x14ac:dyDescent="0.25">
      <c r="A799" s="25" t="s">
        <v>133</v>
      </c>
      <c r="B799" s="16">
        <v>908</v>
      </c>
      <c r="C799" s="20" t="s">
        <v>234</v>
      </c>
      <c r="D799" s="20" t="s">
        <v>118</v>
      </c>
      <c r="E799" s="20" t="s">
        <v>399</v>
      </c>
      <c r="F799" s="20" t="s">
        <v>134</v>
      </c>
      <c r="G799" s="27">
        <f>3811.8+422.3</f>
        <v>4234.1000000000004</v>
      </c>
      <c r="H799" s="173"/>
    </row>
    <row r="800" spans="1:12" ht="15.75" x14ac:dyDescent="0.25">
      <c r="A800" s="23" t="s">
        <v>517</v>
      </c>
      <c r="B800" s="19">
        <v>908</v>
      </c>
      <c r="C800" s="24" t="s">
        <v>234</v>
      </c>
      <c r="D800" s="24" t="s">
        <v>213</v>
      </c>
      <c r="E800" s="24"/>
      <c r="F800" s="24"/>
      <c r="G800" s="21">
        <f>G801+G826</f>
        <v>53711.1</v>
      </c>
      <c r="H800" s="173"/>
      <c r="I800" s="114"/>
      <c r="L800" s="115"/>
    </row>
    <row r="801" spans="1:10" ht="82.5" customHeight="1" x14ac:dyDescent="0.25">
      <c r="A801" s="25" t="s">
        <v>594</v>
      </c>
      <c r="B801" s="16">
        <v>908</v>
      </c>
      <c r="C801" s="20" t="s">
        <v>234</v>
      </c>
      <c r="D801" s="20" t="s">
        <v>213</v>
      </c>
      <c r="E801" s="20" t="s">
        <v>518</v>
      </c>
      <c r="F801" s="24"/>
      <c r="G801" s="26">
        <f>G805+G808+G811+G814+G817+G823</f>
        <v>5567.9000000000005</v>
      </c>
      <c r="H801" s="175"/>
      <c r="I801" s="114"/>
    </row>
    <row r="802" spans="1:10" ht="47.25" hidden="1" x14ac:dyDescent="0.25">
      <c r="A802" s="35" t="s">
        <v>519</v>
      </c>
      <c r="B802" s="16">
        <v>908</v>
      </c>
      <c r="C802" s="20" t="s">
        <v>234</v>
      </c>
      <c r="D802" s="20" t="s">
        <v>213</v>
      </c>
      <c r="E802" s="20" t="s">
        <v>520</v>
      </c>
      <c r="F802" s="20"/>
      <c r="G802" s="26">
        <f>G803</f>
        <v>0</v>
      </c>
      <c r="H802" s="173"/>
    </row>
    <row r="803" spans="1:10" ht="31.5" hidden="1" x14ac:dyDescent="0.25">
      <c r="A803" s="25" t="s">
        <v>131</v>
      </c>
      <c r="B803" s="16">
        <v>908</v>
      </c>
      <c r="C803" s="20" t="s">
        <v>234</v>
      </c>
      <c r="D803" s="20" t="s">
        <v>213</v>
      </c>
      <c r="E803" s="20" t="s">
        <v>520</v>
      </c>
      <c r="F803" s="20" t="s">
        <v>132</v>
      </c>
      <c r="G803" s="26">
        <f>G804</f>
        <v>0</v>
      </c>
      <c r="H803" s="173"/>
    </row>
    <row r="804" spans="1:10" ht="47.25" hidden="1" x14ac:dyDescent="0.25">
      <c r="A804" s="25" t="s">
        <v>133</v>
      </c>
      <c r="B804" s="16">
        <v>908</v>
      </c>
      <c r="C804" s="20" t="s">
        <v>234</v>
      </c>
      <c r="D804" s="20" t="s">
        <v>213</v>
      </c>
      <c r="E804" s="20" t="s">
        <v>520</v>
      </c>
      <c r="F804" s="20" t="s">
        <v>134</v>
      </c>
      <c r="G804" s="26">
        <v>0</v>
      </c>
      <c r="H804" s="173"/>
    </row>
    <row r="805" spans="1:10" ht="15.75" x14ac:dyDescent="0.25">
      <c r="A805" s="45" t="s">
        <v>521</v>
      </c>
      <c r="B805" s="16">
        <v>908</v>
      </c>
      <c r="C805" s="40" t="s">
        <v>234</v>
      </c>
      <c r="D805" s="40" t="s">
        <v>213</v>
      </c>
      <c r="E805" s="20" t="s">
        <v>522</v>
      </c>
      <c r="F805" s="40"/>
      <c r="G805" s="26">
        <f>G806</f>
        <v>450</v>
      </c>
      <c r="H805" s="173"/>
    </row>
    <row r="806" spans="1:10" ht="31.5" x14ac:dyDescent="0.25">
      <c r="A806" s="31" t="s">
        <v>131</v>
      </c>
      <c r="B806" s="16">
        <v>908</v>
      </c>
      <c r="C806" s="40" t="s">
        <v>234</v>
      </c>
      <c r="D806" s="40" t="s">
        <v>213</v>
      </c>
      <c r="E806" s="20" t="s">
        <v>522</v>
      </c>
      <c r="F806" s="40" t="s">
        <v>132</v>
      </c>
      <c r="G806" s="26">
        <f>G807</f>
        <v>450</v>
      </c>
      <c r="H806" s="173"/>
    </row>
    <row r="807" spans="1:10" ht="47.25" x14ac:dyDescent="0.25">
      <c r="A807" s="31" t="s">
        <v>133</v>
      </c>
      <c r="B807" s="16">
        <v>908</v>
      </c>
      <c r="C807" s="40" t="s">
        <v>234</v>
      </c>
      <c r="D807" s="40" t="s">
        <v>213</v>
      </c>
      <c r="E807" s="20" t="s">
        <v>522</v>
      </c>
      <c r="F807" s="40" t="s">
        <v>134</v>
      </c>
      <c r="G807" s="26">
        <v>450</v>
      </c>
      <c r="H807" s="173"/>
    </row>
    <row r="808" spans="1:10" ht="15.75" x14ac:dyDescent="0.25">
      <c r="A808" s="45" t="s">
        <v>523</v>
      </c>
      <c r="B808" s="16">
        <v>908</v>
      </c>
      <c r="C808" s="40" t="s">
        <v>234</v>
      </c>
      <c r="D808" s="40" t="s">
        <v>213</v>
      </c>
      <c r="E808" s="20" t="s">
        <v>524</v>
      </c>
      <c r="F808" s="40"/>
      <c r="G808" s="26">
        <f>G809</f>
        <v>3107</v>
      </c>
      <c r="H808" s="173"/>
    </row>
    <row r="809" spans="1:10" ht="31.5" x14ac:dyDescent="0.25">
      <c r="A809" s="31" t="s">
        <v>131</v>
      </c>
      <c r="B809" s="16">
        <v>908</v>
      </c>
      <c r="C809" s="40" t="s">
        <v>234</v>
      </c>
      <c r="D809" s="40" t="s">
        <v>213</v>
      </c>
      <c r="E809" s="20" t="s">
        <v>524</v>
      </c>
      <c r="F809" s="40" t="s">
        <v>132</v>
      </c>
      <c r="G809" s="26">
        <f>G810</f>
        <v>3107</v>
      </c>
      <c r="H809" s="173"/>
    </row>
    <row r="810" spans="1:10" ht="47.25" x14ac:dyDescent="0.25">
      <c r="A810" s="31" t="s">
        <v>133</v>
      </c>
      <c r="B810" s="16">
        <v>908</v>
      </c>
      <c r="C810" s="40" t="s">
        <v>234</v>
      </c>
      <c r="D810" s="40" t="s">
        <v>213</v>
      </c>
      <c r="E810" s="20" t="s">
        <v>524</v>
      </c>
      <c r="F810" s="40" t="s">
        <v>134</v>
      </c>
      <c r="G810" s="164">
        <f>110+20+2977</f>
        <v>3107</v>
      </c>
      <c r="H810" s="158" t="s">
        <v>744</v>
      </c>
    </row>
    <row r="811" spans="1:10" ht="15.75" x14ac:dyDescent="0.25">
      <c r="A811" s="45" t="s">
        <v>525</v>
      </c>
      <c r="B811" s="16">
        <v>908</v>
      </c>
      <c r="C811" s="40" t="s">
        <v>234</v>
      </c>
      <c r="D811" s="40" t="s">
        <v>213</v>
      </c>
      <c r="E811" s="20" t="s">
        <v>526</v>
      </c>
      <c r="F811" s="40"/>
      <c r="G811" s="26">
        <f>G812</f>
        <v>1374.6</v>
      </c>
      <c r="H811" s="173"/>
    </row>
    <row r="812" spans="1:10" ht="31.5" x14ac:dyDescent="0.25">
      <c r="A812" s="31" t="s">
        <v>131</v>
      </c>
      <c r="B812" s="16">
        <v>908</v>
      </c>
      <c r="C812" s="40" t="s">
        <v>234</v>
      </c>
      <c r="D812" s="40" t="s">
        <v>213</v>
      </c>
      <c r="E812" s="20" t="s">
        <v>526</v>
      </c>
      <c r="F812" s="40" t="s">
        <v>132</v>
      </c>
      <c r="G812" s="26">
        <f>G813</f>
        <v>1374.6</v>
      </c>
      <c r="H812" s="173"/>
    </row>
    <row r="813" spans="1:10" ht="47.25" x14ac:dyDescent="0.25">
      <c r="A813" s="31" t="s">
        <v>133</v>
      </c>
      <c r="B813" s="16">
        <v>908</v>
      </c>
      <c r="C813" s="40" t="s">
        <v>234</v>
      </c>
      <c r="D813" s="40" t="s">
        <v>213</v>
      </c>
      <c r="E813" s="20" t="s">
        <v>526</v>
      </c>
      <c r="F813" s="40" t="s">
        <v>134</v>
      </c>
      <c r="G813" s="164">
        <f>10+30+3534.6-2200</f>
        <v>1374.6</v>
      </c>
      <c r="H813" s="112" t="s">
        <v>750</v>
      </c>
      <c r="J813" s="165" t="s">
        <v>751</v>
      </c>
    </row>
    <row r="814" spans="1:10" ht="15.75" x14ac:dyDescent="0.25">
      <c r="A814" s="45" t="s">
        <v>527</v>
      </c>
      <c r="B814" s="16">
        <v>908</v>
      </c>
      <c r="C814" s="40" t="s">
        <v>234</v>
      </c>
      <c r="D814" s="40" t="s">
        <v>213</v>
      </c>
      <c r="E814" s="20" t="s">
        <v>528</v>
      </c>
      <c r="F814" s="40"/>
      <c r="G814" s="26">
        <f>G815</f>
        <v>159.10000000000002</v>
      </c>
      <c r="H814" s="173"/>
    </row>
    <row r="815" spans="1:10" ht="31.5" x14ac:dyDescent="0.25">
      <c r="A815" s="31" t="s">
        <v>131</v>
      </c>
      <c r="B815" s="16">
        <v>908</v>
      </c>
      <c r="C815" s="40" t="s">
        <v>234</v>
      </c>
      <c r="D815" s="40" t="s">
        <v>213</v>
      </c>
      <c r="E815" s="20" t="s">
        <v>528</v>
      </c>
      <c r="F815" s="40" t="s">
        <v>132</v>
      </c>
      <c r="G815" s="26">
        <f>G816</f>
        <v>159.10000000000002</v>
      </c>
      <c r="H815" s="173"/>
    </row>
    <row r="816" spans="1:10" ht="47.25" x14ac:dyDescent="0.25">
      <c r="A816" s="31" t="s">
        <v>133</v>
      </c>
      <c r="B816" s="16">
        <v>908</v>
      </c>
      <c r="C816" s="40" t="s">
        <v>234</v>
      </c>
      <c r="D816" s="40" t="s">
        <v>213</v>
      </c>
      <c r="E816" s="20" t="s">
        <v>528</v>
      </c>
      <c r="F816" s="40" t="s">
        <v>134</v>
      </c>
      <c r="G816" s="164">
        <f>250+5+681.1-522-255</f>
        <v>159.10000000000002</v>
      </c>
      <c r="H816" s="112" t="s">
        <v>745</v>
      </c>
    </row>
    <row r="817" spans="1:10" ht="15.75" x14ac:dyDescent="0.25">
      <c r="A817" s="45" t="s">
        <v>529</v>
      </c>
      <c r="B817" s="16">
        <v>908</v>
      </c>
      <c r="C817" s="40" t="s">
        <v>234</v>
      </c>
      <c r="D817" s="40" t="s">
        <v>213</v>
      </c>
      <c r="E817" s="20" t="s">
        <v>530</v>
      </c>
      <c r="F817" s="40"/>
      <c r="G817" s="26">
        <f>G818</f>
        <v>288.2</v>
      </c>
      <c r="H817" s="173"/>
    </row>
    <row r="818" spans="1:10" ht="31.5" x14ac:dyDescent="0.25">
      <c r="A818" s="31" t="s">
        <v>131</v>
      </c>
      <c r="B818" s="16">
        <v>908</v>
      </c>
      <c r="C818" s="40" t="s">
        <v>234</v>
      </c>
      <c r="D818" s="40" t="s">
        <v>213</v>
      </c>
      <c r="E818" s="20" t="s">
        <v>530</v>
      </c>
      <c r="F818" s="40" t="s">
        <v>132</v>
      </c>
      <c r="G818" s="26">
        <f>G819</f>
        <v>288.2</v>
      </c>
      <c r="H818" s="173"/>
    </row>
    <row r="819" spans="1:10" ht="47.25" x14ac:dyDescent="0.25">
      <c r="A819" s="31" t="s">
        <v>133</v>
      </c>
      <c r="B819" s="16">
        <v>908</v>
      </c>
      <c r="C819" s="40" t="s">
        <v>234</v>
      </c>
      <c r="D819" s="40" t="s">
        <v>213</v>
      </c>
      <c r="E819" s="20" t="s">
        <v>530</v>
      </c>
      <c r="F819" s="40" t="s">
        <v>134</v>
      </c>
      <c r="G819" s="26">
        <f>2+286.2</f>
        <v>288.2</v>
      </c>
      <c r="H819" s="112"/>
      <c r="J819" s="166" t="s">
        <v>752</v>
      </c>
    </row>
    <row r="820" spans="1:10" ht="31.5" hidden="1" x14ac:dyDescent="0.25">
      <c r="A820" s="174" t="s">
        <v>531</v>
      </c>
      <c r="B820" s="16">
        <v>908</v>
      </c>
      <c r="C820" s="40" t="s">
        <v>234</v>
      </c>
      <c r="D820" s="40" t="s">
        <v>213</v>
      </c>
      <c r="E820" s="20" t="s">
        <v>532</v>
      </c>
      <c r="F820" s="40"/>
      <c r="G820" s="26">
        <f>G821</f>
        <v>0</v>
      </c>
      <c r="H820" s="173"/>
    </row>
    <row r="821" spans="1:10" ht="31.5" hidden="1" x14ac:dyDescent="0.25">
      <c r="A821" s="31" t="s">
        <v>131</v>
      </c>
      <c r="B821" s="16">
        <v>908</v>
      </c>
      <c r="C821" s="40" t="s">
        <v>234</v>
      </c>
      <c r="D821" s="40" t="s">
        <v>213</v>
      </c>
      <c r="E821" s="20" t="s">
        <v>532</v>
      </c>
      <c r="F821" s="40" t="s">
        <v>132</v>
      </c>
      <c r="G821" s="26">
        <f>G822</f>
        <v>0</v>
      </c>
      <c r="H821" s="173"/>
    </row>
    <row r="822" spans="1:10" ht="47.25" hidden="1" x14ac:dyDescent="0.25">
      <c r="A822" s="31" t="s">
        <v>133</v>
      </c>
      <c r="B822" s="16">
        <v>908</v>
      </c>
      <c r="C822" s="40" t="s">
        <v>234</v>
      </c>
      <c r="D822" s="40" t="s">
        <v>213</v>
      </c>
      <c r="E822" s="20" t="s">
        <v>532</v>
      </c>
      <c r="F822" s="40" t="s">
        <v>134</v>
      </c>
      <c r="G822" s="26">
        <v>0</v>
      </c>
      <c r="H822" s="173"/>
    </row>
    <row r="823" spans="1:10" ht="15.75" x14ac:dyDescent="0.25">
      <c r="A823" s="174" t="s">
        <v>533</v>
      </c>
      <c r="B823" s="16">
        <v>908</v>
      </c>
      <c r="C823" s="40" t="s">
        <v>234</v>
      </c>
      <c r="D823" s="40" t="s">
        <v>213</v>
      </c>
      <c r="E823" s="20" t="s">
        <v>534</v>
      </c>
      <c r="F823" s="40"/>
      <c r="G823" s="26">
        <f>G824</f>
        <v>189</v>
      </c>
      <c r="H823" s="173"/>
    </row>
    <row r="824" spans="1:10" ht="31.5" x14ac:dyDescent="0.25">
      <c r="A824" s="25" t="s">
        <v>131</v>
      </c>
      <c r="B824" s="16">
        <v>908</v>
      </c>
      <c r="C824" s="40" t="s">
        <v>234</v>
      </c>
      <c r="D824" s="40" t="s">
        <v>213</v>
      </c>
      <c r="E824" s="20" t="s">
        <v>534</v>
      </c>
      <c r="F824" s="40" t="s">
        <v>132</v>
      </c>
      <c r="G824" s="26">
        <f>G825</f>
        <v>189</v>
      </c>
      <c r="H824" s="173"/>
    </row>
    <row r="825" spans="1:10" ht="47.25" x14ac:dyDescent="0.25">
      <c r="A825" s="25" t="s">
        <v>133</v>
      </c>
      <c r="B825" s="16">
        <v>908</v>
      </c>
      <c r="C825" s="40" t="s">
        <v>234</v>
      </c>
      <c r="D825" s="40" t="s">
        <v>213</v>
      </c>
      <c r="E825" s="20" t="s">
        <v>534</v>
      </c>
      <c r="F825" s="40" t="s">
        <v>134</v>
      </c>
      <c r="G825" s="26">
        <f>15+174</f>
        <v>189</v>
      </c>
      <c r="H825" s="112"/>
      <c r="J825" s="166" t="s">
        <v>753</v>
      </c>
    </row>
    <row r="826" spans="1:10" ht="15.75" x14ac:dyDescent="0.25">
      <c r="A826" s="25" t="s">
        <v>121</v>
      </c>
      <c r="B826" s="16">
        <v>908</v>
      </c>
      <c r="C826" s="20" t="s">
        <v>234</v>
      </c>
      <c r="D826" s="20" t="s">
        <v>213</v>
      </c>
      <c r="E826" s="20" t="s">
        <v>122</v>
      </c>
      <c r="F826" s="20"/>
      <c r="G826" s="26">
        <f>G827+G837</f>
        <v>48143.199999999997</v>
      </c>
      <c r="H826" s="173"/>
    </row>
    <row r="827" spans="1:10" ht="31.5" x14ac:dyDescent="0.25">
      <c r="A827" s="25" t="s">
        <v>185</v>
      </c>
      <c r="B827" s="16">
        <v>908</v>
      </c>
      <c r="C827" s="20" t="s">
        <v>234</v>
      </c>
      <c r="D827" s="20" t="s">
        <v>213</v>
      </c>
      <c r="E827" s="20" t="s">
        <v>186</v>
      </c>
      <c r="F827" s="20"/>
      <c r="G827" s="26">
        <f>G828+G831+G834</f>
        <v>25111.200000000001</v>
      </c>
      <c r="H827" s="173"/>
    </row>
    <row r="828" spans="1:10" ht="47.25" x14ac:dyDescent="0.25">
      <c r="A828" s="99" t="s">
        <v>681</v>
      </c>
      <c r="B828" s="16">
        <v>908</v>
      </c>
      <c r="C828" s="20" t="s">
        <v>234</v>
      </c>
      <c r="D828" s="20" t="s">
        <v>213</v>
      </c>
      <c r="E828" s="20" t="s">
        <v>535</v>
      </c>
      <c r="F828" s="20"/>
      <c r="G828" s="26">
        <f>G829</f>
        <v>5000</v>
      </c>
      <c r="H828" s="173"/>
    </row>
    <row r="829" spans="1:10" ht="31.5" x14ac:dyDescent="0.25">
      <c r="A829" s="25" t="s">
        <v>131</v>
      </c>
      <c r="B829" s="16">
        <v>908</v>
      </c>
      <c r="C829" s="20" t="s">
        <v>234</v>
      </c>
      <c r="D829" s="20" t="s">
        <v>213</v>
      </c>
      <c r="E829" s="20" t="s">
        <v>535</v>
      </c>
      <c r="F829" s="20" t="s">
        <v>132</v>
      </c>
      <c r="G829" s="26">
        <f>G830</f>
        <v>5000</v>
      </c>
      <c r="H829" s="173"/>
    </row>
    <row r="830" spans="1:10" ht="47.25" x14ac:dyDescent="0.25">
      <c r="A830" s="25" t="s">
        <v>133</v>
      </c>
      <c r="B830" s="16">
        <v>908</v>
      </c>
      <c r="C830" s="20" t="s">
        <v>234</v>
      </c>
      <c r="D830" s="20" t="s">
        <v>213</v>
      </c>
      <c r="E830" s="20" t="s">
        <v>535</v>
      </c>
      <c r="F830" s="20" t="s">
        <v>134</v>
      </c>
      <c r="G830" s="26">
        <f>5000</f>
        <v>5000</v>
      </c>
      <c r="H830" s="173"/>
      <c r="I830" s="114"/>
    </row>
    <row r="831" spans="1:10" ht="31.5" x14ac:dyDescent="0.25">
      <c r="A831" s="35" t="s">
        <v>687</v>
      </c>
      <c r="B831" s="16">
        <v>908</v>
      </c>
      <c r="C831" s="20" t="s">
        <v>234</v>
      </c>
      <c r="D831" s="20" t="s">
        <v>213</v>
      </c>
      <c r="E831" s="20" t="s">
        <v>536</v>
      </c>
      <c r="F831" s="20"/>
      <c r="G831" s="26">
        <f>G832</f>
        <v>20000</v>
      </c>
      <c r="H831" s="173"/>
    </row>
    <row r="832" spans="1:10" ht="31.5" x14ac:dyDescent="0.25">
      <c r="A832" s="25" t="s">
        <v>131</v>
      </c>
      <c r="B832" s="16">
        <v>908</v>
      </c>
      <c r="C832" s="20" t="s">
        <v>234</v>
      </c>
      <c r="D832" s="20" t="s">
        <v>213</v>
      </c>
      <c r="E832" s="20" t="s">
        <v>536</v>
      </c>
      <c r="F832" s="20" t="s">
        <v>132</v>
      </c>
      <c r="G832" s="26">
        <f>G833</f>
        <v>20000</v>
      </c>
      <c r="H832" s="173"/>
    </row>
    <row r="833" spans="1:10" ht="47.25" x14ac:dyDescent="0.25">
      <c r="A833" s="25" t="s">
        <v>133</v>
      </c>
      <c r="B833" s="16">
        <v>908</v>
      </c>
      <c r="C833" s="20" t="s">
        <v>234</v>
      </c>
      <c r="D833" s="20" t="s">
        <v>213</v>
      </c>
      <c r="E833" s="20" t="s">
        <v>536</v>
      </c>
      <c r="F833" s="20" t="s">
        <v>134</v>
      </c>
      <c r="G833" s="26">
        <v>20000</v>
      </c>
      <c r="H833" s="105"/>
    </row>
    <row r="834" spans="1:10" ht="47.25" x14ac:dyDescent="0.25">
      <c r="A834" s="25" t="s">
        <v>688</v>
      </c>
      <c r="B834" s="16">
        <v>908</v>
      </c>
      <c r="C834" s="20" t="s">
        <v>234</v>
      </c>
      <c r="D834" s="20" t="s">
        <v>213</v>
      </c>
      <c r="E834" s="20" t="s">
        <v>689</v>
      </c>
      <c r="F834" s="20"/>
      <c r="G834" s="26">
        <f>G835</f>
        <v>111.2</v>
      </c>
      <c r="H834" s="107"/>
    </row>
    <row r="835" spans="1:10" ht="31.5" x14ac:dyDescent="0.25">
      <c r="A835" s="25" t="s">
        <v>131</v>
      </c>
      <c r="B835" s="16">
        <v>908</v>
      </c>
      <c r="C835" s="20" t="s">
        <v>234</v>
      </c>
      <c r="D835" s="20" t="s">
        <v>213</v>
      </c>
      <c r="E835" s="20" t="s">
        <v>689</v>
      </c>
      <c r="F835" s="20" t="s">
        <v>132</v>
      </c>
      <c r="G835" s="26">
        <f>G836</f>
        <v>111.2</v>
      </c>
      <c r="H835" s="107"/>
    </row>
    <row r="836" spans="1:10" ht="47.25" x14ac:dyDescent="0.25">
      <c r="A836" s="25" t="s">
        <v>133</v>
      </c>
      <c r="B836" s="16">
        <v>908</v>
      </c>
      <c r="C836" s="20" t="s">
        <v>234</v>
      </c>
      <c r="D836" s="20" t="s">
        <v>213</v>
      </c>
      <c r="E836" s="20" t="s">
        <v>689</v>
      </c>
      <c r="F836" s="20" t="s">
        <v>134</v>
      </c>
      <c r="G836" s="26">
        <v>111.2</v>
      </c>
      <c r="H836" s="107"/>
    </row>
    <row r="837" spans="1:10" ht="15.75" x14ac:dyDescent="0.25">
      <c r="A837" s="25" t="s">
        <v>141</v>
      </c>
      <c r="B837" s="16">
        <v>908</v>
      </c>
      <c r="C837" s="20" t="s">
        <v>234</v>
      </c>
      <c r="D837" s="20" t="s">
        <v>213</v>
      </c>
      <c r="E837" s="20" t="s">
        <v>142</v>
      </c>
      <c r="F837" s="20"/>
      <c r="G837" s="26">
        <f>G838+G844</f>
        <v>23031.999999999996</v>
      </c>
      <c r="H837" s="173"/>
    </row>
    <row r="838" spans="1:10" ht="31.5" x14ac:dyDescent="0.25">
      <c r="A838" s="35" t="s">
        <v>537</v>
      </c>
      <c r="B838" s="16">
        <v>908</v>
      </c>
      <c r="C838" s="20" t="s">
        <v>234</v>
      </c>
      <c r="D838" s="20" t="s">
        <v>213</v>
      </c>
      <c r="E838" s="20" t="s">
        <v>538</v>
      </c>
      <c r="F838" s="20"/>
      <c r="G838" s="26">
        <f>G839+G841</f>
        <v>20353.699999999997</v>
      </c>
      <c r="H838" s="173"/>
    </row>
    <row r="839" spans="1:10" ht="31.5" x14ac:dyDescent="0.25">
      <c r="A839" s="25" t="s">
        <v>131</v>
      </c>
      <c r="B839" s="16">
        <v>908</v>
      </c>
      <c r="C839" s="20" t="s">
        <v>234</v>
      </c>
      <c r="D839" s="20" t="s">
        <v>213</v>
      </c>
      <c r="E839" s="20" t="s">
        <v>538</v>
      </c>
      <c r="F839" s="20" t="s">
        <v>132</v>
      </c>
      <c r="G839" s="26">
        <f>G840</f>
        <v>20322.099999999999</v>
      </c>
      <c r="H839" s="173"/>
    </row>
    <row r="840" spans="1:10" ht="47.25" x14ac:dyDescent="0.25">
      <c r="A840" s="25" t="s">
        <v>133</v>
      </c>
      <c r="B840" s="16">
        <v>908</v>
      </c>
      <c r="C840" s="20" t="s">
        <v>234</v>
      </c>
      <c r="D840" s="20" t="s">
        <v>213</v>
      </c>
      <c r="E840" s="20" t="s">
        <v>538</v>
      </c>
      <c r="F840" s="20" t="s">
        <v>134</v>
      </c>
      <c r="G840" s="159">
        <f>10880-5000-2230+172.1+16500</f>
        <v>20322.099999999999</v>
      </c>
      <c r="H840" s="105" t="s">
        <v>749</v>
      </c>
      <c r="I840" s="114"/>
      <c r="J840" s="167" t="s">
        <v>718</v>
      </c>
    </row>
    <row r="841" spans="1:10" ht="15.75" x14ac:dyDescent="0.25">
      <c r="A841" s="25" t="s">
        <v>135</v>
      </c>
      <c r="B841" s="16">
        <v>908</v>
      </c>
      <c r="C841" s="20" t="s">
        <v>234</v>
      </c>
      <c r="D841" s="20" t="s">
        <v>213</v>
      </c>
      <c r="E841" s="20" t="s">
        <v>538</v>
      </c>
      <c r="F841" s="20" t="s">
        <v>145</v>
      </c>
      <c r="G841" s="26">
        <f>G842+G843</f>
        <v>31.6</v>
      </c>
      <c r="H841" s="173"/>
    </row>
    <row r="842" spans="1:10" ht="63" hidden="1" x14ac:dyDescent="0.25">
      <c r="A842" s="25" t="s">
        <v>184</v>
      </c>
      <c r="B842" s="16">
        <v>908</v>
      </c>
      <c r="C842" s="20" t="s">
        <v>234</v>
      </c>
      <c r="D842" s="20" t="s">
        <v>213</v>
      </c>
      <c r="E842" s="20" t="s">
        <v>538</v>
      </c>
      <c r="F842" s="20" t="s">
        <v>160</v>
      </c>
      <c r="G842" s="26">
        <v>0</v>
      </c>
      <c r="H842" s="173"/>
    </row>
    <row r="843" spans="1:10" ht="15.75" x14ac:dyDescent="0.25">
      <c r="A843" s="25" t="s">
        <v>568</v>
      </c>
      <c r="B843" s="16">
        <v>908</v>
      </c>
      <c r="C843" s="20" t="s">
        <v>234</v>
      </c>
      <c r="D843" s="20" t="s">
        <v>213</v>
      </c>
      <c r="E843" s="20" t="s">
        <v>538</v>
      </c>
      <c r="F843" s="20" t="s">
        <v>138</v>
      </c>
      <c r="G843" s="26">
        <v>31.6</v>
      </c>
      <c r="H843" s="105"/>
      <c r="I843" s="123"/>
    </row>
    <row r="844" spans="1:10" ht="15.75" x14ac:dyDescent="0.25">
      <c r="A844" s="25" t="s">
        <v>539</v>
      </c>
      <c r="B844" s="16">
        <v>908</v>
      </c>
      <c r="C844" s="20" t="s">
        <v>234</v>
      </c>
      <c r="D844" s="20" t="s">
        <v>213</v>
      </c>
      <c r="E844" s="20" t="s">
        <v>540</v>
      </c>
      <c r="F844" s="20"/>
      <c r="G844" s="26">
        <f>G845</f>
        <v>2678.3</v>
      </c>
      <c r="H844" s="173"/>
    </row>
    <row r="845" spans="1:10" ht="15.75" x14ac:dyDescent="0.25">
      <c r="A845" s="25" t="s">
        <v>135</v>
      </c>
      <c r="B845" s="16">
        <v>908</v>
      </c>
      <c r="C845" s="20" t="s">
        <v>234</v>
      </c>
      <c r="D845" s="20" t="s">
        <v>213</v>
      </c>
      <c r="E845" s="20" t="s">
        <v>540</v>
      </c>
      <c r="F845" s="20" t="s">
        <v>145</v>
      </c>
      <c r="G845" s="26">
        <f>G846</f>
        <v>2678.3</v>
      </c>
      <c r="H845" s="173"/>
    </row>
    <row r="846" spans="1:10" ht="15.75" x14ac:dyDescent="0.25">
      <c r="A846" s="25" t="s">
        <v>146</v>
      </c>
      <c r="B846" s="16">
        <v>908</v>
      </c>
      <c r="C846" s="20" t="s">
        <v>234</v>
      </c>
      <c r="D846" s="20" t="s">
        <v>213</v>
      </c>
      <c r="E846" s="20" t="s">
        <v>540</v>
      </c>
      <c r="F846" s="20" t="s">
        <v>147</v>
      </c>
      <c r="G846" s="26">
        <v>2678.3</v>
      </c>
      <c r="H846" s="173"/>
      <c r="I846" s="114"/>
    </row>
    <row r="847" spans="1:10" ht="15.75" x14ac:dyDescent="0.25">
      <c r="A847" s="23" t="s">
        <v>541</v>
      </c>
      <c r="B847" s="19">
        <v>908</v>
      </c>
      <c r="C847" s="24" t="s">
        <v>234</v>
      </c>
      <c r="D847" s="24" t="s">
        <v>215</v>
      </c>
      <c r="E847" s="24"/>
      <c r="F847" s="24"/>
      <c r="G847" s="21">
        <f>G848++G878+G874</f>
        <v>25464.6</v>
      </c>
      <c r="H847" s="173"/>
    </row>
    <row r="848" spans="1:10" ht="47.25" x14ac:dyDescent="0.25">
      <c r="A848" s="25" t="s">
        <v>542</v>
      </c>
      <c r="B848" s="16">
        <v>908</v>
      </c>
      <c r="C848" s="20" t="s">
        <v>234</v>
      </c>
      <c r="D848" s="20" t="s">
        <v>215</v>
      </c>
      <c r="E848" s="20" t="s">
        <v>543</v>
      </c>
      <c r="F848" s="20"/>
      <c r="G848" s="26">
        <f>G849+G859</f>
        <v>12375.499999999998</v>
      </c>
      <c r="H848" s="173"/>
    </row>
    <row r="849" spans="1:8" ht="47.25" x14ac:dyDescent="0.25">
      <c r="A849" s="25" t="s">
        <v>544</v>
      </c>
      <c r="B849" s="16">
        <v>908</v>
      </c>
      <c r="C849" s="20" t="s">
        <v>234</v>
      </c>
      <c r="D849" s="20" t="s">
        <v>215</v>
      </c>
      <c r="E849" s="20" t="s">
        <v>545</v>
      </c>
      <c r="F849" s="20"/>
      <c r="G849" s="26">
        <f>G850+G853+G856</f>
        <v>8697.2999999999993</v>
      </c>
      <c r="H849" s="173"/>
    </row>
    <row r="850" spans="1:8" ht="31.5" x14ac:dyDescent="0.25">
      <c r="A850" s="25" t="s">
        <v>546</v>
      </c>
      <c r="B850" s="16">
        <v>908</v>
      </c>
      <c r="C850" s="20" t="s">
        <v>234</v>
      </c>
      <c r="D850" s="20" t="s">
        <v>215</v>
      </c>
      <c r="E850" s="20" t="s">
        <v>547</v>
      </c>
      <c r="F850" s="20"/>
      <c r="G850" s="26">
        <f>G851</f>
        <v>253.4</v>
      </c>
      <c r="H850" s="173"/>
    </row>
    <row r="851" spans="1:8" ht="31.5" x14ac:dyDescent="0.25">
      <c r="A851" s="25" t="s">
        <v>131</v>
      </c>
      <c r="B851" s="16">
        <v>908</v>
      </c>
      <c r="C851" s="20" t="s">
        <v>234</v>
      </c>
      <c r="D851" s="20" t="s">
        <v>215</v>
      </c>
      <c r="E851" s="20" t="s">
        <v>547</v>
      </c>
      <c r="F851" s="20" t="s">
        <v>132</v>
      </c>
      <c r="G851" s="26">
        <f>G852</f>
        <v>253.4</v>
      </c>
      <c r="H851" s="173"/>
    </row>
    <row r="852" spans="1:8" ht="47.25" x14ac:dyDescent="0.25">
      <c r="A852" s="25" t="s">
        <v>133</v>
      </c>
      <c r="B852" s="16">
        <v>908</v>
      </c>
      <c r="C852" s="20" t="s">
        <v>234</v>
      </c>
      <c r="D852" s="20" t="s">
        <v>215</v>
      </c>
      <c r="E852" s="20" t="s">
        <v>547</v>
      </c>
      <c r="F852" s="20" t="s">
        <v>134</v>
      </c>
      <c r="G852" s="26">
        <v>253.4</v>
      </c>
      <c r="H852" s="173"/>
    </row>
    <row r="853" spans="1:8" ht="15.75" x14ac:dyDescent="0.25">
      <c r="A853" s="25" t="s">
        <v>548</v>
      </c>
      <c r="B853" s="16">
        <v>908</v>
      </c>
      <c r="C853" s="20" t="s">
        <v>234</v>
      </c>
      <c r="D853" s="20" t="s">
        <v>215</v>
      </c>
      <c r="E853" s="20" t="s">
        <v>549</v>
      </c>
      <c r="F853" s="20"/>
      <c r="G853" s="26">
        <f>G854</f>
        <v>5258.6</v>
      </c>
      <c r="H853" s="173"/>
    </row>
    <row r="854" spans="1:8" ht="31.5" x14ac:dyDescent="0.25">
      <c r="A854" s="25" t="s">
        <v>131</v>
      </c>
      <c r="B854" s="16">
        <v>908</v>
      </c>
      <c r="C854" s="20" t="s">
        <v>234</v>
      </c>
      <c r="D854" s="20" t="s">
        <v>215</v>
      </c>
      <c r="E854" s="20" t="s">
        <v>549</v>
      </c>
      <c r="F854" s="20" t="s">
        <v>132</v>
      </c>
      <c r="G854" s="26">
        <f>G855</f>
        <v>5258.6</v>
      </c>
      <c r="H854" s="173"/>
    </row>
    <row r="855" spans="1:8" ht="47.25" x14ac:dyDescent="0.25">
      <c r="A855" s="25" t="s">
        <v>133</v>
      </c>
      <c r="B855" s="16">
        <v>908</v>
      </c>
      <c r="C855" s="20" t="s">
        <v>234</v>
      </c>
      <c r="D855" s="20" t="s">
        <v>215</v>
      </c>
      <c r="E855" s="20" t="s">
        <v>549</v>
      </c>
      <c r="F855" s="20" t="s">
        <v>134</v>
      </c>
      <c r="G855" s="26">
        <v>5258.6</v>
      </c>
      <c r="H855" s="173"/>
    </row>
    <row r="856" spans="1:8" ht="15.75" x14ac:dyDescent="0.25">
      <c r="A856" s="25" t="s">
        <v>550</v>
      </c>
      <c r="B856" s="16">
        <v>908</v>
      </c>
      <c r="C856" s="20" t="s">
        <v>234</v>
      </c>
      <c r="D856" s="20" t="s">
        <v>215</v>
      </c>
      <c r="E856" s="20" t="s">
        <v>551</v>
      </c>
      <c r="F856" s="20"/>
      <c r="G856" s="26">
        <f>G857</f>
        <v>3185.3</v>
      </c>
      <c r="H856" s="173"/>
    </row>
    <row r="857" spans="1:8" ht="31.5" x14ac:dyDescent="0.25">
      <c r="A857" s="25" t="s">
        <v>131</v>
      </c>
      <c r="B857" s="16">
        <v>908</v>
      </c>
      <c r="C857" s="20" t="s">
        <v>234</v>
      </c>
      <c r="D857" s="20" t="s">
        <v>215</v>
      </c>
      <c r="E857" s="20" t="s">
        <v>551</v>
      </c>
      <c r="F857" s="20" t="s">
        <v>132</v>
      </c>
      <c r="G857" s="26">
        <f>G858</f>
        <v>3185.3</v>
      </c>
      <c r="H857" s="173"/>
    </row>
    <row r="858" spans="1:8" ht="47.25" x14ac:dyDescent="0.25">
      <c r="A858" s="25" t="s">
        <v>133</v>
      </c>
      <c r="B858" s="16">
        <v>908</v>
      </c>
      <c r="C858" s="20" t="s">
        <v>234</v>
      </c>
      <c r="D858" s="20" t="s">
        <v>215</v>
      </c>
      <c r="E858" s="20" t="s">
        <v>551</v>
      </c>
      <c r="F858" s="20" t="s">
        <v>134</v>
      </c>
      <c r="G858" s="26">
        <v>3185.3</v>
      </c>
      <c r="H858" s="173"/>
    </row>
    <row r="859" spans="1:8" ht="47.25" x14ac:dyDescent="0.25">
      <c r="A859" s="25" t="s">
        <v>552</v>
      </c>
      <c r="B859" s="16">
        <v>908</v>
      </c>
      <c r="C859" s="20" t="s">
        <v>234</v>
      </c>
      <c r="D859" s="20" t="s">
        <v>215</v>
      </c>
      <c r="E859" s="20" t="s">
        <v>553</v>
      </c>
      <c r="F859" s="20"/>
      <c r="G859" s="26">
        <f>G860+G865+G868+G871</f>
        <v>3678.1999999999994</v>
      </c>
      <c r="H859" s="173"/>
    </row>
    <row r="860" spans="1:8" ht="15.75" x14ac:dyDescent="0.25">
      <c r="A860" s="25" t="s">
        <v>550</v>
      </c>
      <c r="B860" s="16">
        <v>908</v>
      </c>
      <c r="C860" s="20" t="s">
        <v>234</v>
      </c>
      <c r="D860" s="20" t="s">
        <v>215</v>
      </c>
      <c r="E860" s="20" t="s">
        <v>554</v>
      </c>
      <c r="F860" s="20"/>
      <c r="G860" s="26">
        <f>G861+G863</f>
        <v>1112.3999999999999</v>
      </c>
      <c r="H860" s="173"/>
    </row>
    <row r="861" spans="1:8" ht="94.5" x14ac:dyDescent="0.25">
      <c r="A861" s="25" t="s">
        <v>127</v>
      </c>
      <c r="B861" s="16">
        <v>908</v>
      </c>
      <c r="C861" s="20" t="s">
        <v>234</v>
      </c>
      <c r="D861" s="20" t="s">
        <v>215</v>
      </c>
      <c r="E861" s="20" t="s">
        <v>554</v>
      </c>
      <c r="F861" s="20" t="s">
        <v>128</v>
      </c>
      <c r="G861" s="26">
        <f>G862</f>
        <v>892.8</v>
      </c>
      <c r="H861" s="173"/>
    </row>
    <row r="862" spans="1:8" ht="31.5" x14ac:dyDescent="0.25">
      <c r="A862" s="46" t="s">
        <v>342</v>
      </c>
      <c r="B862" s="16">
        <v>908</v>
      </c>
      <c r="C862" s="20" t="s">
        <v>234</v>
      </c>
      <c r="D862" s="20" t="s">
        <v>215</v>
      </c>
      <c r="E862" s="20" t="s">
        <v>554</v>
      </c>
      <c r="F862" s="20" t="s">
        <v>209</v>
      </c>
      <c r="G862" s="26">
        <f>801.5+91.3</f>
        <v>892.8</v>
      </c>
      <c r="H862" s="105"/>
    </row>
    <row r="863" spans="1:8" ht="31.5" x14ac:dyDescent="0.25">
      <c r="A863" s="25" t="s">
        <v>131</v>
      </c>
      <c r="B863" s="16">
        <v>908</v>
      </c>
      <c r="C863" s="20" t="s">
        <v>234</v>
      </c>
      <c r="D863" s="20" t="s">
        <v>215</v>
      </c>
      <c r="E863" s="20" t="s">
        <v>554</v>
      </c>
      <c r="F863" s="20" t="s">
        <v>132</v>
      </c>
      <c r="G863" s="26">
        <f>G864</f>
        <v>219.6</v>
      </c>
      <c r="H863" s="173"/>
    </row>
    <row r="864" spans="1:8" ht="47.25" x14ac:dyDescent="0.25">
      <c r="A864" s="25" t="s">
        <v>133</v>
      </c>
      <c r="B864" s="16">
        <v>908</v>
      </c>
      <c r="C864" s="20" t="s">
        <v>234</v>
      </c>
      <c r="D864" s="20" t="s">
        <v>215</v>
      </c>
      <c r="E864" s="20" t="s">
        <v>554</v>
      </c>
      <c r="F864" s="20" t="s">
        <v>134</v>
      </c>
      <c r="G864" s="26">
        <v>219.6</v>
      </c>
      <c r="H864" s="173"/>
    </row>
    <row r="865" spans="1:8" ht="15.75" x14ac:dyDescent="0.25">
      <c r="A865" s="25" t="s">
        <v>555</v>
      </c>
      <c r="B865" s="16">
        <v>908</v>
      </c>
      <c r="C865" s="20" t="s">
        <v>234</v>
      </c>
      <c r="D865" s="20" t="s">
        <v>215</v>
      </c>
      <c r="E865" s="20" t="s">
        <v>556</v>
      </c>
      <c r="F865" s="20"/>
      <c r="G865" s="26">
        <f>G866</f>
        <v>86.6</v>
      </c>
      <c r="H865" s="173"/>
    </row>
    <row r="866" spans="1:8" ht="31.5" x14ac:dyDescent="0.25">
      <c r="A866" s="25" t="s">
        <v>131</v>
      </c>
      <c r="B866" s="16">
        <v>908</v>
      </c>
      <c r="C866" s="20" t="s">
        <v>234</v>
      </c>
      <c r="D866" s="20" t="s">
        <v>215</v>
      </c>
      <c r="E866" s="20" t="s">
        <v>556</v>
      </c>
      <c r="F866" s="20" t="s">
        <v>132</v>
      </c>
      <c r="G866" s="26">
        <f>G867</f>
        <v>86.6</v>
      </c>
      <c r="H866" s="173"/>
    </row>
    <row r="867" spans="1:8" ht="47.25" x14ac:dyDescent="0.25">
      <c r="A867" s="25" t="s">
        <v>133</v>
      </c>
      <c r="B867" s="16">
        <v>908</v>
      </c>
      <c r="C867" s="20" t="s">
        <v>234</v>
      </c>
      <c r="D867" s="20" t="s">
        <v>215</v>
      </c>
      <c r="E867" s="20" t="s">
        <v>556</v>
      </c>
      <c r="F867" s="20" t="s">
        <v>134</v>
      </c>
      <c r="G867" s="26">
        <v>86.6</v>
      </c>
      <c r="H867" s="173"/>
    </row>
    <row r="868" spans="1:8" ht="47.25" x14ac:dyDescent="0.25">
      <c r="A868" s="45" t="s">
        <v>557</v>
      </c>
      <c r="B868" s="16">
        <v>908</v>
      </c>
      <c r="C868" s="20" t="s">
        <v>234</v>
      </c>
      <c r="D868" s="20" t="s">
        <v>215</v>
      </c>
      <c r="E868" s="20" t="s">
        <v>558</v>
      </c>
      <c r="F868" s="20"/>
      <c r="G868" s="26">
        <f>G869</f>
        <v>2130.6</v>
      </c>
      <c r="H868" s="173"/>
    </row>
    <row r="869" spans="1:8" ht="31.5" x14ac:dyDescent="0.25">
      <c r="A869" s="25" t="s">
        <v>131</v>
      </c>
      <c r="B869" s="16">
        <v>908</v>
      </c>
      <c r="C869" s="20" t="s">
        <v>234</v>
      </c>
      <c r="D869" s="20" t="s">
        <v>215</v>
      </c>
      <c r="E869" s="20" t="s">
        <v>558</v>
      </c>
      <c r="F869" s="20" t="s">
        <v>132</v>
      </c>
      <c r="G869" s="26">
        <f>G870</f>
        <v>2130.6</v>
      </c>
      <c r="H869" s="173"/>
    </row>
    <row r="870" spans="1:8" ht="47.25" x14ac:dyDescent="0.25">
      <c r="A870" s="25" t="s">
        <v>133</v>
      </c>
      <c r="B870" s="16">
        <v>908</v>
      </c>
      <c r="C870" s="20" t="s">
        <v>234</v>
      </c>
      <c r="D870" s="20" t="s">
        <v>215</v>
      </c>
      <c r="E870" s="20" t="s">
        <v>558</v>
      </c>
      <c r="F870" s="20" t="s">
        <v>134</v>
      </c>
      <c r="G870" s="26">
        <v>2130.6</v>
      </c>
      <c r="H870" s="173"/>
    </row>
    <row r="871" spans="1:8" ht="31.5" x14ac:dyDescent="0.25">
      <c r="A871" s="45" t="s">
        <v>559</v>
      </c>
      <c r="B871" s="16">
        <v>908</v>
      </c>
      <c r="C871" s="20" t="s">
        <v>234</v>
      </c>
      <c r="D871" s="20" t="s">
        <v>215</v>
      </c>
      <c r="E871" s="20" t="s">
        <v>560</v>
      </c>
      <c r="F871" s="20"/>
      <c r="G871" s="26">
        <f>G872</f>
        <v>348.6</v>
      </c>
      <c r="H871" s="173"/>
    </row>
    <row r="872" spans="1:8" ht="31.5" x14ac:dyDescent="0.25">
      <c r="A872" s="25" t="s">
        <v>131</v>
      </c>
      <c r="B872" s="16">
        <v>908</v>
      </c>
      <c r="C872" s="20" t="s">
        <v>234</v>
      </c>
      <c r="D872" s="20" t="s">
        <v>215</v>
      </c>
      <c r="E872" s="20" t="s">
        <v>560</v>
      </c>
      <c r="F872" s="20" t="s">
        <v>132</v>
      </c>
      <c r="G872" s="26">
        <f>G873</f>
        <v>348.6</v>
      </c>
      <c r="H872" s="173"/>
    </row>
    <row r="873" spans="1:8" ht="47.25" x14ac:dyDescent="0.25">
      <c r="A873" s="25" t="s">
        <v>133</v>
      </c>
      <c r="B873" s="16">
        <v>908</v>
      </c>
      <c r="C873" s="20" t="s">
        <v>234</v>
      </c>
      <c r="D873" s="20" t="s">
        <v>215</v>
      </c>
      <c r="E873" s="20" t="s">
        <v>560</v>
      </c>
      <c r="F873" s="20" t="s">
        <v>134</v>
      </c>
      <c r="G873" s="26">
        <v>348.6</v>
      </c>
      <c r="H873" s="173"/>
    </row>
    <row r="874" spans="1:8" ht="63" x14ac:dyDescent="0.25">
      <c r="A874" s="25" t="s">
        <v>709</v>
      </c>
      <c r="B874" s="16">
        <v>908</v>
      </c>
      <c r="C874" s="20" t="s">
        <v>234</v>
      </c>
      <c r="D874" s="20" t="s">
        <v>215</v>
      </c>
      <c r="E874" s="20" t="s">
        <v>711</v>
      </c>
      <c r="F874" s="20"/>
      <c r="G874" s="26">
        <f>G875</f>
        <v>600</v>
      </c>
      <c r="H874" s="173"/>
    </row>
    <row r="875" spans="1:8" ht="31.5" x14ac:dyDescent="0.25">
      <c r="A875" s="80" t="s">
        <v>710</v>
      </c>
      <c r="B875" s="16">
        <v>908</v>
      </c>
      <c r="C875" s="20" t="s">
        <v>234</v>
      </c>
      <c r="D875" s="20" t="s">
        <v>215</v>
      </c>
      <c r="E875" s="20" t="s">
        <v>712</v>
      </c>
      <c r="F875" s="20"/>
      <c r="G875" s="26">
        <f>G876</f>
        <v>600</v>
      </c>
      <c r="H875" s="173"/>
    </row>
    <row r="876" spans="1:8" ht="31.5" x14ac:dyDescent="0.25">
      <c r="A876" s="25" t="s">
        <v>131</v>
      </c>
      <c r="B876" s="16">
        <v>908</v>
      </c>
      <c r="C876" s="20" t="s">
        <v>234</v>
      </c>
      <c r="D876" s="20" t="s">
        <v>215</v>
      </c>
      <c r="E876" s="20" t="s">
        <v>712</v>
      </c>
      <c r="F876" s="20" t="s">
        <v>132</v>
      </c>
      <c r="G876" s="26">
        <f>G877</f>
        <v>600</v>
      </c>
      <c r="H876" s="173"/>
    </row>
    <row r="877" spans="1:8" ht="47.25" x14ac:dyDescent="0.25">
      <c r="A877" s="25" t="s">
        <v>133</v>
      </c>
      <c r="B877" s="16">
        <v>908</v>
      </c>
      <c r="C877" s="20" t="s">
        <v>234</v>
      </c>
      <c r="D877" s="20" t="s">
        <v>215</v>
      </c>
      <c r="E877" s="20" t="s">
        <v>712</v>
      </c>
      <c r="F877" s="20" t="s">
        <v>134</v>
      </c>
      <c r="G877" s="26">
        <v>600</v>
      </c>
      <c r="H877" s="105"/>
    </row>
    <row r="878" spans="1:8" ht="15.75" x14ac:dyDescent="0.25">
      <c r="A878" s="25" t="s">
        <v>121</v>
      </c>
      <c r="B878" s="16">
        <v>908</v>
      </c>
      <c r="C878" s="20" t="s">
        <v>234</v>
      </c>
      <c r="D878" s="20" t="s">
        <v>215</v>
      </c>
      <c r="E878" s="20" t="s">
        <v>122</v>
      </c>
      <c r="F878" s="20"/>
      <c r="G878" s="26">
        <f>G879+G892</f>
        <v>12489.099999999999</v>
      </c>
      <c r="H878" s="173"/>
    </row>
    <row r="879" spans="1:8" ht="31.5" x14ac:dyDescent="0.25">
      <c r="A879" s="25" t="s">
        <v>185</v>
      </c>
      <c r="B879" s="16">
        <v>908</v>
      </c>
      <c r="C879" s="20" t="s">
        <v>234</v>
      </c>
      <c r="D879" s="20" t="s">
        <v>215</v>
      </c>
      <c r="E879" s="20" t="s">
        <v>186</v>
      </c>
      <c r="F879" s="20"/>
      <c r="G879" s="26">
        <f>G880+G883+G886+G889</f>
        <v>12033.199999999999</v>
      </c>
      <c r="H879" s="173"/>
    </row>
    <row r="880" spans="1:8" ht="31.5" x14ac:dyDescent="0.25">
      <c r="A880" s="25" t="s">
        <v>561</v>
      </c>
      <c r="B880" s="16">
        <v>908</v>
      </c>
      <c r="C880" s="20" t="s">
        <v>234</v>
      </c>
      <c r="D880" s="20" t="s">
        <v>215</v>
      </c>
      <c r="E880" s="20" t="s">
        <v>562</v>
      </c>
      <c r="F880" s="20"/>
      <c r="G880" s="26">
        <f>G881</f>
        <v>6302.4</v>
      </c>
      <c r="H880" s="173"/>
    </row>
    <row r="881" spans="1:9" ht="31.5" x14ac:dyDescent="0.25">
      <c r="A881" s="25" t="s">
        <v>131</v>
      </c>
      <c r="B881" s="16">
        <v>908</v>
      </c>
      <c r="C881" s="20" t="s">
        <v>234</v>
      </c>
      <c r="D881" s="20" t="s">
        <v>215</v>
      </c>
      <c r="E881" s="20" t="s">
        <v>562</v>
      </c>
      <c r="F881" s="20" t="s">
        <v>132</v>
      </c>
      <c r="G881" s="26">
        <f>G882</f>
        <v>6302.4</v>
      </c>
      <c r="H881" s="173"/>
    </row>
    <row r="882" spans="1:9" ht="47.25" x14ac:dyDescent="0.25">
      <c r="A882" s="25" t="s">
        <v>133</v>
      </c>
      <c r="B882" s="16">
        <v>908</v>
      </c>
      <c r="C882" s="20" t="s">
        <v>234</v>
      </c>
      <c r="D882" s="20" t="s">
        <v>215</v>
      </c>
      <c r="E882" s="20" t="s">
        <v>562</v>
      </c>
      <c r="F882" s="20" t="s">
        <v>134</v>
      </c>
      <c r="G882" s="26">
        <f>3907.3-814.9+3210</f>
        <v>6302.4</v>
      </c>
      <c r="H882" s="105"/>
      <c r="I882" s="114"/>
    </row>
    <row r="883" spans="1:9" ht="47.25" x14ac:dyDescent="0.25">
      <c r="A883" s="25" t="s">
        <v>690</v>
      </c>
      <c r="B883" s="16">
        <v>908</v>
      </c>
      <c r="C883" s="20" t="s">
        <v>234</v>
      </c>
      <c r="D883" s="20" t="s">
        <v>215</v>
      </c>
      <c r="E883" s="20" t="s">
        <v>691</v>
      </c>
      <c r="F883" s="20"/>
      <c r="G883" s="26">
        <f>G884</f>
        <v>2132</v>
      </c>
      <c r="H883" s="173"/>
    </row>
    <row r="884" spans="1:9" ht="31.5" x14ac:dyDescent="0.25">
      <c r="A884" s="25" t="s">
        <v>131</v>
      </c>
      <c r="B884" s="16">
        <v>908</v>
      </c>
      <c r="C884" s="20" t="s">
        <v>234</v>
      </c>
      <c r="D884" s="20" t="s">
        <v>215</v>
      </c>
      <c r="E884" s="20" t="s">
        <v>691</v>
      </c>
      <c r="F884" s="20" t="s">
        <v>132</v>
      </c>
      <c r="G884" s="26">
        <f>G885</f>
        <v>2132</v>
      </c>
      <c r="H884" s="173"/>
    </row>
    <row r="885" spans="1:9" ht="47.25" x14ac:dyDescent="0.25">
      <c r="A885" s="25" t="s">
        <v>133</v>
      </c>
      <c r="B885" s="16">
        <v>908</v>
      </c>
      <c r="C885" s="20" t="s">
        <v>234</v>
      </c>
      <c r="D885" s="20" t="s">
        <v>215</v>
      </c>
      <c r="E885" s="20" t="s">
        <v>691</v>
      </c>
      <c r="F885" s="20" t="s">
        <v>134</v>
      </c>
      <c r="G885" s="26">
        <v>2132</v>
      </c>
      <c r="H885" s="105"/>
    </row>
    <row r="886" spans="1:9" ht="47.25" x14ac:dyDescent="0.25">
      <c r="A886" s="25" t="s">
        <v>692</v>
      </c>
      <c r="B886" s="16">
        <v>908</v>
      </c>
      <c r="C886" s="20" t="s">
        <v>234</v>
      </c>
      <c r="D886" s="20" t="s">
        <v>215</v>
      </c>
      <c r="E886" s="20" t="s">
        <v>563</v>
      </c>
      <c r="F886" s="20"/>
      <c r="G886" s="26">
        <f>G887</f>
        <v>2000</v>
      </c>
      <c r="H886" s="173"/>
    </row>
    <row r="887" spans="1:9" ht="31.5" x14ac:dyDescent="0.25">
      <c r="A887" s="25" t="s">
        <v>131</v>
      </c>
      <c r="B887" s="16">
        <v>908</v>
      </c>
      <c r="C887" s="20" t="s">
        <v>234</v>
      </c>
      <c r="D887" s="20" t="s">
        <v>215</v>
      </c>
      <c r="E887" s="20" t="s">
        <v>563</v>
      </c>
      <c r="F887" s="20" t="s">
        <v>132</v>
      </c>
      <c r="G887" s="26">
        <f>G888</f>
        <v>2000</v>
      </c>
      <c r="H887" s="173"/>
    </row>
    <row r="888" spans="1:9" ht="47.25" x14ac:dyDescent="0.25">
      <c r="A888" s="25" t="s">
        <v>133</v>
      </c>
      <c r="B888" s="16">
        <v>908</v>
      </c>
      <c r="C888" s="20" t="s">
        <v>234</v>
      </c>
      <c r="D888" s="20" t="s">
        <v>215</v>
      </c>
      <c r="E888" s="20" t="s">
        <v>563</v>
      </c>
      <c r="F888" s="20" t="s">
        <v>134</v>
      </c>
      <c r="G888" s="26">
        <v>2000</v>
      </c>
      <c r="H888" s="105"/>
    </row>
    <row r="889" spans="1:9" ht="63" x14ac:dyDescent="0.25">
      <c r="A889" s="25" t="s">
        <v>693</v>
      </c>
      <c r="B889" s="16">
        <v>908</v>
      </c>
      <c r="C889" s="20" t="s">
        <v>234</v>
      </c>
      <c r="D889" s="20" t="s">
        <v>215</v>
      </c>
      <c r="E889" s="20" t="s">
        <v>694</v>
      </c>
      <c r="F889" s="20"/>
      <c r="G889" s="26">
        <f>G890</f>
        <v>1598.8</v>
      </c>
      <c r="H889" s="107"/>
    </row>
    <row r="890" spans="1:9" ht="31.5" x14ac:dyDescent="0.25">
      <c r="A890" s="25" t="s">
        <v>131</v>
      </c>
      <c r="B890" s="16">
        <v>908</v>
      </c>
      <c r="C890" s="20" t="s">
        <v>234</v>
      </c>
      <c r="D890" s="20" t="s">
        <v>215</v>
      </c>
      <c r="E890" s="20" t="s">
        <v>694</v>
      </c>
      <c r="F890" s="20" t="s">
        <v>132</v>
      </c>
      <c r="G890" s="26">
        <f>G891</f>
        <v>1598.8</v>
      </c>
      <c r="H890" s="107"/>
    </row>
    <row r="891" spans="1:9" ht="47.25" x14ac:dyDescent="0.25">
      <c r="A891" s="25" t="s">
        <v>133</v>
      </c>
      <c r="B891" s="16">
        <v>908</v>
      </c>
      <c r="C891" s="20" t="s">
        <v>234</v>
      </c>
      <c r="D891" s="20" t="s">
        <v>215</v>
      </c>
      <c r="E891" s="20" t="s">
        <v>694</v>
      </c>
      <c r="F891" s="20" t="s">
        <v>134</v>
      </c>
      <c r="G891" s="26">
        <v>1598.8</v>
      </c>
      <c r="H891" s="107"/>
    </row>
    <row r="892" spans="1:9" ht="15.75" x14ac:dyDescent="0.25">
      <c r="A892" s="25" t="s">
        <v>141</v>
      </c>
      <c r="B892" s="16">
        <v>908</v>
      </c>
      <c r="C892" s="20" t="s">
        <v>234</v>
      </c>
      <c r="D892" s="20" t="s">
        <v>215</v>
      </c>
      <c r="E892" s="20" t="s">
        <v>142</v>
      </c>
      <c r="F892" s="20"/>
      <c r="G892" s="26">
        <f>G893</f>
        <v>455.9</v>
      </c>
      <c r="H892" s="173"/>
    </row>
    <row r="893" spans="1:9" ht="15.75" x14ac:dyDescent="0.25">
      <c r="A893" s="25" t="s">
        <v>564</v>
      </c>
      <c r="B893" s="16">
        <v>908</v>
      </c>
      <c r="C893" s="20" t="s">
        <v>234</v>
      </c>
      <c r="D893" s="20" t="s">
        <v>215</v>
      </c>
      <c r="E893" s="20" t="s">
        <v>565</v>
      </c>
      <c r="F893" s="20"/>
      <c r="G893" s="26">
        <f>G894</f>
        <v>455.9</v>
      </c>
      <c r="H893" s="173"/>
    </row>
    <row r="894" spans="1:9" ht="31.5" x14ac:dyDescent="0.25">
      <c r="A894" s="25" t="s">
        <v>131</v>
      </c>
      <c r="B894" s="16">
        <v>908</v>
      </c>
      <c r="C894" s="20" t="s">
        <v>234</v>
      </c>
      <c r="D894" s="20" t="s">
        <v>215</v>
      </c>
      <c r="E894" s="20" t="s">
        <v>565</v>
      </c>
      <c r="F894" s="20" t="s">
        <v>132</v>
      </c>
      <c r="G894" s="26">
        <f>G895</f>
        <v>455.9</v>
      </c>
      <c r="H894" s="173"/>
    </row>
    <row r="895" spans="1:9" ht="47.25" x14ac:dyDescent="0.25">
      <c r="A895" s="25" t="s">
        <v>133</v>
      </c>
      <c r="B895" s="16">
        <v>908</v>
      </c>
      <c r="C895" s="20" t="s">
        <v>234</v>
      </c>
      <c r="D895" s="20" t="s">
        <v>215</v>
      </c>
      <c r="E895" s="20" t="s">
        <v>565</v>
      </c>
      <c r="F895" s="20" t="s">
        <v>134</v>
      </c>
      <c r="G895" s="27">
        <v>455.9</v>
      </c>
      <c r="H895" s="173"/>
    </row>
    <row r="896" spans="1:9" ht="15.75" hidden="1" x14ac:dyDescent="0.25">
      <c r="A896" s="25" t="s">
        <v>566</v>
      </c>
      <c r="B896" s="16">
        <v>908</v>
      </c>
      <c r="C896" s="20" t="s">
        <v>234</v>
      </c>
      <c r="D896" s="20" t="s">
        <v>215</v>
      </c>
      <c r="E896" s="20" t="s">
        <v>567</v>
      </c>
      <c r="F896" s="20"/>
      <c r="G896" s="27">
        <f>G897</f>
        <v>0</v>
      </c>
      <c r="H896" s="173"/>
    </row>
    <row r="897" spans="1:10" ht="15.75" hidden="1" x14ac:dyDescent="0.25">
      <c r="A897" s="25" t="s">
        <v>135</v>
      </c>
      <c r="B897" s="16">
        <v>908</v>
      </c>
      <c r="C897" s="20" t="s">
        <v>234</v>
      </c>
      <c r="D897" s="20" t="s">
        <v>215</v>
      </c>
      <c r="E897" s="20" t="s">
        <v>567</v>
      </c>
      <c r="F897" s="20" t="s">
        <v>145</v>
      </c>
      <c r="G897" s="27">
        <f>G898</f>
        <v>0</v>
      </c>
      <c r="H897" s="173"/>
    </row>
    <row r="898" spans="1:10" ht="15.75" hidden="1" x14ac:dyDescent="0.25">
      <c r="A898" s="25" t="s">
        <v>568</v>
      </c>
      <c r="B898" s="16">
        <v>908</v>
      </c>
      <c r="C898" s="20" t="s">
        <v>234</v>
      </c>
      <c r="D898" s="20" t="s">
        <v>215</v>
      </c>
      <c r="E898" s="20" t="s">
        <v>567</v>
      </c>
      <c r="F898" s="20" t="s">
        <v>138</v>
      </c>
      <c r="G898" s="27">
        <v>0</v>
      </c>
      <c r="H898" s="173"/>
    </row>
    <row r="899" spans="1:10" ht="31.5" x14ac:dyDescent="0.25">
      <c r="A899" s="23" t="s">
        <v>569</v>
      </c>
      <c r="B899" s="19">
        <v>908</v>
      </c>
      <c r="C899" s="24" t="s">
        <v>234</v>
      </c>
      <c r="D899" s="24" t="s">
        <v>234</v>
      </c>
      <c r="E899" s="24"/>
      <c r="F899" s="24"/>
      <c r="G899" s="21">
        <f>G900</f>
        <v>21124.69</v>
      </c>
      <c r="H899" s="173"/>
    </row>
    <row r="900" spans="1:10" ht="15.75" x14ac:dyDescent="0.25">
      <c r="A900" s="25" t="s">
        <v>121</v>
      </c>
      <c r="B900" s="16">
        <v>908</v>
      </c>
      <c r="C900" s="20" t="s">
        <v>234</v>
      </c>
      <c r="D900" s="20" t="s">
        <v>234</v>
      </c>
      <c r="E900" s="20" t="s">
        <v>122</v>
      </c>
      <c r="F900" s="20"/>
      <c r="G900" s="26">
        <f>G901+G909</f>
        <v>21124.69</v>
      </c>
      <c r="H900" s="173"/>
    </row>
    <row r="901" spans="1:10" ht="31.5" x14ac:dyDescent="0.25">
      <c r="A901" s="25" t="s">
        <v>123</v>
      </c>
      <c r="B901" s="16">
        <v>908</v>
      </c>
      <c r="C901" s="20" t="s">
        <v>234</v>
      </c>
      <c r="D901" s="20" t="s">
        <v>234</v>
      </c>
      <c r="E901" s="20" t="s">
        <v>124</v>
      </c>
      <c r="F901" s="20"/>
      <c r="G901" s="26">
        <f>G902</f>
        <v>13501.699999999999</v>
      </c>
      <c r="H901" s="173"/>
    </row>
    <row r="902" spans="1:10" ht="47.25" x14ac:dyDescent="0.25">
      <c r="A902" s="25" t="s">
        <v>125</v>
      </c>
      <c r="B902" s="16">
        <v>908</v>
      </c>
      <c r="C902" s="20" t="s">
        <v>234</v>
      </c>
      <c r="D902" s="20" t="s">
        <v>234</v>
      </c>
      <c r="E902" s="20" t="s">
        <v>126</v>
      </c>
      <c r="F902" s="20"/>
      <c r="G902" s="26">
        <f>G903+G907+G905</f>
        <v>13501.699999999999</v>
      </c>
      <c r="H902" s="173"/>
    </row>
    <row r="903" spans="1:10" ht="94.5" x14ac:dyDescent="0.25">
      <c r="A903" s="25" t="s">
        <v>127</v>
      </c>
      <c r="B903" s="16">
        <v>908</v>
      </c>
      <c r="C903" s="20" t="s">
        <v>234</v>
      </c>
      <c r="D903" s="20" t="s">
        <v>234</v>
      </c>
      <c r="E903" s="20" t="s">
        <v>126</v>
      </c>
      <c r="F903" s="20" t="s">
        <v>128</v>
      </c>
      <c r="G903" s="26">
        <f>G904</f>
        <v>13327.8</v>
      </c>
      <c r="H903" s="173"/>
    </row>
    <row r="904" spans="1:10" ht="31.5" x14ac:dyDescent="0.25">
      <c r="A904" s="25" t="s">
        <v>129</v>
      </c>
      <c r="B904" s="16">
        <v>908</v>
      </c>
      <c r="C904" s="20" t="s">
        <v>234</v>
      </c>
      <c r="D904" s="20" t="s">
        <v>234</v>
      </c>
      <c r="E904" s="20" t="s">
        <v>126</v>
      </c>
      <c r="F904" s="20" t="s">
        <v>130</v>
      </c>
      <c r="G904" s="163">
        <f>13259.3+28.4+100-59.9</f>
        <v>13327.8</v>
      </c>
      <c r="H904" s="105" t="s">
        <v>747</v>
      </c>
      <c r="I904" s="123"/>
      <c r="J904" s="167" t="s">
        <v>754</v>
      </c>
    </row>
    <row r="905" spans="1:10" ht="31.5" x14ac:dyDescent="0.25">
      <c r="A905" s="25" t="s">
        <v>131</v>
      </c>
      <c r="B905" s="16">
        <v>908</v>
      </c>
      <c r="C905" s="20" t="s">
        <v>234</v>
      </c>
      <c r="D905" s="20" t="s">
        <v>234</v>
      </c>
      <c r="E905" s="20" t="s">
        <v>126</v>
      </c>
      <c r="F905" s="20" t="s">
        <v>132</v>
      </c>
      <c r="G905" s="26">
        <f>G906</f>
        <v>25</v>
      </c>
      <c r="H905" s="173"/>
    </row>
    <row r="906" spans="1:10" ht="47.25" x14ac:dyDescent="0.25">
      <c r="A906" s="25" t="s">
        <v>133</v>
      </c>
      <c r="B906" s="16">
        <v>908</v>
      </c>
      <c r="C906" s="20" t="s">
        <v>234</v>
      </c>
      <c r="D906" s="20" t="s">
        <v>234</v>
      </c>
      <c r="E906" s="20" t="s">
        <v>126</v>
      </c>
      <c r="F906" s="20" t="s">
        <v>134</v>
      </c>
      <c r="G906" s="27">
        <v>25</v>
      </c>
      <c r="H906" s="105"/>
      <c r="I906" s="123"/>
    </row>
    <row r="907" spans="1:10" ht="15.75" x14ac:dyDescent="0.25">
      <c r="A907" s="25" t="s">
        <v>135</v>
      </c>
      <c r="B907" s="16">
        <v>908</v>
      </c>
      <c r="C907" s="20" t="s">
        <v>234</v>
      </c>
      <c r="D907" s="20" t="s">
        <v>234</v>
      </c>
      <c r="E907" s="20" t="s">
        <v>126</v>
      </c>
      <c r="F907" s="20" t="s">
        <v>145</v>
      </c>
      <c r="G907" s="26">
        <f>G908</f>
        <v>148.9</v>
      </c>
      <c r="H907" s="173"/>
    </row>
    <row r="908" spans="1:10" ht="15.75" x14ac:dyDescent="0.25">
      <c r="A908" s="25" t="s">
        <v>568</v>
      </c>
      <c r="B908" s="16">
        <v>908</v>
      </c>
      <c r="C908" s="20" t="s">
        <v>234</v>
      </c>
      <c r="D908" s="20" t="s">
        <v>234</v>
      </c>
      <c r="E908" s="20" t="s">
        <v>126</v>
      </c>
      <c r="F908" s="20" t="s">
        <v>138</v>
      </c>
      <c r="G908" s="159">
        <f>89+59.9</f>
        <v>148.9</v>
      </c>
      <c r="H908" s="154" t="s">
        <v>746</v>
      </c>
    </row>
    <row r="909" spans="1:10" ht="15.75" x14ac:dyDescent="0.25">
      <c r="A909" s="25" t="s">
        <v>141</v>
      </c>
      <c r="B909" s="16">
        <v>908</v>
      </c>
      <c r="C909" s="20" t="s">
        <v>234</v>
      </c>
      <c r="D909" s="20" t="s">
        <v>234</v>
      </c>
      <c r="E909" s="20" t="s">
        <v>142</v>
      </c>
      <c r="F909" s="20"/>
      <c r="G909" s="26">
        <f>G913+G910</f>
        <v>7622.99</v>
      </c>
      <c r="H909" s="173"/>
    </row>
    <row r="910" spans="1:10" ht="31.5" x14ac:dyDescent="0.25">
      <c r="A910" s="25" t="s">
        <v>570</v>
      </c>
      <c r="B910" s="16">
        <v>908</v>
      </c>
      <c r="C910" s="20" t="s">
        <v>234</v>
      </c>
      <c r="D910" s="20" t="s">
        <v>234</v>
      </c>
      <c r="E910" s="20" t="s">
        <v>571</v>
      </c>
      <c r="F910" s="20"/>
      <c r="G910" s="27">
        <f>G911</f>
        <v>1461</v>
      </c>
      <c r="H910" s="173"/>
    </row>
    <row r="911" spans="1:10" ht="15.75" x14ac:dyDescent="0.25">
      <c r="A911" s="25" t="s">
        <v>135</v>
      </c>
      <c r="B911" s="16">
        <v>908</v>
      </c>
      <c r="C911" s="20" t="s">
        <v>234</v>
      </c>
      <c r="D911" s="20" t="s">
        <v>234</v>
      </c>
      <c r="E911" s="20" t="s">
        <v>571</v>
      </c>
      <c r="F911" s="20" t="s">
        <v>145</v>
      </c>
      <c r="G911" s="27">
        <f>G912</f>
        <v>1461</v>
      </c>
      <c r="H911" s="173"/>
    </row>
    <row r="912" spans="1:10" ht="63" x14ac:dyDescent="0.25">
      <c r="A912" s="25" t="s">
        <v>184</v>
      </c>
      <c r="B912" s="16">
        <v>908</v>
      </c>
      <c r="C912" s="20" t="s">
        <v>234</v>
      </c>
      <c r="D912" s="20" t="s">
        <v>234</v>
      </c>
      <c r="E912" s="20" t="s">
        <v>571</v>
      </c>
      <c r="F912" s="20" t="s">
        <v>160</v>
      </c>
      <c r="G912" s="27">
        <v>1461</v>
      </c>
      <c r="H912" s="173"/>
    </row>
    <row r="913" spans="1:10" ht="31.5" x14ac:dyDescent="0.25">
      <c r="A913" s="25" t="s">
        <v>340</v>
      </c>
      <c r="B913" s="16">
        <v>908</v>
      </c>
      <c r="C913" s="20" t="s">
        <v>234</v>
      </c>
      <c r="D913" s="20" t="s">
        <v>234</v>
      </c>
      <c r="E913" s="20" t="s">
        <v>341</v>
      </c>
      <c r="F913" s="20"/>
      <c r="G913" s="26">
        <f>G914+G916</f>
        <v>6161.99</v>
      </c>
      <c r="H913" s="173"/>
    </row>
    <row r="914" spans="1:10" ht="94.5" x14ac:dyDescent="0.25">
      <c r="A914" s="25" t="s">
        <v>127</v>
      </c>
      <c r="B914" s="16">
        <v>908</v>
      </c>
      <c r="C914" s="20" t="s">
        <v>234</v>
      </c>
      <c r="D914" s="20" t="s">
        <v>234</v>
      </c>
      <c r="E914" s="20" t="s">
        <v>341</v>
      </c>
      <c r="F914" s="20" t="s">
        <v>128</v>
      </c>
      <c r="G914" s="26">
        <f>G915</f>
        <v>4505.49</v>
      </c>
      <c r="H914" s="173"/>
    </row>
    <row r="915" spans="1:10" ht="31.5" x14ac:dyDescent="0.25">
      <c r="A915" s="25" t="s">
        <v>342</v>
      </c>
      <c r="B915" s="16">
        <v>908</v>
      </c>
      <c r="C915" s="20" t="s">
        <v>234</v>
      </c>
      <c r="D915" s="20" t="s">
        <v>234</v>
      </c>
      <c r="E915" s="20" t="s">
        <v>341</v>
      </c>
      <c r="F915" s="20" t="s">
        <v>209</v>
      </c>
      <c r="G915" s="153">
        <f>6196.89-1411.4-100-180</f>
        <v>4505.49</v>
      </c>
      <c r="H915" s="105" t="s">
        <v>760</v>
      </c>
      <c r="I915" s="123"/>
      <c r="J915" s="166" t="s">
        <v>759</v>
      </c>
    </row>
    <row r="916" spans="1:10" ht="31.5" x14ac:dyDescent="0.25">
      <c r="A916" s="25" t="s">
        <v>131</v>
      </c>
      <c r="B916" s="16">
        <v>908</v>
      </c>
      <c r="C916" s="20" t="s">
        <v>234</v>
      </c>
      <c r="D916" s="20" t="s">
        <v>234</v>
      </c>
      <c r="E916" s="20" t="s">
        <v>341</v>
      </c>
      <c r="F916" s="20" t="s">
        <v>132</v>
      </c>
      <c r="G916" s="26">
        <f>G917</f>
        <v>1656.5</v>
      </c>
      <c r="H916" s="173"/>
    </row>
    <row r="917" spans="1:10" ht="47.25" x14ac:dyDescent="0.25">
      <c r="A917" s="25" t="s">
        <v>133</v>
      </c>
      <c r="B917" s="16">
        <v>908</v>
      </c>
      <c r="C917" s="20" t="s">
        <v>234</v>
      </c>
      <c r="D917" s="20" t="s">
        <v>234</v>
      </c>
      <c r="E917" s="20" t="s">
        <v>341</v>
      </c>
      <c r="F917" s="20" t="s">
        <v>134</v>
      </c>
      <c r="G917" s="153">
        <f>1341.9+928.5-198.8-595.1+180</f>
        <v>1656.5</v>
      </c>
      <c r="H917" s="105" t="s">
        <v>761</v>
      </c>
      <c r="I917" s="124"/>
      <c r="J917" s="166"/>
    </row>
    <row r="918" spans="1:10" ht="15.75" x14ac:dyDescent="0.25">
      <c r="A918" s="23" t="s">
        <v>243</v>
      </c>
      <c r="B918" s="19">
        <v>908</v>
      </c>
      <c r="C918" s="24" t="s">
        <v>244</v>
      </c>
      <c r="D918" s="24"/>
      <c r="E918" s="24"/>
      <c r="F918" s="24"/>
      <c r="G918" s="21">
        <f t="shared" ref="G918:G923" si="5">G919</f>
        <v>87.1</v>
      </c>
      <c r="H918" s="173"/>
    </row>
    <row r="919" spans="1:10" ht="31.5" x14ac:dyDescent="0.25">
      <c r="A919" s="23" t="s">
        <v>258</v>
      </c>
      <c r="B919" s="19">
        <v>908</v>
      </c>
      <c r="C919" s="24" t="s">
        <v>244</v>
      </c>
      <c r="D919" s="24" t="s">
        <v>120</v>
      </c>
      <c r="E919" s="24"/>
      <c r="F919" s="24"/>
      <c r="G919" s="21">
        <f t="shared" si="5"/>
        <v>87.1</v>
      </c>
      <c r="H919" s="173"/>
    </row>
    <row r="920" spans="1:10" ht="15.75" x14ac:dyDescent="0.25">
      <c r="A920" s="25" t="s">
        <v>121</v>
      </c>
      <c r="B920" s="16">
        <v>908</v>
      </c>
      <c r="C920" s="20" t="s">
        <v>244</v>
      </c>
      <c r="D920" s="20" t="s">
        <v>120</v>
      </c>
      <c r="E920" s="20" t="s">
        <v>122</v>
      </c>
      <c r="F920" s="20"/>
      <c r="G920" s="21">
        <f t="shared" si="5"/>
        <v>87.1</v>
      </c>
      <c r="H920" s="173"/>
    </row>
    <row r="921" spans="1:10" ht="15.75" x14ac:dyDescent="0.25">
      <c r="A921" s="25" t="s">
        <v>141</v>
      </c>
      <c r="B921" s="16">
        <v>908</v>
      </c>
      <c r="C921" s="20" t="s">
        <v>244</v>
      </c>
      <c r="D921" s="20" t="s">
        <v>120</v>
      </c>
      <c r="E921" s="20" t="s">
        <v>142</v>
      </c>
      <c r="F921" s="20"/>
      <c r="G921" s="26">
        <f t="shared" si="5"/>
        <v>87.1</v>
      </c>
      <c r="H921" s="173"/>
    </row>
    <row r="922" spans="1:10" ht="15.75" x14ac:dyDescent="0.25">
      <c r="A922" s="25" t="s">
        <v>572</v>
      </c>
      <c r="B922" s="16">
        <v>908</v>
      </c>
      <c r="C922" s="20" t="s">
        <v>244</v>
      </c>
      <c r="D922" s="20" t="s">
        <v>120</v>
      </c>
      <c r="E922" s="20" t="s">
        <v>573</v>
      </c>
      <c r="F922" s="20"/>
      <c r="G922" s="26">
        <f t="shared" si="5"/>
        <v>87.1</v>
      </c>
      <c r="H922" s="173"/>
    </row>
    <row r="923" spans="1:10" ht="15.75" x14ac:dyDescent="0.25">
      <c r="A923" s="25" t="s">
        <v>135</v>
      </c>
      <c r="B923" s="16">
        <v>908</v>
      </c>
      <c r="C923" s="20" t="s">
        <v>244</v>
      </c>
      <c r="D923" s="20" t="s">
        <v>120</v>
      </c>
      <c r="E923" s="20" t="s">
        <v>573</v>
      </c>
      <c r="F923" s="20" t="s">
        <v>145</v>
      </c>
      <c r="G923" s="26">
        <f t="shared" si="5"/>
        <v>87.1</v>
      </c>
      <c r="H923" s="173"/>
    </row>
    <row r="924" spans="1:10" ht="63" x14ac:dyDescent="0.25">
      <c r="A924" s="25" t="s">
        <v>184</v>
      </c>
      <c r="B924" s="16">
        <v>908</v>
      </c>
      <c r="C924" s="20" t="s">
        <v>244</v>
      </c>
      <c r="D924" s="20" t="s">
        <v>120</v>
      </c>
      <c r="E924" s="20" t="s">
        <v>573</v>
      </c>
      <c r="F924" s="20" t="s">
        <v>160</v>
      </c>
      <c r="G924" s="26">
        <v>87.1</v>
      </c>
      <c r="H924" s="173"/>
    </row>
    <row r="925" spans="1:10" ht="31.5" x14ac:dyDescent="0.25">
      <c r="A925" s="19" t="s">
        <v>574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3"/>
    </row>
    <row r="926" spans="1:10" ht="15.75" x14ac:dyDescent="0.25">
      <c r="A926" s="23" t="s">
        <v>117</v>
      </c>
      <c r="B926" s="19">
        <v>910</v>
      </c>
      <c r="C926" s="24" t="s">
        <v>118</v>
      </c>
      <c r="D926" s="24"/>
      <c r="E926" s="24"/>
      <c r="F926" s="24"/>
      <c r="G926" s="21">
        <f>G927+G935+G945+G953</f>
        <v>7042.5</v>
      </c>
      <c r="H926" s="173"/>
    </row>
    <row r="927" spans="1:10" ht="47.25" x14ac:dyDescent="0.25">
      <c r="A927" s="23" t="s">
        <v>575</v>
      </c>
      <c r="B927" s="19">
        <v>910</v>
      </c>
      <c r="C927" s="24" t="s">
        <v>118</v>
      </c>
      <c r="D927" s="24" t="s">
        <v>213</v>
      </c>
      <c r="E927" s="24"/>
      <c r="F927" s="24"/>
      <c r="G927" s="21">
        <f>G928</f>
        <v>4188.8</v>
      </c>
      <c r="H927" s="173"/>
    </row>
    <row r="928" spans="1:10" ht="15.75" x14ac:dyDescent="0.25">
      <c r="A928" s="25" t="s">
        <v>121</v>
      </c>
      <c r="B928" s="16">
        <v>910</v>
      </c>
      <c r="C928" s="20" t="s">
        <v>118</v>
      </c>
      <c r="D928" s="20" t="s">
        <v>213</v>
      </c>
      <c r="E928" s="20" t="s">
        <v>122</v>
      </c>
      <c r="F928" s="20"/>
      <c r="G928" s="26">
        <f>G929</f>
        <v>4188.8</v>
      </c>
      <c r="H928" s="173"/>
    </row>
    <row r="929" spans="1:10" ht="31.5" x14ac:dyDescent="0.25">
      <c r="A929" s="25" t="s">
        <v>123</v>
      </c>
      <c r="B929" s="16">
        <v>910</v>
      </c>
      <c r="C929" s="20" t="s">
        <v>118</v>
      </c>
      <c r="D929" s="20" t="s">
        <v>213</v>
      </c>
      <c r="E929" s="20" t="s">
        <v>124</v>
      </c>
      <c r="F929" s="20"/>
      <c r="G929" s="26">
        <f>G930</f>
        <v>4188.8</v>
      </c>
      <c r="H929" s="173"/>
    </row>
    <row r="930" spans="1:10" ht="47.25" x14ac:dyDescent="0.25">
      <c r="A930" s="25" t="s">
        <v>576</v>
      </c>
      <c r="B930" s="16">
        <v>910</v>
      </c>
      <c r="C930" s="20" t="s">
        <v>118</v>
      </c>
      <c r="D930" s="20" t="s">
        <v>213</v>
      </c>
      <c r="E930" s="20" t="s">
        <v>577</v>
      </c>
      <c r="F930" s="20"/>
      <c r="G930" s="26">
        <f>G931+G933</f>
        <v>4188.8</v>
      </c>
      <c r="H930" s="173"/>
    </row>
    <row r="931" spans="1:10" ht="94.5" x14ac:dyDescent="0.25">
      <c r="A931" s="25" t="s">
        <v>127</v>
      </c>
      <c r="B931" s="16">
        <v>910</v>
      </c>
      <c r="C931" s="20" t="s">
        <v>118</v>
      </c>
      <c r="D931" s="20" t="s">
        <v>213</v>
      </c>
      <c r="E931" s="20" t="s">
        <v>577</v>
      </c>
      <c r="F931" s="20" t="s">
        <v>128</v>
      </c>
      <c r="G931" s="26">
        <f>G932+G933</f>
        <v>4188.8</v>
      </c>
      <c r="H931" s="173"/>
    </row>
    <row r="932" spans="1:10" ht="31.5" x14ac:dyDescent="0.25">
      <c r="A932" s="25" t="s">
        <v>129</v>
      </c>
      <c r="B932" s="16">
        <v>910</v>
      </c>
      <c r="C932" s="20" t="s">
        <v>118</v>
      </c>
      <c r="D932" s="20" t="s">
        <v>213</v>
      </c>
      <c r="E932" s="20" t="s">
        <v>577</v>
      </c>
      <c r="F932" s="20" t="s">
        <v>130</v>
      </c>
      <c r="G932" s="27">
        <v>4188.8</v>
      </c>
      <c r="H932" s="173"/>
      <c r="J932" s="166" t="s">
        <v>755</v>
      </c>
    </row>
    <row r="933" spans="1:10" ht="47.25" hidden="1" x14ac:dyDescent="0.25">
      <c r="A933" s="25" t="s">
        <v>198</v>
      </c>
      <c r="B933" s="16">
        <v>910</v>
      </c>
      <c r="C933" s="20" t="s">
        <v>118</v>
      </c>
      <c r="D933" s="20" t="s">
        <v>213</v>
      </c>
      <c r="E933" s="20" t="s">
        <v>577</v>
      </c>
      <c r="F933" s="20" t="s">
        <v>132</v>
      </c>
      <c r="G933" s="26">
        <f>G934</f>
        <v>0</v>
      </c>
      <c r="H933" s="173"/>
    </row>
    <row r="934" spans="1:10" ht="47.25" hidden="1" x14ac:dyDescent="0.25">
      <c r="A934" s="25" t="s">
        <v>133</v>
      </c>
      <c r="B934" s="16">
        <v>910</v>
      </c>
      <c r="C934" s="20" t="s">
        <v>118</v>
      </c>
      <c r="D934" s="20" t="s">
        <v>213</v>
      </c>
      <c r="E934" s="20" t="s">
        <v>577</v>
      </c>
      <c r="F934" s="20" t="s">
        <v>134</v>
      </c>
      <c r="G934" s="26"/>
      <c r="H934" s="173"/>
    </row>
    <row r="935" spans="1:10" ht="78.75" x14ac:dyDescent="0.25">
      <c r="A935" s="23" t="s">
        <v>578</v>
      </c>
      <c r="B935" s="19">
        <v>910</v>
      </c>
      <c r="C935" s="24" t="s">
        <v>118</v>
      </c>
      <c r="D935" s="24" t="s">
        <v>215</v>
      </c>
      <c r="E935" s="24"/>
      <c r="F935" s="24"/>
      <c r="G935" s="21">
        <f>G936</f>
        <v>1138.7</v>
      </c>
      <c r="H935" s="173"/>
    </row>
    <row r="936" spans="1:10" ht="15.75" x14ac:dyDescent="0.25">
      <c r="A936" s="25" t="s">
        <v>121</v>
      </c>
      <c r="B936" s="16">
        <v>910</v>
      </c>
      <c r="C936" s="20" t="s">
        <v>118</v>
      </c>
      <c r="D936" s="20" t="s">
        <v>215</v>
      </c>
      <c r="E936" s="20" t="s">
        <v>122</v>
      </c>
      <c r="F936" s="24"/>
      <c r="G936" s="26">
        <f>G937</f>
        <v>1138.7</v>
      </c>
      <c r="H936" s="173"/>
    </row>
    <row r="937" spans="1:10" ht="31.5" x14ac:dyDescent="0.25">
      <c r="A937" s="25" t="s">
        <v>123</v>
      </c>
      <c r="B937" s="16">
        <v>910</v>
      </c>
      <c r="C937" s="20" t="s">
        <v>118</v>
      </c>
      <c r="D937" s="20" t="s">
        <v>215</v>
      </c>
      <c r="E937" s="20" t="s">
        <v>124</v>
      </c>
      <c r="F937" s="24"/>
      <c r="G937" s="26">
        <f>G938</f>
        <v>1138.7</v>
      </c>
      <c r="H937" s="173"/>
    </row>
    <row r="938" spans="1:10" ht="47.25" x14ac:dyDescent="0.25">
      <c r="A938" s="25" t="s">
        <v>579</v>
      </c>
      <c r="B938" s="16">
        <v>910</v>
      </c>
      <c r="C938" s="20" t="s">
        <v>118</v>
      </c>
      <c r="D938" s="20" t="s">
        <v>215</v>
      </c>
      <c r="E938" s="20" t="s">
        <v>580</v>
      </c>
      <c r="F938" s="20"/>
      <c r="G938" s="26">
        <f>G939+G941+G943</f>
        <v>1138.7</v>
      </c>
      <c r="H938" s="173"/>
    </row>
    <row r="939" spans="1:10" ht="94.5" x14ac:dyDescent="0.25">
      <c r="A939" s="25" t="s">
        <v>127</v>
      </c>
      <c r="B939" s="16">
        <v>910</v>
      </c>
      <c r="C939" s="20" t="s">
        <v>118</v>
      </c>
      <c r="D939" s="20" t="s">
        <v>215</v>
      </c>
      <c r="E939" s="20" t="s">
        <v>580</v>
      </c>
      <c r="F939" s="20" t="s">
        <v>128</v>
      </c>
      <c r="G939" s="26">
        <f>G940</f>
        <v>1003.7</v>
      </c>
      <c r="H939" s="173"/>
    </row>
    <row r="940" spans="1:10" ht="31.5" x14ac:dyDescent="0.25">
      <c r="A940" s="25" t="s">
        <v>129</v>
      </c>
      <c r="B940" s="16">
        <v>910</v>
      </c>
      <c r="C940" s="20" t="s">
        <v>118</v>
      </c>
      <c r="D940" s="20" t="s">
        <v>215</v>
      </c>
      <c r="E940" s="20" t="s">
        <v>580</v>
      </c>
      <c r="F940" s="20" t="s">
        <v>130</v>
      </c>
      <c r="G940" s="26">
        <v>1003.7</v>
      </c>
      <c r="H940" s="173"/>
    </row>
    <row r="941" spans="1:10" ht="47.25" x14ac:dyDescent="0.25">
      <c r="A941" s="25" t="s">
        <v>198</v>
      </c>
      <c r="B941" s="16">
        <v>910</v>
      </c>
      <c r="C941" s="20" t="s">
        <v>118</v>
      </c>
      <c r="D941" s="20" t="s">
        <v>215</v>
      </c>
      <c r="E941" s="20" t="s">
        <v>580</v>
      </c>
      <c r="F941" s="20" t="s">
        <v>132</v>
      </c>
      <c r="G941" s="26">
        <f>G942</f>
        <v>135</v>
      </c>
      <c r="H941" s="173"/>
    </row>
    <row r="942" spans="1:10" ht="47.25" x14ac:dyDescent="0.25">
      <c r="A942" s="25" t="s">
        <v>133</v>
      </c>
      <c r="B942" s="16">
        <v>910</v>
      </c>
      <c r="C942" s="20" t="s">
        <v>118</v>
      </c>
      <c r="D942" s="20" t="s">
        <v>215</v>
      </c>
      <c r="E942" s="20" t="s">
        <v>580</v>
      </c>
      <c r="F942" s="20" t="s">
        <v>134</v>
      </c>
      <c r="G942" s="26">
        <v>135</v>
      </c>
      <c r="H942" s="173"/>
    </row>
    <row r="943" spans="1:10" ht="15.75" hidden="1" x14ac:dyDescent="0.25">
      <c r="A943" s="25" t="s">
        <v>135</v>
      </c>
      <c r="B943" s="16">
        <v>910</v>
      </c>
      <c r="C943" s="20" t="s">
        <v>118</v>
      </c>
      <c r="D943" s="20" t="s">
        <v>215</v>
      </c>
      <c r="E943" s="20" t="s">
        <v>580</v>
      </c>
      <c r="F943" s="20" t="s">
        <v>145</v>
      </c>
      <c r="G943" s="26">
        <f>G944</f>
        <v>0</v>
      </c>
      <c r="H943" s="173"/>
    </row>
    <row r="944" spans="1:10" ht="15.75" hidden="1" x14ac:dyDescent="0.25">
      <c r="A944" s="25" t="s">
        <v>568</v>
      </c>
      <c r="B944" s="16">
        <v>910</v>
      </c>
      <c r="C944" s="20" t="s">
        <v>118</v>
      </c>
      <c r="D944" s="20" t="s">
        <v>215</v>
      </c>
      <c r="E944" s="20" t="s">
        <v>580</v>
      </c>
      <c r="F944" s="20" t="s">
        <v>138</v>
      </c>
      <c r="G944" s="26">
        <v>0</v>
      </c>
      <c r="H944" s="173"/>
    </row>
    <row r="945" spans="1:10" ht="63" x14ac:dyDescent="0.25">
      <c r="A945" s="23" t="s">
        <v>119</v>
      </c>
      <c r="B945" s="19">
        <v>910</v>
      </c>
      <c r="C945" s="24" t="s">
        <v>118</v>
      </c>
      <c r="D945" s="24" t="s">
        <v>120</v>
      </c>
      <c r="E945" s="24"/>
      <c r="F945" s="24"/>
      <c r="G945" s="21">
        <f>G946</f>
        <v>1682.5</v>
      </c>
      <c r="H945" s="173"/>
    </row>
    <row r="946" spans="1:10" s="111" customFormat="1" ht="15.75" x14ac:dyDescent="0.25">
      <c r="A946" s="25" t="s">
        <v>121</v>
      </c>
      <c r="B946" s="16">
        <v>910</v>
      </c>
      <c r="C946" s="20" t="s">
        <v>118</v>
      </c>
      <c r="D946" s="20" t="s">
        <v>120</v>
      </c>
      <c r="E946" s="20" t="s">
        <v>122</v>
      </c>
      <c r="F946" s="20"/>
      <c r="G946" s="26">
        <f>G947</f>
        <v>1682.5</v>
      </c>
      <c r="H946" s="173"/>
      <c r="I946" s="127"/>
    </row>
    <row r="947" spans="1:10" s="111" customFormat="1" ht="31.5" x14ac:dyDescent="0.25">
      <c r="A947" s="25" t="s">
        <v>123</v>
      </c>
      <c r="B947" s="16">
        <v>910</v>
      </c>
      <c r="C947" s="20" t="s">
        <v>118</v>
      </c>
      <c r="D947" s="20" t="s">
        <v>120</v>
      </c>
      <c r="E947" s="20" t="s">
        <v>124</v>
      </c>
      <c r="F947" s="20"/>
      <c r="G947" s="26">
        <f>G948</f>
        <v>1682.5</v>
      </c>
      <c r="H947" s="173"/>
      <c r="I947" s="127"/>
    </row>
    <row r="948" spans="1:10" s="111" customFormat="1" ht="47.25" x14ac:dyDescent="0.25">
      <c r="A948" s="25" t="s">
        <v>125</v>
      </c>
      <c r="B948" s="16">
        <v>910</v>
      </c>
      <c r="C948" s="20" t="s">
        <v>118</v>
      </c>
      <c r="D948" s="20" t="s">
        <v>120</v>
      </c>
      <c r="E948" s="20" t="s">
        <v>126</v>
      </c>
      <c r="F948" s="20"/>
      <c r="G948" s="26">
        <f>G949+G951</f>
        <v>1682.5</v>
      </c>
      <c r="H948" s="173"/>
      <c r="I948" s="127"/>
    </row>
    <row r="949" spans="1:10" ht="94.5" x14ac:dyDescent="0.25">
      <c r="A949" s="25" t="s">
        <v>127</v>
      </c>
      <c r="B949" s="16">
        <v>910</v>
      </c>
      <c r="C949" s="20" t="s">
        <v>118</v>
      </c>
      <c r="D949" s="20" t="s">
        <v>120</v>
      </c>
      <c r="E949" s="20" t="s">
        <v>126</v>
      </c>
      <c r="F949" s="20" t="s">
        <v>128</v>
      </c>
      <c r="G949" s="26">
        <f>G950</f>
        <v>1664.2</v>
      </c>
      <c r="H949" s="173"/>
    </row>
    <row r="950" spans="1:10" ht="31.5" x14ac:dyDescent="0.25">
      <c r="A950" s="25" t="s">
        <v>129</v>
      </c>
      <c r="B950" s="16">
        <v>910</v>
      </c>
      <c r="C950" s="20" t="s">
        <v>118</v>
      </c>
      <c r="D950" s="20" t="s">
        <v>120</v>
      </c>
      <c r="E950" s="20" t="s">
        <v>126</v>
      </c>
      <c r="F950" s="20" t="s">
        <v>130</v>
      </c>
      <c r="G950" s="26">
        <v>1664.2</v>
      </c>
      <c r="H950" s="173"/>
      <c r="J950" s="169" t="s">
        <v>756</v>
      </c>
    </row>
    <row r="951" spans="1:10" ht="47.25" x14ac:dyDescent="0.25">
      <c r="A951" s="25" t="s">
        <v>198</v>
      </c>
      <c r="B951" s="16">
        <v>910</v>
      </c>
      <c r="C951" s="20" t="s">
        <v>118</v>
      </c>
      <c r="D951" s="20" t="s">
        <v>120</v>
      </c>
      <c r="E951" s="20" t="s">
        <v>126</v>
      </c>
      <c r="F951" s="20" t="s">
        <v>132</v>
      </c>
      <c r="G951" s="26">
        <f>G952</f>
        <v>18.3</v>
      </c>
      <c r="H951" s="173"/>
    </row>
    <row r="952" spans="1:10" ht="47.25" x14ac:dyDescent="0.25">
      <c r="A952" s="25" t="s">
        <v>133</v>
      </c>
      <c r="B952" s="16">
        <v>910</v>
      </c>
      <c r="C952" s="20" t="s">
        <v>118</v>
      </c>
      <c r="D952" s="20" t="s">
        <v>120</v>
      </c>
      <c r="E952" s="20" t="s">
        <v>126</v>
      </c>
      <c r="F952" s="20" t="s">
        <v>134</v>
      </c>
      <c r="G952" s="26">
        <v>18.3</v>
      </c>
      <c r="H952" s="173"/>
    </row>
    <row r="953" spans="1:10" ht="15.75" x14ac:dyDescent="0.25">
      <c r="A953" s="23" t="s">
        <v>139</v>
      </c>
      <c r="B953" s="19">
        <v>910</v>
      </c>
      <c r="C953" s="24" t="s">
        <v>118</v>
      </c>
      <c r="D953" s="24" t="s">
        <v>140</v>
      </c>
      <c r="E953" s="109"/>
      <c r="F953" s="20"/>
      <c r="G953" s="21">
        <f>G954+G958</f>
        <v>32.5</v>
      </c>
      <c r="H953" s="173"/>
    </row>
    <row r="954" spans="1:10" ht="47.25" x14ac:dyDescent="0.25">
      <c r="A954" s="25" t="s">
        <v>161</v>
      </c>
      <c r="B954" s="16">
        <v>910</v>
      </c>
      <c r="C954" s="20" t="s">
        <v>118</v>
      </c>
      <c r="D954" s="20" t="s">
        <v>140</v>
      </c>
      <c r="E954" s="20" t="s">
        <v>162</v>
      </c>
      <c r="F954" s="20"/>
      <c r="G954" s="26">
        <f>G955</f>
        <v>0.5</v>
      </c>
      <c r="H954" s="173"/>
    </row>
    <row r="955" spans="1:10" ht="63" x14ac:dyDescent="0.25">
      <c r="A955" s="31" t="s">
        <v>695</v>
      </c>
      <c r="B955" s="16">
        <v>910</v>
      </c>
      <c r="C955" s="20" t="s">
        <v>118</v>
      </c>
      <c r="D955" s="20" t="s">
        <v>140</v>
      </c>
      <c r="E955" s="40" t="s">
        <v>696</v>
      </c>
      <c r="F955" s="20"/>
      <c r="G955" s="26">
        <f>G956</f>
        <v>0.5</v>
      </c>
      <c r="H955" s="173"/>
    </row>
    <row r="956" spans="1:10" ht="31.5" x14ac:dyDescent="0.25">
      <c r="A956" s="25" t="s">
        <v>131</v>
      </c>
      <c r="B956" s="16">
        <v>910</v>
      </c>
      <c r="C956" s="20" t="s">
        <v>118</v>
      </c>
      <c r="D956" s="20" t="s">
        <v>140</v>
      </c>
      <c r="E956" s="40" t="s">
        <v>696</v>
      </c>
      <c r="F956" s="20" t="s">
        <v>132</v>
      </c>
      <c r="G956" s="26">
        <f>G957</f>
        <v>0.5</v>
      </c>
      <c r="H956" s="173"/>
    </row>
    <row r="957" spans="1:10" ht="47.25" x14ac:dyDescent="0.25">
      <c r="A957" s="25" t="s">
        <v>133</v>
      </c>
      <c r="B957" s="16">
        <v>910</v>
      </c>
      <c r="C957" s="20" t="s">
        <v>118</v>
      </c>
      <c r="D957" s="20" t="s">
        <v>140</v>
      </c>
      <c r="E957" s="40" t="s">
        <v>696</v>
      </c>
      <c r="F957" s="20" t="s">
        <v>134</v>
      </c>
      <c r="G957" s="26">
        <v>0.5</v>
      </c>
      <c r="H957" s="173"/>
    </row>
    <row r="958" spans="1:10" ht="15.75" x14ac:dyDescent="0.25">
      <c r="A958" s="31" t="s">
        <v>121</v>
      </c>
      <c r="B958" s="16">
        <v>910</v>
      </c>
      <c r="C958" s="20" t="s">
        <v>118</v>
      </c>
      <c r="D958" s="20" t="s">
        <v>140</v>
      </c>
      <c r="E958" s="20" t="s">
        <v>122</v>
      </c>
      <c r="F958" s="20"/>
      <c r="G958" s="26">
        <f>G959</f>
        <v>32</v>
      </c>
      <c r="H958" s="173"/>
    </row>
    <row r="959" spans="1:10" ht="31.5" x14ac:dyDescent="0.25">
      <c r="A959" s="31" t="s">
        <v>185</v>
      </c>
      <c r="B959" s="16">
        <v>910</v>
      </c>
      <c r="C959" s="20" t="s">
        <v>118</v>
      </c>
      <c r="D959" s="20" t="s">
        <v>140</v>
      </c>
      <c r="E959" s="20" t="s">
        <v>186</v>
      </c>
      <c r="F959" s="20"/>
      <c r="G959" s="26">
        <f>G960</f>
        <v>32</v>
      </c>
      <c r="H959" s="173"/>
    </row>
    <row r="960" spans="1:10" ht="63" x14ac:dyDescent="0.25">
      <c r="A960" s="31" t="s">
        <v>695</v>
      </c>
      <c r="B960" s="16">
        <v>910</v>
      </c>
      <c r="C960" s="20" t="s">
        <v>118</v>
      </c>
      <c r="D960" s="20" t="s">
        <v>140</v>
      </c>
      <c r="E960" s="20" t="s">
        <v>697</v>
      </c>
      <c r="F960" s="20"/>
      <c r="G960" s="26">
        <f>G961</f>
        <v>32</v>
      </c>
      <c r="H960" s="173"/>
    </row>
    <row r="961" spans="1:12" ht="31.5" x14ac:dyDescent="0.25">
      <c r="A961" s="25" t="s">
        <v>131</v>
      </c>
      <c r="B961" s="16">
        <v>910</v>
      </c>
      <c r="C961" s="20" t="s">
        <v>118</v>
      </c>
      <c r="D961" s="20" t="s">
        <v>140</v>
      </c>
      <c r="E961" s="20" t="s">
        <v>697</v>
      </c>
      <c r="F961" s="20" t="s">
        <v>132</v>
      </c>
      <c r="G961" s="26">
        <f>G962</f>
        <v>32</v>
      </c>
      <c r="H961" s="173"/>
    </row>
    <row r="962" spans="1:12" ht="47.25" x14ac:dyDescent="0.25">
      <c r="A962" s="25" t="s">
        <v>133</v>
      </c>
      <c r="B962" s="16">
        <v>910</v>
      </c>
      <c r="C962" s="20" t="s">
        <v>118</v>
      </c>
      <c r="D962" s="20" t="s">
        <v>140</v>
      </c>
      <c r="E962" s="20" t="s">
        <v>697</v>
      </c>
      <c r="F962" s="20" t="s">
        <v>134</v>
      </c>
      <c r="G962" s="26">
        <v>32</v>
      </c>
      <c r="H962" s="110"/>
    </row>
    <row r="963" spans="1:12" ht="31.5" x14ac:dyDescent="0.25">
      <c r="A963" s="23" t="s">
        <v>581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3"/>
    </row>
    <row r="964" spans="1:12" ht="15.75" x14ac:dyDescent="0.25">
      <c r="A964" s="23" t="s">
        <v>582</v>
      </c>
      <c r="B964" s="19">
        <v>913</v>
      </c>
      <c r="C964" s="24" t="s">
        <v>238</v>
      </c>
      <c r="D964" s="20"/>
      <c r="E964" s="20"/>
      <c r="F964" s="20"/>
      <c r="G964" s="26">
        <f>G965</f>
        <v>6309.8</v>
      </c>
      <c r="H964" s="173"/>
    </row>
    <row r="965" spans="1:12" ht="15.75" x14ac:dyDescent="0.25">
      <c r="A965" s="23" t="s">
        <v>583</v>
      </c>
      <c r="B965" s="19">
        <v>913</v>
      </c>
      <c r="C965" s="24" t="s">
        <v>238</v>
      </c>
      <c r="D965" s="24" t="s">
        <v>213</v>
      </c>
      <c r="E965" s="24"/>
      <c r="F965" s="24"/>
      <c r="G965" s="26">
        <f>G966</f>
        <v>6309.8</v>
      </c>
      <c r="H965" s="173"/>
    </row>
    <row r="966" spans="1:12" ht="15.75" x14ac:dyDescent="0.25">
      <c r="A966" s="25" t="s">
        <v>121</v>
      </c>
      <c r="B966" s="16">
        <v>913</v>
      </c>
      <c r="C966" s="20" t="s">
        <v>238</v>
      </c>
      <c r="D966" s="20" t="s">
        <v>213</v>
      </c>
      <c r="E966" s="20" t="s">
        <v>122</v>
      </c>
      <c r="F966" s="20"/>
      <c r="G966" s="26">
        <f>G967</f>
        <v>6309.8</v>
      </c>
      <c r="H966" s="173"/>
    </row>
    <row r="967" spans="1:12" ht="31.5" x14ac:dyDescent="0.25">
      <c r="A967" s="25" t="s">
        <v>584</v>
      </c>
      <c r="B967" s="16">
        <v>913</v>
      </c>
      <c r="C967" s="20" t="s">
        <v>238</v>
      </c>
      <c r="D967" s="20" t="s">
        <v>213</v>
      </c>
      <c r="E967" s="20" t="s">
        <v>585</v>
      </c>
      <c r="F967" s="20"/>
      <c r="G967" s="26">
        <f>G968</f>
        <v>6309.8</v>
      </c>
      <c r="H967" s="173"/>
    </row>
    <row r="968" spans="1:12" ht="31.5" x14ac:dyDescent="0.25">
      <c r="A968" s="25" t="s">
        <v>310</v>
      </c>
      <c r="B968" s="16">
        <v>913</v>
      </c>
      <c r="C968" s="20" t="s">
        <v>238</v>
      </c>
      <c r="D968" s="20" t="s">
        <v>213</v>
      </c>
      <c r="E968" s="20" t="s">
        <v>586</v>
      </c>
      <c r="F968" s="20"/>
      <c r="G968" s="26">
        <f>G969+G971+G973</f>
        <v>6309.8</v>
      </c>
      <c r="H968" s="173"/>
    </row>
    <row r="969" spans="1:12" ht="94.5" x14ac:dyDescent="0.25">
      <c r="A969" s="25" t="s">
        <v>127</v>
      </c>
      <c r="B969" s="16">
        <v>913</v>
      </c>
      <c r="C969" s="20" t="s">
        <v>238</v>
      </c>
      <c r="D969" s="20" t="s">
        <v>213</v>
      </c>
      <c r="E969" s="20" t="s">
        <v>586</v>
      </c>
      <c r="F969" s="20" t="s">
        <v>128</v>
      </c>
      <c r="G969" s="26">
        <f>G970</f>
        <v>5371.7</v>
      </c>
      <c r="H969" s="173"/>
    </row>
    <row r="970" spans="1:12" ht="31.5" x14ac:dyDescent="0.25">
      <c r="A970" s="25" t="s">
        <v>208</v>
      </c>
      <c r="B970" s="16">
        <v>913</v>
      </c>
      <c r="C970" s="20" t="s">
        <v>238</v>
      </c>
      <c r="D970" s="20" t="s">
        <v>213</v>
      </c>
      <c r="E970" s="20" t="s">
        <v>586</v>
      </c>
      <c r="F970" s="20" t="s">
        <v>209</v>
      </c>
      <c r="G970" s="27">
        <v>5371.7</v>
      </c>
      <c r="H970" s="173"/>
    </row>
    <row r="971" spans="1:12" ht="31.5" x14ac:dyDescent="0.25">
      <c r="A971" s="25" t="s">
        <v>131</v>
      </c>
      <c r="B971" s="16">
        <v>913</v>
      </c>
      <c r="C971" s="20" t="s">
        <v>238</v>
      </c>
      <c r="D971" s="20" t="s">
        <v>213</v>
      </c>
      <c r="E971" s="20" t="s">
        <v>586</v>
      </c>
      <c r="F971" s="20" t="s">
        <v>132</v>
      </c>
      <c r="G971" s="26">
        <f>G972</f>
        <v>928.1</v>
      </c>
      <c r="H971" s="173"/>
    </row>
    <row r="972" spans="1:12" ht="47.25" x14ac:dyDescent="0.25">
      <c r="A972" s="25" t="s">
        <v>133</v>
      </c>
      <c r="B972" s="16">
        <v>913</v>
      </c>
      <c r="C972" s="20" t="s">
        <v>238</v>
      </c>
      <c r="D972" s="20" t="s">
        <v>213</v>
      </c>
      <c r="E972" s="20" t="s">
        <v>586</v>
      </c>
      <c r="F972" s="20" t="s">
        <v>134</v>
      </c>
      <c r="G972" s="27">
        <f>898.3+28.1+1.7</f>
        <v>928.1</v>
      </c>
      <c r="H972" s="105"/>
      <c r="I972" s="124"/>
    </row>
    <row r="973" spans="1:12" ht="15.75" x14ac:dyDescent="0.25">
      <c r="A973" s="25" t="s">
        <v>135</v>
      </c>
      <c r="B973" s="16">
        <v>913</v>
      </c>
      <c r="C973" s="20" t="s">
        <v>238</v>
      </c>
      <c r="D973" s="20" t="s">
        <v>213</v>
      </c>
      <c r="E973" s="20" t="s">
        <v>586</v>
      </c>
      <c r="F973" s="20" t="s">
        <v>145</v>
      </c>
      <c r="G973" s="26">
        <f>G974</f>
        <v>10</v>
      </c>
      <c r="H973" s="173"/>
    </row>
    <row r="974" spans="1:12" ht="15.75" x14ac:dyDescent="0.25">
      <c r="A974" s="25" t="s">
        <v>568</v>
      </c>
      <c r="B974" s="16">
        <v>913</v>
      </c>
      <c r="C974" s="20" t="s">
        <v>238</v>
      </c>
      <c r="D974" s="20" t="s">
        <v>213</v>
      </c>
      <c r="E974" s="20" t="s">
        <v>586</v>
      </c>
      <c r="F974" s="20" t="s">
        <v>138</v>
      </c>
      <c r="G974" s="26">
        <v>10</v>
      </c>
      <c r="H974" s="173"/>
    </row>
    <row r="975" spans="1:12" ht="18.75" x14ac:dyDescent="0.3">
      <c r="A975" s="48" t="s">
        <v>587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3"/>
      <c r="L975" s="115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3"/>
    </row>
    <row r="977" spans="1:12" ht="18.75" x14ac:dyDescent="0.3">
      <c r="A977" s="50"/>
      <c r="B977" s="50"/>
      <c r="C977" s="51"/>
      <c r="D977" s="51"/>
      <c r="E977" s="51"/>
      <c r="F977" s="101" t="s">
        <v>588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1" t="s">
        <v>589</v>
      </c>
      <c r="G978" s="52">
        <f>G98+G180+G186+G208+G214+G261+G273+G338+G444+G480+G494+G527+G581+G640+G694+G787+G827+G879+G623+G959</f>
        <v>204531.10000000003</v>
      </c>
      <c r="I978" s="117"/>
    </row>
    <row r="979" spans="1:12" ht="15.75" x14ac:dyDescent="0.25">
      <c r="A979" s="50"/>
      <c r="B979" s="50"/>
      <c r="C979" s="51"/>
      <c r="D979" s="53"/>
      <c r="E979" s="53"/>
      <c r="F979" s="53"/>
      <c r="G979" s="102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4"/>
      <c r="I981" s="118" t="e">
        <f>'пр.2 Рд,пр 21'!#REF!</f>
        <v>#REF!</v>
      </c>
      <c r="L981" s="104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4"/>
      <c r="I982" s="118">
        <v>0</v>
      </c>
      <c r="L982" s="104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4"/>
      <c r="I983" s="118" t="e">
        <f>'пр.2 Рд,пр 21'!#REF!</f>
        <v>#REF!</v>
      </c>
      <c r="L983" s="104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4"/>
      <c r="I984" s="118" t="e">
        <f>'пр.2 Рд,пр 21'!#REF!</f>
        <v>#REF!</v>
      </c>
      <c r="L984" s="104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4"/>
      <c r="I985" s="118" t="e">
        <f>'пр.2 Рд,пр 21'!#REF!</f>
        <v>#REF!</v>
      </c>
      <c r="L985" s="104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4"/>
      <c r="I986" s="118" t="e">
        <f>'пр.2 Рд,пр 21'!#REF!</f>
        <v>#REF!</v>
      </c>
      <c r="L986" s="104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4"/>
      <c r="I987" s="118" t="e">
        <f>'пр.2 Рд,пр 21'!#REF!</f>
        <v>#REF!</v>
      </c>
      <c r="L987" s="104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4"/>
      <c r="I988" s="118" t="e">
        <f>'пр.2 Рд,пр 21'!#REF!</f>
        <v>#REF!</v>
      </c>
      <c r="L988" s="104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4"/>
      <c r="I989" s="118" t="e">
        <f>'пр.2 Рд,пр 21'!#REF!</f>
        <v>#REF!</v>
      </c>
      <c r="L989" s="104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4"/>
      <c r="I990" s="118" t="e">
        <f>'пр.2 Рд,пр 21'!#REF!</f>
        <v>#REF!</v>
      </c>
      <c r="L990" s="104"/>
    </row>
    <row r="991" spans="1:12" ht="15.75" x14ac:dyDescent="0.25">
      <c r="A991" s="50"/>
      <c r="B991" s="50"/>
      <c r="C991" s="55"/>
      <c r="D991" s="53"/>
      <c r="E991" s="53"/>
      <c r="F991" s="53"/>
      <c r="G991" s="103">
        <f>SUM(G981:G990)</f>
        <v>665442.19000000018</v>
      </c>
      <c r="H991" s="104"/>
      <c r="I991" s="118" t="e">
        <f>'пр.2 Рд,пр 21'!#REF!</f>
        <v>#REF!</v>
      </c>
      <c r="L991" s="104"/>
    </row>
    <row r="992" spans="1:12" x14ac:dyDescent="0.25">
      <c r="G992" s="104"/>
      <c r="H992" s="104"/>
      <c r="I992" s="118"/>
    </row>
    <row r="993" spans="4:9" x14ac:dyDescent="0.25">
      <c r="D993" s="1" t="s">
        <v>590</v>
      </c>
      <c r="E993" s="1">
        <v>50</v>
      </c>
      <c r="G993" s="104">
        <f>G778</f>
        <v>15124.1</v>
      </c>
      <c r="H993" s="104"/>
      <c r="I993" s="118"/>
    </row>
    <row r="994" spans="4:9" x14ac:dyDescent="0.25">
      <c r="E994" s="1">
        <v>51</v>
      </c>
      <c r="G994" s="104">
        <f>G390</f>
        <v>3693</v>
      </c>
      <c r="H994" s="104"/>
      <c r="I994" s="118"/>
    </row>
    <row r="995" spans="4:9" x14ac:dyDescent="0.25">
      <c r="E995" s="1">
        <v>52</v>
      </c>
      <c r="G995" s="104">
        <f>G508+G547+G634+G613</f>
        <v>89244.700000000012</v>
      </c>
      <c r="H995" s="104"/>
      <c r="I995" s="118"/>
    </row>
    <row r="996" spans="4:9" x14ac:dyDescent="0.25">
      <c r="E996" s="1">
        <v>53</v>
      </c>
      <c r="G996" s="104">
        <f>G57</f>
        <v>250</v>
      </c>
      <c r="H996" s="104"/>
      <c r="I996" s="118"/>
    </row>
    <row r="997" spans="4:9" x14ac:dyDescent="0.25">
      <c r="E997" s="1">
        <v>54</v>
      </c>
      <c r="G997" s="104">
        <f>G61+G954</f>
        <v>654</v>
      </c>
      <c r="H997" s="104"/>
      <c r="I997" s="118"/>
    </row>
    <row r="998" spans="4:9" x14ac:dyDescent="0.25">
      <c r="E998" s="1">
        <v>55</v>
      </c>
      <c r="G998" s="104">
        <f>G203</f>
        <v>10</v>
      </c>
      <c r="H998" s="104"/>
      <c r="I998" s="118"/>
    </row>
    <row r="999" spans="4:9" x14ac:dyDescent="0.25">
      <c r="E999" s="1">
        <v>56</v>
      </c>
      <c r="G999" s="104">
        <f>G73</f>
        <v>80</v>
      </c>
      <c r="H999" s="104"/>
      <c r="I999" s="118"/>
    </row>
    <row r="1000" spans="4:9" x14ac:dyDescent="0.25">
      <c r="E1000" s="1">
        <v>57</v>
      </c>
      <c r="G1000" s="104">
        <f>G726+G706+G676</f>
        <v>36478.9</v>
      </c>
      <c r="H1000" s="104"/>
      <c r="I1000" s="118"/>
    </row>
    <row r="1001" spans="4:9" x14ac:dyDescent="0.25">
      <c r="E1001" s="1">
        <v>58</v>
      </c>
      <c r="G1001" s="104">
        <f>G279+G237</f>
        <v>58528.700000000004</v>
      </c>
      <c r="H1001" s="104"/>
      <c r="I1001" s="118"/>
    </row>
    <row r="1002" spans="4:9" x14ac:dyDescent="0.25">
      <c r="E1002" s="1">
        <v>59</v>
      </c>
      <c r="G1002" s="104">
        <f>G333</f>
        <v>200</v>
      </c>
      <c r="H1002" s="104"/>
      <c r="I1002" s="118"/>
    </row>
    <row r="1003" spans="4:9" x14ac:dyDescent="0.25">
      <c r="E1003" s="1">
        <v>60</v>
      </c>
      <c r="G1003" s="104">
        <f>G848</f>
        <v>12375.499999999998</v>
      </c>
      <c r="H1003" s="104"/>
      <c r="I1003" s="118"/>
    </row>
    <row r="1004" spans="4:9" x14ac:dyDescent="0.25">
      <c r="E1004" s="1">
        <v>61</v>
      </c>
      <c r="G1004" s="104">
        <f>G86</f>
        <v>120</v>
      </c>
      <c r="H1004" s="104"/>
      <c r="I1004" s="118"/>
    </row>
    <row r="1005" spans="4:9" x14ac:dyDescent="0.25">
      <c r="E1005" s="1">
        <v>62</v>
      </c>
      <c r="G1005" s="104">
        <f>G801</f>
        <v>5567.9000000000005</v>
      </c>
      <c r="H1005" s="104"/>
      <c r="I1005" s="118"/>
    </row>
    <row r="1006" spans="4:9" x14ac:dyDescent="0.25">
      <c r="E1006" s="1">
        <v>63</v>
      </c>
      <c r="G1006" s="104">
        <f>G359+G646</f>
        <v>145</v>
      </c>
      <c r="H1006" s="104"/>
      <c r="I1006" s="118"/>
    </row>
    <row r="1007" spans="4:9" x14ac:dyDescent="0.25">
      <c r="E1007" s="1">
        <v>64</v>
      </c>
      <c r="G1007" s="104">
        <f>G90+G369</f>
        <v>34</v>
      </c>
      <c r="H1007" s="104"/>
      <c r="I1007" s="118"/>
    </row>
    <row r="1008" spans="4:9" x14ac:dyDescent="0.25">
      <c r="E1008" s="1">
        <v>65</v>
      </c>
      <c r="G1008" s="104">
        <f>G874</f>
        <v>600</v>
      </c>
      <c r="H1008" s="104"/>
      <c r="I1008" s="118"/>
    </row>
    <row r="1009" spans="7:9" x14ac:dyDescent="0.25">
      <c r="G1009" s="104">
        <f>SUM(G993:G1008)</f>
        <v>223105.80000000002</v>
      </c>
      <c r="H1009" s="104"/>
      <c r="I1009" s="118"/>
    </row>
    <row r="1010" spans="7:9" x14ac:dyDescent="0.25">
      <c r="G1010" s="104"/>
      <c r="H1010" s="104"/>
      <c r="I1010" s="118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2"/>
  <sheetViews>
    <sheetView view="pageBreakPreview" zoomScaleNormal="100" zoomScaleSheetLayoutView="100" workbookViewId="0">
      <selection activeCell="AH4" sqref="AH4"/>
    </sheetView>
  </sheetViews>
  <sheetFormatPr defaultRowHeight="15" x14ac:dyDescent="0.25"/>
  <cols>
    <col min="1" max="1" width="55" style="204" customWidth="1"/>
    <col min="2" max="2" width="6.42578125" style="204" customWidth="1"/>
    <col min="3" max="3" width="6" style="204" customWidth="1"/>
    <col min="4" max="4" width="5.140625" style="204" customWidth="1"/>
    <col min="5" max="5" width="15.85546875" style="204" customWidth="1"/>
    <col min="6" max="6" width="7" style="204" customWidth="1"/>
    <col min="7" max="7" width="15.85546875" style="115" customWidth="1"/>
    <col min="8" max="8" width="16" style="115" customWidth="1"/>
    <col min="9" max="9" width="13.28515625" hidden="1" customWidth="1"/>
    <col min="10" max="11" width="0" hidden="1" customWidth="1"/>
    <col min="12" max="12" width="10.42578125" hidden="1" customWidth="1"/>
    <col min="13" max="13" width="10.85546875" hidden="1" customWidth="1"/>
    <col min="14" max="14" width="9.28515625" hidden="1" customWidth="1"/>
    <col min="15" max="15" width="7.42578125" hidden="1" customWidth="1"/>
    <col min="16" max="16" width="8" hidden="1" customWidth="1"/>
    <col min="17" max="17" width="7.7109375" hidden="1" customWidth="1"/>
    <col min="18" max="18" width="7.140625" hidden="1" customWidth="1"/>
    <col min="19" max="23" width="8.140625" style="203" hidden="1" customWidth="1"/>
    <col min="24" max="24" width="6.7109375" hidden="1" customWidth="1"/>
    <col min="25" max="27" width="7.42578125" style="203" hidden="1" customWidth="1"/>
    <col min="28" max="33" width="0" hidden="1" customWidth="1"/>
  </cols>
  <sheetData>
    <row r="1" spans="1:9" ht="18.75" customHeight="1" x14ac:dyDescent="0.25">
      <c r="A1" s="63"/>
      <c r="B1" s="63"/>
      <c r="C1" s="63"/>
      <c r="D1" s="63"/>
      <c r="G1" s="613" t="s">
        <v>1807</v>
      </c>
      <c r="H1" s="613"/>
      <c r="I1" s="204"/>
    </row>
    <row r="2" spans="1:9" ht="18.75" customHeight="1" x14ac:dyDescent="0.25">
      <c r="A2" s="63"/>
      <c r="B2" s="63"/>
      <c r="C2" s="63"/>
      <c r="D2" s="63"/>
      <c r="G2" s="613" t="s">
        <v>1533</v>
      </c>
      <c r="H2" s="613"/>
      <c r="I2" s="204"/>
    </row>
    <row r="3" spans="1:9" s="203" customFormat="1" ht="18.75" customHeight="1" x14ac:dyDescent="0.25">
      <c r="A3" s="63"/>
      <c r="B3" s="63"/>
      <c r="C3" s="63"/>
      <c r="D3" s="63"/>
      <c r="E3" s="204"/>
      <c r="F3" s="204"/>
      <c r="G3" s="613" t="s">
        <v>1824</v>
      </c>
      <c r="H3" s="613"/>
      <c r="I3" s="204"/>
    </row>
    <row r="4" spans="1:9" ht="15.75" x14ac:dyDescent="0.25">
      <c r="A4" s="628"/>
      <c r="B4" s="628"/>
      <c r="C4" s="628"/>
      <c r="D4" s="628"/>
      <c r="E4" s="628"/>
      <c r="F4" s="628"/>
      <c r="I4" s="204"/>
    </row>
    <row r="5" spans="1:9" ht="15.75" x14ac:dyDescent="0.25">
      <c r="A5" s="619" t="s">
        <v>1294</v>
      </c>
      <c r="B5" s="619"/>
      <c r="C5" s="619"/>
      <c r="D5" s="619"/>
      <c r="E5" s="619"/>
      <c r="F5" s="619"/>
      <c r="G5" s="619"/>
      <c r="H5" s="619"/>
      <c r="I5" s="204"/>
    </row>
    <row r="6" spans="1:9" ht="15.75" x14ac:dyDescent="0.25">
      <c r="A6" s="574"/>
      <c r="B6" s="359"/>
      <c r="C6" s="359"/>
      <c r="D6" s="359"/>
      <c r="E6" s="359"/>
      <c r="F6" s="359"/>
      <c r="I6" s="204"/>
    </row>
    <row r="7" spans="1:9" ht="15.75" x14ac:dyDescent="0.25">
      <c r="A7" s="13"/>
      <c r="B7" s="13"/>
      <c r="C7" s="13"/>
      <c r="D7" s="13"/>
      <c r="E7" s="13"/>
      <c r="F7" s="13"/>
      <c r="G7" s="270" t="s">
        <v>1</v>
      </c>
      <c r="H7" s="270"/>
      <c r="I7" s="204"/>
    </row>
    <row r="8" spans="1:9" ht="63" x14ac:dyDescent="0.25">
      <c r="A8" s="572" t="s">
        <v>110</v>
      </c>
      <c r="B8" s="358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383" t="s">
        <v>1029</v>
      </c>
      <c r="H8" s="383" t="s">
        <v>1295</v>
      </c>
      <c r="I8" s="204"/>
    </row>
    <row r="9" spans="1:9" s="203" customFormat="1" ht="15.75" x14ac:dyDescent="0.25">
      <c r="A9" s="303" t="s">
        <v>1423</v>
      </c>
      <c r="B9" s="358"/>
      <c r="C9" s="15"/>
      <c r="D9" s="15"/>
      <c r="E9" s="15"/>
      <c r="F9" s="15"/>
      <c r="G9" s="59">
        <f>'пр.2.1. рдпр 22-23'!D10</f>
        <v>12415.397850000001</v>
      </c>
      <c r="H9" s="59">
        <v>25451.88</v>
      </c>
      <c r="I9" s="204"/>
    </row>
    <row r="10" spans="1:9" ht="31.5" x14ac:dyDescent="0.25">
      <c r="A10" s="461" t="s">
        <v>116</v>
      </c>
      <c r="B10" s="19">
        <v>901</v>
      </c>
      <c r="C10" s="20"/>
      <c r="D10" s="20"/>
      <c r="E10" s="20"/>
      <c r="F10" s="20"/>
      <c r="G10" s="463">
        <f>G11+G25</f>
        <v>13506</v>
      </c>
      <c r="H10" s="463">
        <f>H11+H25</f>
        <v>13506</v>
      </c>
      <c r="I10" s="204"/>
    </row>
    <row r="11" spans="1:9" ht="15.75" x14ac:dyDescent="0.25">
      <c r="A11" s="464" t="s">
        <v>117</v>
      </c>
      <c r="B11" s="19">
        <v>901</v>
      </c>
      <c r="C11" s="24" t="s">
        <v>118</v>
      </c>
      <c r="D11" s="20"/>
      <c r="E11" s="20"/>
      <c r="F11" s="20"/>
      <c r="G11" s="463">
        <f t="shared" ref="G11:H13" si="0">G12</f>
        <v>13506</v>
      </c>
      <c r="H11" s="463">
        <f t="shared" si="0"/>
        <v>13506</v>
      </c>
      <c r="I11" s="204"/>
    </row>
    <row r="12" spans="1:9" ht="51" customHeight="1" x14ac:dyDescent="0.25">
      <c r="A12" s="464" t="s">
        <v>119</v>
      </c>
      <c r="B12" s="19">
        <v>901</v>
      </c>
      <c r="C12" s="24" t="s">
        <v>118</v>
      </c>
      <c r="D12" s="24" t="s">
        <v>120</v>
      </c>
      <c r="E12" s="24"/>
      <c r="F12" s="24"/>
      <c r="G12" s="463">
        <f t="shared" si="0"/>
        <v>13506</v>
      </c>
      <c r="H12" s="463">
        <f t="shared" si="0"/>
        <v>13506</v>
      </c>
      <c r="I12" s="204"/>
    </row>
    <row r="13" spans="1:9" ht="31.5" x14ac:dyDescent="0.25">
      <c r="A13" s="464" t="s">
        <v>917</v>
      </c>
      <c r="B13" s="19">
        <v>901</v>
      </c>
      <c r="C13" s="24" t="s">
        <v>118</v>
      </c>
      <c r="D13" s="24" t="s">
        <v>120</v>
      </c>
      <c r="E13" s="24" t="s">
        <v>858</v>
      </c>
      <c r="F13" s="24"/>
      <c r="G13" s="463">
        <f t="shared" si="0"/>
        <v>13506</v>
      </c>
      <c r="H13" s="463">
        <f t="shared" si="0"/>
        <v>13506</v>
      </c>
      <c r="I13" s="204"/>
    </row>
    <row r="14" spans="1:9" ht="15.75" x14ac:dyDescent="0.25">
      <c r="A14" s="464" t="s">
        <v>918</v>
      </c>
      <c r="B14" s="19">
        <v>901</v>
      </c>
      <c r="C14" s="24" t="s">
        <v>118</v>
      </c>
      <c r="D14" s="24" t="s">
        <v>120</v>
      </c>
      <c r="E14" s="24" t="s">
        <v>859</v>
      </c>
      <c r="F14" s="24"/>
      <c r="G14" s="463">
        <f>G15+G22</f>
        <v>13506</v>
      </c>
      <c r="H14" s="463">
        <f>H15+H22</f>
        <v>13506</v>
      </c>
      <c r="I14" s="204"/>
    </row>
    <row r="15" spans="1:9" ht="31.5" x14ac:dyDescent="0.25">
      <c r="A15" s="466" t="s">
        <v>897</v>
      </c>
      <c r="B15" s="16">
        <v>901</v>
      </c>
      <c r="C15" s="20" t="s">
        <v>118</v>
      </c>
      <c r="D15" s="20" t="s">
        <v>120</v>
      </c>
      <c r="E15" s="20" t="s">
        <v>860</v>
      </c>
      <c r="F15" s="20"/>
      <c r="G15" s="467">
        <f>G16+G18+G20</f>
        <v>13086</v>
      </c>
      <c r="H15" s="467">
        <f>H16+H18+H20</f>
        <v>13086</v>
      </c>
      <c r="I15" s="204"/>
    </row>
    <row r="16" spans="1:9" ht="78.75" x14ac:dyDescent="0.25">
      <c r="A16" s="466" t="s">
        <v>127</v>
      </c>
      <c r="B16" s="16">
        <v>901</v>
      </c>
      <c r="C16" s="20" t="s">
        <v>118</v>
      </c>
      <c r="D16" s="20" t="s">
        <v>120</v>
      </c>
      <c r="E16" s="20" t="s">
        <v>860</v>
      </c>
      <c r="F16" s="20" t="s">
        <v>128</v>
      </c>
      <c r="G16" s="467">
        <f>G17</f>
        <v>12081</v>
      </c>
      <c r="H16" s="467">
        <f>H17</f>
        <v>12081</v>
      </c>
      <c r="I16" s="204"/>
    </row>
    <row r="17" spans="1:12" ht="31.5" x14ac:dyDescent="0.25">
      <c r="A17" s="466" t="s">
        <v>129</v>
      </c>
      <c r="B17" s="16">
        <v>901</v>
      </c>
      <c r="C17" s="20" t="s">
        <v>118</v>
      </c>
      <c r="D17" s="20" t="s">
        <v>120</v>
      </c>
      <c r="E17" s="20" t="s">
        <v>860</v>
      </c>
      <c r="F17" s="20" t="s">
        <v>130</v>
      </c>
      <c r="G17" s="467">
        <v>12081</v>
      </c>
      <c r="H17" s="467">
        <f t="shared" ref="H17:H97" si="1">G17</f>
        <v>12081</v>
      </c>
      <c r="I17" s="204"/>
    </row>
    <row r="18" spans="1:12" ht="31.5" x14ac:dyDescent="0.25">
      <c r="A18" s="466" t="s">
        <v>131</v>
      </c>
      <c r="B18" s="16">
        <v>901</v>
      </c>
      <c r="C18" s="20" t="s">
        <v>118</v>
      </c>
      <c r="D18" s="20" t="s">
        <v>120</v>
      </c>
      <c r="E18" s="20" t="s">
        <v>860</v>
      </c>
      <c r="F18" s="20" t="s">
        <v>132</v>
      </c>
      <c r="G18" s="467">
        <f>G19</f>
        <v>977</v>
      </c>
      <c r="H18" s="467">
        <f>H19</f>
        <v>977</v>
      </c>
      <c r="I18" s="204"/>
    </row>
    <row r="19" spans="1:12" ht="31.5" x14ac:dyDescent="0.25">
      <c r="A19" s="466" t="s">
        <v>133</v>
      </c>
      <c r="B19" s="16">
        <v>901</v>
      </c>
      <c r="C19" s="20" t="s">
        <v>118</v>
      </c>
      <c r="D19" s="20" t="s">
        <v>120</v>
      </c>
      <c r="E19" s="20" t="s">
        <v>860</v>
      </c>
      <c r="F19" s="20" t="s">
        <v>134</v>
      </c>
      <c r="G19" s="467">
        <v>977</v>
      </c>
      <c r="H19" s="467">
        <f t="shared" si="1"/>
        <v>977</v>
      </c>
      <c r="I19" s="204"/>
    </row>
    <row r="20" spans="1:12" ht="15.75" x14ac:dyDescent="0.25">
      <c r="A20" s="466" t="s">
        <v>135</v>
      </c>
      <c r="B20" s="16">
        <v>901</v>
      </c>
      <c r="C20" s="20" t="s">
        <v>118</v>
      </c>
      <c r="D20" s="20" t="s">
        <v>120</v>
      </c>
      <c r="E20" s="20" t="s">
        <v>860</v>
      </c>
      <c r="F20" s="20" t="s">
        <v>136</v>
      </c>
      <c r="G20" s="467">
        <f>G21</f>
        <v>28</v>
      </c>
      <c r="H20" s="467">
        <f>H21</f>
        <v>28</v>
      </c>
      <c r="I20" s="204"/>
    </row>
    <row r="21" spans="1:12" ht="15.75" x14ac:dyDescent="0.25">
      <c r="A21" s="466" t="s">
        <v>568</v>
      </c>
      <c r="B21" s="16">
        <v>901</v>
      </c>
      <c r="C21" s="20" t="s">
        <v>118</v>
      </c>
      <c r="D21" s="20" t="s">
        <v>120</v>
      </c>
      <c r="E21" s="20" t="s">
        <v>860</v>
      </c>
      <c r="F21" s="20" t="s">
        <v>138</v>
      </c>
      <c r="G21" s="467">
        <v>28</v>
      </c>
      <c r="H21" s="467">
        <v>28</v>
      </c>
      <c r="I21" s="204"/>
    </row>
    <row r="22" spans="1:12" ht="47.25" x14ac:dyDescent="0.25">
      <c r="A22" s="466" t="s">
        <v>839</v>
      </c>
      <c r="B22" s="16">
        <v>901</v>
      </c>
      <c r="C22" s="20" t="s">
        <v>118</v>
      </c>
      <c r="D22" s="20" t="s">
        <v>120</v>
      </c>
      <c r="E22" s="20" t="s">
        <v>862</v>
      </c>
      <c r="F22" s="20"/>
      <c r="G22" s="467">
        <f>G23</f>
        <v>420</v>
      </c>
      <c r="H22" s="467">
        <f>H23</f>
        <v>420</v>
      </c>
      <c r="I22" s="204"/>
    </row>
    <row r="23" spans="1:12" ht="78.75" x14ac:dyDescent="0.25">
      <c r="A23" s="466" t="s">
        <v>127</v>
      </c>
      <c r="B23" s="16">
        <v>901</v>
      </c>
      <c r="C23" s="20" t="s">
        <v>118</v>
      </c>
      <c r="D23" s="20" t="s">
        <v>120</v>
      </c>
      <c r="E23" s="20" t="s">
        <v>862</v>
      </c>
      <c r="F23" s="20" t="s">
        <v>128</v>
      </c>
      <c r="G23" s="467">
        <f>G24</f>
        <v>420</v>
      </c>
      <c r="H23" s="467">
        <f>H24</f>
        <v>420</v>
      </c>
      <c r="I23" s="204"/>
    </row>
    <row r="24" spans="1:12" ht="31.5" x14ac:dyDescent="0.25">
      <c r="A24" s="466" t="s">
        <v>129</v>
      </c>
      <c r="B24" s="16">
        <v>901</v>
      </c>
      <c r="C24" s="20" t="s">
        <v>118</v>
      </c>
      <c r="D24" s="20" t="s">
        <v>120</v>
      </c>
      <c r="E24" s="20" t="s">
        <v>862</v>
      </c>
      <c r="F24" s="20" t="s">
        <v>130</v>
      </c>
      <c r="G24" s="467">
        <v>420</v>
      </c>
      <c r="H24" s="467">
        <v>420</v>
      </c>
      <c r="I24" s="204"/>
    </row>
    <row r="25" spans="1:12" s="203" customFormat="1" ht="15.75" hidden="1" x14ac:dyDescent="0.25">
      <c r="A25" s="464" t="s">
        <v>139</v>
      </c>
      <c r="B25" s="19">
        <v>901</v>
      </c>
      <c r="C25" s="24" t="s">
        <v>118</v>
      </c>
      <c r="D25" s="24" t="s">
        <v>140</v>
      </c>
      <c r="E25" s="24"/>
      <c r="F25" s="24"/>
      <c r="G25" s="463">
        <f t="shared" ref="G25:H29" si="2">G26</f>
        <v>0</v>
      </c>
      <c r="H25" s="463">
        <f t="shared" si="2"/>
        <v>0</v>
      </c>
      <c r="I25" s="204"/>
    </row>
    <row r="26" spans="1:12" s="203" customFormat="1" ht="15.75" hidden="1" x14ac:dyDescent="0.25">
      <c r="A26" s="464" t="s">
        <v>141</v>
      </c>
      <c r="B26" s="19">
        <v>901</v>
      </c>
      <c r="C26" s="24" t="s">
        <v>118</v>
      </c>
      <c r="D26" s="24" t="s">
        <v>140</v>
      </c>
      <c r="E26" s="24" t="s">
        <v>866</v>
      </c>
      <c r="F26" s="24"/>
      <c r="G26" s="463">
        <f t="shared" si="2"/>
        <v>0</v>
      </c>
      <c r="H26" s="463">
        <f t="shared" si="2"/>
        <v>0</v>
      </c>
      <c r="I26" s="204"/>
    </row>
    <row r="27" spans="1:12" s="203" customFormat="1" ht="31.5" hidden="1" x14ac:dyDescent="0.25">
      <c r="A27" s="464" t="s">
        <v>870</v>
      </c>
      <c r="B27" s="19">
        <v>901</v>
      </c>
      <c r="C27" s="24" t="s">
        <v>118</v>
      </c>
      <c r="D27" s="24" t="s">
        <v>140</v>
      </c>
      <c r="E27" s="24" t="s">
        <v>865</v>
      </c>
      <c r="F27" s="24"/>
      <c r="G27" s="463">
        <f t="shared" si="2"/>
        <v>0</v>
      </c>
      <c r="H27" s="463">
        <f t="shared" si="2"/>
        <v>0</v>
      </c>
      <c r="I27" s="204"/>
    </row>
    <row r="28" spans="1:12" s="203" customFormat="1" ht="15.75" hidden="1" x14ac:dyDescent="0.25">
      <c r="A28" s="466" t="s">
        <v>1142</v>
      </c>
      <c r="B28" s="16">
        <v>901</v>
      </c>
      <c r="C28" s="20" t="s">
        <v>118</v>
      </c>
      <c r="D28" s="20" t="s">
        <v>140</v>
      </c>
      <c r="E28" s="20" t="s">
        <v>1143</v>
      </c>
      <c r="F28" s="20"/>
      <c r="G28" s="467">
        <f t="shared" si="2"/>
        <v>0</v>
      </c>
      <c r="H28" s="467">
        <f t="shared" si="2"/>
        <v>0</v>
      </c>
      <c r="I28" s="204"/>
    </row>
    <row r="29" spans="1:12" s="203" customFormat="1" ht="15.75" hidden="1" x14ac:dyDescent="0.25">
      <c r="A29" s="466" t="s">
        <v>135</v>
      </c>
      <c r="B29" s="16">
        <v>901</v>
      </c>
      <c r="C29" s="20" t="s">
        <v>118</v>
      </c>
      <c r="D29" s="20" t="s">
        <v>140</v>
      </c>
      <c r="E29" s="20" t="s">
        <v>1143</v>
      </c>
      <c r="F29" s="20" t="s">
        <v>145</v>
      </c>
      <c r="G29" s="467">
        <f>G30</f>
        <v>0</v>
      </c>
      <c r="H29" s="467">
        <f t="shared" si="2"/>
        <v>0</v>
      </c>
      <c r="I29" s="204"/>
    </row>
    <row r="30" spans="1:12" s="203" customFormat="1" ht="15.75" hidden="1" x14ac:dyDescent="0.25">
      <c r="A30" s="466" t="s">
        <v>1142</v>
      </c>
      <c r="B30" s="16">
        <v>901</v>
      </c>
      <c r="C30" s="20" t="s">
        <v>118</v>
      </c>
      <c r="D30" s="20" t="s">
        <v>140</v>
      </c>
      <c r="E30" s="20" t="s">
        <v>1143</v>
      </c>
      <c r="F30" s="20" t="s">
        <v>1144</v>
      </c>
      <c r="G30" s="467">
        <v>0</v>
      </c>
      <c r="H30" s="467">
        <v>0</v>
      </c>
      <c r="I30" s="204"/>
      <c r="L30" s="203" t="s">
        <v>1299</v>
      </c>
    </row>
    <row r="31" spans="1:12" ht="21.75" customHeight="1" x14ac:dyDescent="0.25">
      <c r="A31" s="461" t="s">
        <v>148</v>
      </c>
      <c r="B31" s="19">
        <v>902</v>
      </c>
      <c r="C31" s="20"/>
      <c r="D31" s="20"/>
      <c r="E31" s="20"/>
      <c r="F31" s="20"/>
      <c r="G31" s="463">
        <f>G32+G172+G191+G218+G165</f>
        <v>79272.719999999987</v>
      </c>
      <c r="H31" s="463">
        <f>H32+H172+H191+H218+H165</f>
        <v>66093.67</v>
      </c>
      <c r="I31" s="204"/>
    </row>
    <row r="32" spans="1:12" ht="15.75" x14ac:dyDescent="0.25">
      <c r="A32" s="464" t="s">
        <v>117</v>
      </c>
      <c r="B32" s="19">
        <v>902</v>
      </c>
      <c r="C32" s="24" t="s">
        <v>118</v>
      </c>
      <c r="D32" s="20"/>
      <c r="E32" s="20"/>
      <c r="F32" s="20"/>
      <c r="G32" s="463">
        <f>G52+G113+G130+G122+G33</f>
        <v>57018.719999999994</v>
      </c>
      <c r="H32" s="463">
        <f>H52+H113+H130+H122+H33</f>
        <v>43873.07</v>
      </c>
      <c r="I32" s="204"/>
    </row>
    <row r="33" spans="1:9" s="203" customFormat="1" ht="47.25" x14ac:dyDescent="0.25">
      <c r="A33" s="464" t="s">
        <v>575</v>
      </c>
      <c r="B33" s="19">
        <v>902</v>
      </c>
      <c r="C33" s="24" t="s">
        <v>118</v>
      </c>
      <c r="D33" s="24" t="s">
        <v>213</v>
      </c>
      <c r="E33" s="20"/>
      <c r="F33" s="20"/>
      <c r="G33" s="463">
        <f>G34+G44</f>
        <v>4867.3999999999996</v>
      </c>
      <c r="H33" s="463">
        <f>H34+H44</f>
        <v>4867.3999999999996</v>
      </c>
      <c r="I33" s="204"/>
    </row>
    <row r="34" spans="1:9" s="203" customFormat="1" ht="31.5" x14ac:dyDescent="0.25">
      <c r="A34" s="464" t="s">
        <v>917</v>
      </c>
      <c r="B34" s="19">
        <v>902</v>
      </c>
      <c r="C34" s="24" t="s">
        <v>118</v>
      </c>
      <c r="D34" s="24" t="s">
        <v>213</v>
      </c>
      <c r="E34" s="24" t="s">
        <v>858</v>
      </c>
      <c r="F34" s="20"/>
      <c r="G34" s="463">
        <f>G35</f>
        <v>4826.8999999999996</v>
      </c>
      <c r="H34" s="463">
        <f>H35</f>
        <v>4826.8999999999996</v>
      </c>
      <c r="I34" s="204"/>
    </row>
    <row r="35" spans="1:9" s="203" customFormat="1" ht="15.75" x14ac:dyDescent="0.25">
      <c r="A35" s="464" t="s">
        <v>918</v>
      </c>
      <c r="B35" s="19">
        <v>902</v>
      </c>
      <c r="C35" s="24" t="s">
        <v>118</v>
      </c>
      <c r="D35" s="24" t="s">
        <v>213</v>
      </c>
      <c r="E35" s="24" t="s">
        <v>859</v>
      </c>
      <c r="F35" s="20"/>
      <c r="G35" s="463">
        <f>G36+G41</f>
        <v>4826.8999999999996</v>
      </c>
      <c r="H35" s="463">
        <f>H36+H41</f>
        <v>4826.8999999999996</v>
      </c>
      <c r="I35" s="204"/>
    </row>
    <row r="36" spans="1:9" s="203" customFormat="1" ht="31.5" x14ac:dyDescent="0.25">
      <c r="A36" s="466" t="s">
        <v>576</v>
      </c>
      <c r="B36" s="16">
        <v>902</v>
      </c>
      <c r="C36" s="20" t="s">
        <v>118</v>
      </c>
      <c r="D36" s="20" t="s">
        <v>213</v>
      </c>
      <c r="E36" s="20" t="s">
        <v>1338</v>
      </c>
      <c r="F36" s="20"/>
      <c r="G36" s="467">
        <f>G37+G39</f>
        <v>4826.8999999999996</v>
      </c>
      <c r="H36" s="467">
        <f>H37+H39</f>
        <v>4826.8999999999996</v>
      </c>
      <c r="I36" s="204"/>
    </row>
    <row r="37" spans="1:9" s="203" customFormat="1" ht="78.75" x14ac:dyDescent="0.25">
      <c r="A37" s="466" t="s">
        <v>127</v>
      </c>
      <c r="B37" s="16">
        <v>902</v>
      </c>
      <c r="C37" s="20" t="s">
        <v>118</v>
      </c>
      <c r="D37" s="20" t="s">
        <v>213</v>
      </c>
      <c r="E37" s="20" t="s">
        <v>1338</v>
      </c>
      <c r="F37" s="20" t="s">
        <v>128</v>
      </c>
      <c r="G37" s="467">
        <f>G38</f>
        <v>4736.8999999999996</v>
      </c>
      <c r="H37" s="467">
        <f>H38</f>
        <v>4736.8999999999996</v>
      </c>
      <c r="I37" s="204"/>
    </row>
    <row r="38" spans="1:9" s="203" customFormat="1" ht="31.5" x14ac:dyDescent="0.25">
      <c r="A38" s="466" t="s">
        <v>129</v>
      </c>
      <c r="B38" s="16">
        <v>902</v>
      </c>
      <c r="C38" s="20" t="s">
        <v>118</v>
      </c>
      <c r="D38" s="20" t="s">
        <v>213</v>
      </c>
      <c r="E38" s="20" t="s">
        <v>1338</v>
      </c>
      <c r="F38" s="20" t="s">
        <v>130</v>
      </c>
      <c r="G38" s="27">
        <v>4736.8999999999996</v>
      </c>
      <c r="H38" s="467">
        <f>G38</f>
        <v>4736.8999999999996</v>
      </c>
      <c r="I38" s="204"/>
    </row>
    <row r="39" spans="1:9" s="203" customFormat="1" ht="31.5" x14ac:dyDescent="0.25">
      <c r="A39" s="466" t="s">
        <v>198</v>
      </c>
      <c r="B39" s="16">
        <v>902</v>
      </c>
      <c r="C39" s="20" t="s">
        <v>118</v>
      </c>
      <c r="D39" s="20" t="s">
        <v>213</v>
      </c>
      <c r="E39" s="20" t="s">
        <v>1338</v>
      </c>
      <c r="F39" s="20" t="s">
        <v>132</v>
      </c>
      <c r="G39" s="467">
        <f>G40</f>
        <v>90</v>
      </c>
      <c r="H39" s="467">
        <f>H40</f>
        <v>90</v>
      </c>
      <c r="I39" s="204"/>
    </row>
    <row r="40" spans="1:9" s="203" customFormat="1" ht="32.65" customHeight="1" x14ac:dyDescent="0.25">
      <c r="A40" s="466" t="s">
        <v>133</v>
      </c>
      <c r="B40" s="16">
        <v>902</v>
      </c>
      <c r="C40" s="20" t="s">
        <v>118</v>
      </c>
      <c r="D40" s="20" t="s">
        <v>213</v>
      </c>
      <c r="E40" s="20" t="s">
        <v>1338</v>
      </c>
      <c r="F40" s="20" t="s">
        <v>134</v>
      </c>
      <c r="G40" s="467">
        <v>90</v>
      </c>
      <c r="H40" s="467">
        <f>G40</f>
        <v>90</v>
      </c>
      <c r="I40" s="204"/>
    </row>
    <row r="41" spans="1:9" s="203" customFormat="1" ht="47.25" hidden="1" x14ac:dyDescent="0.25">
      <c r="A41" s="466" t="s">
        <v>839</v>
      </c>
      <c r="B41" s="16">
        <v>902</v>
      </c>
      <c r="C41" s="20" t="s">
        <v>118</v>
      </c>
      <c r="D41" s="20" t="s">
        <v>213</v>
      </c>
      <c r="E41" s="20" t="s">
        <v>862</v>
      </c>
      <c r="F41" s="20"/>
      <c r="G41" s="467">
        <f>G42</f>
        <v>0</v>
      </c>
      <c r="H41" s="467">
        <f>G41</f>
        <v>0</v>
      </c>
      <c r="I41" s="204"/>
    </row>
    <row r="42" spans="1:9" s="203" customFormat="1" ht="78.75" hidden="1" x14ac:dyDescent="0.25">
      <c r="A42" s="466" t="s">
        <v>127</v>
      </c>
      <c r="B42" s="16">
        <v>902</v>
      </c>
      <c r="C42" s="20" t="s">
        <v>118</v>
      </c>
      <c r="D42" s="20" t="s">
        <v>213</v>
      </c>
      <c r="E42" s="20" t="s">
        <v>862</v>
      </c>
      <c r="F42" s="20" t="s">
        <v>128</v>
      </c>
      <c r="G42" s="467">
        <f>G43</f>
        <v>0</v>
      </c>
      <c r="H42" s="467">
        <f>G42</f>
        <v>0</v>
      </c>
      <c r="I42" s="204"/>
    </row>
    <row r="43" spans="1:9" s="203" customFormat="1" ht="31.5" hidden="1" x14ac:dyDescent="0.25">
      <c r="A43" s="466" t="s">
        <v>129</v>
      </c>
      <c r="B43" s="16">
        <v>902</v>
      </c>
      <c r="C43" s="20" t="s">
        <v>118</v>
      </c>
      <c r="D43" s="20" t="s">
        <v>213</v>
      </c>
      <c r="E43" s="20" t="s">
        <v>862</v>
      </c>
      <c r="F43" s="20" t="s">
        <v>130</v>
      </c>
      <c r="G43" s="467">
        <f>42-42</f>
        <v>0</v>
      </c>
      <c r="H43" s="467">
        <f>G43</f>
        <v>0</v>
      </c>
      <c r="I43" s="204"/>
    </row>
    <row r="44" spans="1:9" s="203" customFormat="1" ht="47.25" x14ac:dyDescent="0.25">
      <c r="A44" s="464" t="s">
        <v>1375</v>
      </c>
      <c r="B44" s="19">
        <v>902</v>
      </c>
      <c r="C44" s="24" t="s">
        <v>118</v>
      </c>
      <c r="D44" s="24" t="s">
        <v>213</v>
      </c>
      <c r="E44" s="24" t="s">
        <v>162</v>
      </c>
      <c r="F44" s="24"/>
      <c r="G44" s="463">
        <f>G45</f>
        <v>40.5</v>
      </c>
      <c r="H44" s="463">
        <f>H45</f>
        <v>40.5</v>
      </c>
      <c r="I44" s="204"/>
    </row>
    <row r="45" spans="1:9" s="203" customFormat="1" ht="63" x14ac:dyDescent="0.25">
      <c r="A45" s="219" t="s">
        <v>843</v>
      </c>
      <c r="B45" s="19">
        <v>902</v>
      </c>
      <c r="C45" s="24" t="s">
        <v>118</v>
      </c>
      <c r="D45" s="24" t="s">
        <v>213</v>
      </c>
      <c r="E45" s="7" t="s">
        <v>850</v>
      </c>
      <c r="F45" s="24"/>
      <c r="G45" s="463">
        <f>G46+G49</f>
        <v>40.5</v>
      </c>
      <c r="H45" s="463">
        <f>H46+H49</f>
        <v>40.5</v>
      </c>
      <c r="I45" s="204"/>
    </row>
    <row r="46" spans="1:9" s="203" customFormat="1" ht="47.25" x14ac:dyDescent="0.25">
      <c r="A46" s="31" t="s">
        <v>1098</v>
      </c>
      <c r="B46" s="16">
        <v>902</v>
      </c>
      <c r="C46" s="20" t="s">
        <v>118</v>
      </c>
      <c r="D46" s="20" t="s">
        <v>213</v>
      </c>
      <c r="E46" s="40" t="s">
        <v>993</v>
      </c>
      <c r="F46" s="20"/>
      <c r="G46" s="467">
        <f>G47</f>
        <v>40.5</v>
      </c>
      <c r="H46" s="467">
        <f>H47</f>
        <v>40.5</v>
      </c>
      <c r="I46" s="204"/>
    </row>
    <row r="47" spans="1:9" s="203" customFormat="1" ht="31.5" x14ac:dyDescent="0.25">
      <c r="A47" s="466" t="s">
        <v>131</v>
      </c>
      <c r="B47" s="16">
        <v>902</v>
      </c>
      <c r="C47" s="20" t="s">
        <v>118</v>
      </c>
      <c r="D47" s="20" t="s">
        <v>213</v>
      </c>
      <c r="E47" s="40" t="s">
        <v>993</v>
      </c>
      <c r="F47" s="20" t="s">
        <v>132</v>
      </c>
      <c r="G47" s="467">
        <f>G48</f>
        <v>40.5</v>
      </c>
      <c r="H47" s="467">
        <f>H48</f>
        <v>40.5</v>
      </c>
      <c r="I47" s="204"/>
    </row>
    <row r="48" spans="1:9" s="203" customFormat="1" ht="31.5" x14ac:dyDescent="0.25">
      <c r="A48" s="466" t="s">
        <v>133</v>
      </c>
      <c r="B48" s="16">
        <v>902</v>
      </c>
      <c r="C48" s="20" t="s">
        <v>118</v>
      </c>
      <c r="D48" s="20" t="s">
        <v>213</v>
      </c>
      <c r="E48" s="40" t="s">
        <v>696</v>
      </c>
      <c r="F48" s="20" t="s">
        <v>134</v>
      </c>
      <c r="G48" s="467">
        <f>0.5+40</f>
        <v>40.5</v>
      </c>
      <c r="H48" s="467">
        <f>G48</f>
        <v>40.5</v>
      </c>
      <c r="I48" s="204"/>
    </row>
    <row r="49" spans="1:9" s="203" customFormat="1" ht="47.25" hidden="1" x14ac:dyDescent="0.25">
      <c r="A49" s="31" t="s">
        <v>695</v>
      </c>
      <c r="B49" s="16">
        <v>902</v>
      </c>
      <c r="C49" s="20" t="s">
        <v>118</v>
      </c>
      <c r="D49" s="20" t="s">
        <v>213</v>
      </c>
      <c r="E49" s="20" t="s">
        <v>992</v>
      </c>
      <c r="F49" s="20"/>
      <c r="G49" s="467">
        <f>G50</f>
        <v>0</v>
      </c>
      <c r="H49" s="467">
        <f>H50</f>
        <v>0</v>
      </c>
      <c r="I49" s="204"/>
    </row>
    <row r="50" spans="1:9" s="203" customFormat="1" ht="31.5" hidden="1" x14ac:dyDescent="0.25">
      <c r="A50" s="466" t="s">
        <v>131</v>
      </c>
      <c r="B50" s="16">
        <v>902</v>
      </c>
      <c r="C50" s="20" t="s">
        <v>118</v>
      </c>
      <c r="D50" s="20" t="s">
        <v>213</v>
      </c>
      <c r="E50" s="20" t="s">
        <v>992</v>
      </c>
      <c r="F50" s="20" t="s">
        <v>132</v>
      </c>
      <c r="G50" s="467">
        <f>G51</f>
        <v>0</v>
      </c>
      <c r="H50" s="467">
        <f>H51</f>
        <v>0</v>
      </c>
      <c r="I50" s="204"/>
    </row>
    <row r="51" spans="1:9" s="203" customFormat="1" ht="31.5" hidden="1" x14ac:dyDescent="0.25">
      <c r="A51" s="466" t="s">
        <v>133</v>
      </c>
      <c r="B51" s="16">
        <v>902</v>
      </c>
      <c r="C51" s="20" t="s">
        <v>118</v>
      </c>
      <c r="D51" s="20" t="s">
        <v>213</v>
      </c>
      <c r="E51" s="20" t="s">
        <v>992</v>
      </c>
      <c r="F51" s="20" t="s">
        <v>134</v>
      </c>
      <c r="G51" s="467"/>
      <c r="H51" s="467"/>
      <c r="I51" s="204"/>
    </row>
    <row r="52" spans="1:9" ht="63" x14ac:dyDescent="0.25">
      <c r="A52" s="464" t="s">
        <v>149</v>
      </c>
      <c r="B52" s="19">
        <v>902</v>
      </c>
      <c r="C52" s="24" t="s">
        <v>118</v>
      </c>
      <c r="D52" s="24" t="s">
        <v>150</v>
      </c>
      <c r="E52" s="24"/>
      <c r="F52" s="24"/>
      <c r="G52" s="463">
        <f>G53+G89</f>
        <v>44810.119999999995</v>
      </c>
      <c r="H52" s="463">
        <f>H53+H89</f>
        <v>31621.469999999998</v>
      </c>
      <c r="I52" s="204"/>
    </row>
    <row r="53" spans="1:9" ht="31.5" x14ac:dyDescent="0.25">
      <c r="A53" s="464" t="s">
        <v>917</v>
      </c>
      <c r="B53" s="19">
        <v>902</v>
      </c>
      <c r="C53" s="24" t="s">
        <v>118</v>
      </c>
      <c r="D53" s="24" t="s">
        <v>150</v>
      </c>
      <c r="E53" s="24" t="s">
        <v>858</v>
      </c>
      <c r="F53" s="24"/>
      <c r="G53" s="44">
        <f>G54+G70</f>
        <v>44126.619999999995</v>
      </c>
      <c r="H53" s="44">
        <f>H54+H70</f>
        <v>30937.969999999998</v>
      </c>
      <c r="I53" s="204"/>
    </row>
    <row r="54" spans="1:9" ht="15.75" x14ac:dyDescent="0.25">
      <c r="A54" s="464" t="s">
        <v>918</v>
      </c>
      <c r="B54" s="19">
        <v>902</v>
      </c>
      <c r="C54" s="24" t="s">
        <v>118</v>
      </c>
      <c r="D54" s="24" t="s">
        <v>150</v>
      </c>
      <c r="E54" s="24" t="s">
        <v>859</v>
      </c>
      <c r="F54" s="24"/>
      <c r="G54" s="44">
        <f>G55+G64+G67</f>
        <v>40818.1</v>
      </c>
      <c r="H54" s="44">
        <f>H55+H64+H67</f>
        <v>27844.92</v>
      </c>
      <c r="I54" s="204"/>
    </row>
    <row r="55" spans="1:9" ht="31.5" x14ac:dyDescent="0.25">
      <c r="A55" s="466" t="s">
        <v>897</v>
      </c>
      <c r="B55" s="16">
        <v>902</v>
      </c>
      <c r="C55" s="20" t="s">
        <v>118</v>
      </c>
      <c r="D55" s="20" t="s">
        <v>150</v>
      </c>
      <c r="E55" s="20" t="s">
        <v>860</v>
      </c>
      <c r="F55" s="20"/>
      <c r="G55" s="467">
        <f>G56+G58+G60+G62</f>
        <v>37155.699999999997</v>
      </c>
      <c r="H55" s="467">
        <f>H56+H58+H60+H62</f>
        <v>24182.519999999997</v>
      </c>
      <c r="I55" s="204"/>
    </row>
    <row r="56" spans="1:9" ht="78.75" x14ac:dyDescent="0.25">
      <c r="A56" s="466" t="s">
        <v>127</v>
      </c>
      <c r="B56" s="16">
        <v>902</v>
      </c>
      <c r="C56" s="20" t="s">
        <v>118</v>
      </c>
      <c r="D56" s="20" t="s">
        <v>150</v>
      </c>
      <c r="E56" s="20" t="s">
        <v>860</v>
      </c>
      <c r="F56" s="20" t="s">
        <v>128</v>
      </c>
      <c r="G56" s="467">
        <f>G57</f>
        <v>31521.3</v>
      </c>
      <c r="H56" s="467">
        <f>H57</f>
        <v>18548.12</v>
      </c>
      <c r="I56" s="204"/>
    </row>
    <row r="57" spans="1:9" ht="31.5" x14ac:dyDescent="0.25">
      <c r="A57" s="466" t="s">
        <v>129</v>
      </c>
      <c r="B57" s="16">
        <v>902</v>
      </c>
      <c r="C57" s="20" t="s">
        <v>118</v>
      </c>
      <c r="D57" s="20" t="s">
        <v>150</v>
      </c>
      <c r="E57" s="20" t="s">
        <v>860</v>
      </c>
      <c r="F57" s="20" t="s">
        <v>130</v>
      </c>
      <c r="G57" s="467">
        <v>31521.3</v>
      </c>
      <c r="H57" s="467">
        <f>44000-H9</f>
        <v>18548.12</v>
      </c>
      <c r="I57" s="204"/>
    </row>
    <row r="58" spans="1:9" ht="31.5" x14ac:dyDescent="0.25">
      <c r="A58" s="466" t="s">
        <v>131</v>
      </c>
      <c r="B58" s="16">
        <v>902</v>
      </c>
      <c r="C58" s="20" t="s">
        <v>118</v>
      </c>
      <c r="D58" s="20" t="s">
        <v>150</v>
      </c>
      <c r="E58" s="20" t="s">
        <v>860</v>
      </c>
      <c r="F58" s="20" t="s">
        <v>132</v>
      </c>
      <c r="G58" s="467">
        <f>G59</f>
        <v>5559.4</v>
      </c>
      <c r="H58" s="467">
        <f>H59</f>
        <v>5559.4</v>
      </c>
      <c r="I58" s="204"/>
    </row>
    <row r="59" spans="1:9" ht="31.5" x14ac:dyDescent="0.25">
      <c r="A59" s="466" t="s">
        <v>133</v>
      </c>
      <c r="B59" s="16">
        <v>902</v>
      </c>
      <c r="C59" s="20" t="s">
        <v>118</v>
      </c>
      <c r="D59" s="20" t="s">
        <v>150</v>
      </c>
      <c r="E59" s="20" t="s">
        <v>860</v>
      </c>
      <c r="F59" s="20" t="s">
        <v>134</v>
      </c>
      <c r="G59" s="467">
        <v>5559.4</v>
      </c>
      <c r="H59" s="467">
        <f>G59</f>
        <v>5559.4</v>
      </c>
      <c r="I59" s="204"/>
    </row>
    <row r="60" spans="1:9" ht="31.5" hidden="1" x14ac:dyDescent="0.25">
      <c r="A60" s="466" t="s">
        <v>248</v>
      </c>
      <c r="B60" s="16">
        <v>902</v>
      </c>
      <c r="C60" s="20" t="s">
        <v>118</v>
      </c>
      <c r="D60" s="20" t="s">
        <v>150</v>
      </c>
      <c r="E60" s="20" t="s">
        <v>860</v>
      </c>
      <c r="F60" s="20" t="s">
        <v>249</v>
      </c>
      <c r="G60" s="467">
        <f>G61</f>
        <v>0</v>
      </c>
      <c r="H60" s="467">
        <f>H61</f>
        <v>0</v>
      </c>
      <c r="I60" s="204"/>
    </row>
    <row r="61" spans="1:9" ht="31.5" hidden="1" x14ac:dyDescent="0.25">
      <c r="A61" s="466" t="s">
        <v>250</v>
      </c>
      <c r="B61" s="16">
        <v>902</v>
      </c>
      <c r="C61" s="20" t="s">
        <v>118</v>
      </c>
      <c r="D61" s="20" t="s">
        <v>150</v>
      </c>
      <c r="E61" s="20" t="s">
        <v>860</v>
      </c>
      <c r="F61" s="20" t="s">
        <v>251</v>
      </c>
      <c r="G61" s="467">
        <v>0</v>
      </c>
      <c r="H61" s="467">
        <f t="shared" si="1"/>
        <v>0</v>
      </c>
      <c r="I61" s="204"/>
    </row>
    <row r="62" spans="1:9" ht="15.75" x14ac:dyDescent="0.25">
      <c r="A62" s="466" t="s">
        <v>135</v>
      </c>
      <c r="B62" s="16">
        <v>902</v>
      </c>
      <c r="C62" s="20" t="s">
        <v>118</v>
      </c>
      <c r="D62" s="20" t="s">
        <v>150</v>
      </c>
      <c r="E62" s="20" t="s">
        <v>860</v>
      </c>
      <c r="F62" s="20" t="s">
        <v>145</v>
      </c>
      <c r="G62" s="467">
        <f>G63</f>
        <v>75</v>
      </c>
      <c r="H62" s="467">
        <f>H63</f>
        <v>75</v>
      </c>
      <c r="I62" s="204"/>
    </row>
    <row r="63" spans="1:9" ht="15.75" x14ac:dyDescent="0.25">
      <c r="A63" s="466" t="s">
        <v>568</v>
      </c>
      <c r="B63" s="16">
        <v>902</v>
      </c>
      <c r="C63" s="20" t="s">
        <v>118</v>
      </c>
      <c r="D63" s="20" t="s">
        <v>150</v>
      </c>
      <c r="E63" s="20" t="s">
        <v>860</v>
      </c>
      <c r="F63" s="20" t="s">
        <v>138</v>
      </c>
      <c r="G63" s="467">
        <v>75</v>
      </c>
      <c r="H63" s="467">
        <f t="shared" si="1"/>
        <v>75</v>
      </c>
      <c r="I63" s="204"/>
    </row>
    <row r="64" spans="1:9" ht="31.5" x14ac:dyDescent="0.25">
      <c r="A64" s="466" t="s">
        <v>840</v>
      </c>
      <c r="B64" s="16">
        <v>902</v>
      </c>
      <c r="C64" s="20" t="s">
        <v>118</v>
      </c>
      <c r="D64" s="20" t="s">
        <v>150</v>
      </c>
      <c r="E64" s="20" t="s">
        <v>861</v>
      </c>
      <c r="F64" s="20"/>
      <c r="G64" s="467">
        <f>G65</f>
        <v>2071.4</v>
      </c>
      <c r="H64" s="467">
        <f t="shared" si="1"/>
        <v>2071.4</v>
      </c>
      <c r="I64" s="204"/>
    </row>
    <row r="65" spans="1:13" ht="78.75" x14ac:dyDescent="0.25">
      <c r="A65" s="466" t="s">
        <v>127</v>
      </c>
      <c r="B65" s="16">
        <v>902</v>
      </c>
      <c r="C65" s="20" t="s">
        <v>118</v>
      </c>
      <c r="D65" s="20" t="s">
        <v>150</v>
      </c>
      <c r="E65" s="20" t="s">
        <v>861</v>
      </c>
      <c r="F65" s="20" t="s">
        <v>128</v>
      </c>
      <c r="G65" s="467">
        <f>G66</f>
        <v>2071.4</v>
      </c>
      <c r="H65" s="467">
        <f>H66</f>
        <v>2071.4</v>
      </c>
      <c r="I65" s="204"/>
    </row>
    <row r="66" spans="1:13" ht="31.5" x14ac:dyDescent="0.25">
      <c r="A66" s="466" t="s">
        <v>129</v>
      </c>
      <c r="B66" s="16">
        <v>902</v>
      </c>
      <c r="C66" s="20" t="s">
        <v>118</v>
      </c>
      <c r="D66" s="20" t="s">
        <v>150</v>
      </c>
      <c r="E66" s="20" t="s">
        <v>861</v>
      </c>
      <c r="F66" s="20" t="s">
        <v>130</v>
      </c>
      <c r="G66" s="467">
        <v>2071.4</v>
      </c>
      <c r="H66" s="467">
        <f t="shared" si="1"/>
        <v>2071.4</v>
      </c>
      <c r="I66" s="204"/>
    </row>
    <row r="67" spans="1:13" ht="47.25" x14ac:dyDescent="0.25">
      <c r="A67" s="466" t="s">
        <v>839</v>
      </c>
      <c r="B67" s="16">
        <v>902</v>
      </c>
      <c r="C67" s="20" t="s">
        <v>118</v>
      </c>
      <c r="D67" s="20" t="s">
        <v>150</v>
      </c>
      <c r="E67" s="20" t="s">
        <v>862</v>
      </c>
      <c r="F67" s="20"/>
      <c r="G67" s="467">
        <f>G68</f>
        <v>1591</v>
      </c>
      <c r="H67" s="467">
        <f>H68</f>
        <v>1591</v>
      </c>
      <c r="I67" s="204"/>
    </row>
    <row r="68" spans="1:13" ht="78.75" x14ac:dyDescent="0.25">
      <c r="A68" s="466" t="s">
        <v>127</v>
      </c>
      <c r="B68" s="16">
        <v>902</v>
      </c>
      <c r="C68" s="20" t="s">
        <v>118</v>
      </c>
      <c r="D68" s="20" t="s">
        <v>150</v>
      </c>
      <c r="E68" s="20" t="s">
        <v>862</v>
      </c>
      <c r="F68" s="20" t="s">
        <v>128</v>
      </c>
      <c r="G68" s="467">
        <f>G69</f>
        <v>1591</v>
      </c>
      <c r="H68" s="467">
        <f>H69</f>
        <v>1591</v>
      </c>
      <c r="I68" s="204"/>
    </row>
    <row r="69" spans="1:13" ht="31.5" x14ac:dyDescent="0.25">
      <c r="A69" s="466" t="s">
        <v>129</v>
      </c>
      <c r="B69" s="16">
        <v>902</v>
      </c>
      <c r="C69" s="20" t="s">
        <v>118</v>
      </c>
      <c r="D69" s="20" t="s">
        <v>150</v>
      </c>
      <c r="E69" s="20" t="s">
        <v>862</v>
      </c>
      <c r="F69" s="20" t="s">
        <v>130</v>
      </c>
      <c r="G69" s="467">
        <v>1591</v>
      </c>
      <c r="H69" s="467">
        <f t="shared" si="1"/>
        <v>1591</v>
      </c>
      <c r="I69" s="204"/>
    </row>
    <row r="70" spans="1:13" ht="31.5" x14ac:dyDescent="0.25">
      <c r="A70" s="464" t="s">
        <v>885</v>
      </c>
      <c r="B70" s="19">
        <v>902</v>
      </c>
      <c r="C70" s="24" t="s">
        <v>118</v>
      </c>
      <c r="D70" s="24" t="s">
        <v>150</v>
      </c>
      <c r="E70" s="24" t="s">
        <v>863</v>
      </c>
      <c r="F70" s="24"/>
      <c r="G70" s="463">
        <f>G71+G74+G79+G84</f>
        <v>3308.5199999999995</v>
      </c>
      <c r="H70" s="463">
        <f>H71+H74+H79+H84</f>
        <v>3093.05</v>
      </c>
      <c r="I70" s="204"/>
    </row>
    <row r="71" spans="1:13" ht="47.25" hidden="1" x14ac:dyDescent="0.25">
      <c r="A71" s="466" t="s">
        <v>779</v>
      </c>
      <c r="B71" s="16">
        <v>902</v>
      </c>
      <c r="C71" s="20" t="s">
        <v>118</v>
      </c>
      <c r="D71" s="20" t="s">
        <v>150</v>
      </c>
      <c r="E71" s="20" t="s">
        <v>919</v>
      </c>
      <c r="F71" s="24"/>
      <c r="G71" s="467">
        <f>G72</f>
        <v>0</v>
      </c>
      <c r="H71" s="467">
        <f>H72</f>
        <v>0</v>
      </c>
      <c r="I71" s="204"/>
    </row>
    <row r="72" spans="1:13" ht="31.5" hidden="1" x14ac:dyDescent="0.25">
      <c r="A72" s="466" t="s">
        <v>131</v>
      </c>
      <c r="B72" s="16">
        <v>902</v>
      </c>
      <c r="C72" s="20" t="s">
        <v>118</v>
      </c>
      <c r="D72" s="20" t="s">
        <v>150</v>
      </c>
      <c r="E72" s="20" t="s">
        <v>919</v>
      </c>
      <c r="F72" s="20" t="s">
        <v>132</v>
      </c>
      <c r="G72" s="467">
        <f>G73</f>
        <v>0</v>
      </c>
      <c r="H72" s="467">
        <f>H73</f>
        <v>0</v>
      </c>
      <c r="I72" s="204"/>
    </row>
    <row r="73" spans="1:13" ht="31.5" hidden="1" x14ac:dyDescent="0.25">
      <c r="A73" s="466" t="s">
        <v>133</v>
      </c>
      <c r="B73" s="16">
        <v>902</v>
      </c>
      <c r="C73" s="20" t="s">
        <v>118</v>
      </c>
      <c r="D73" s="20" t="s">
        <v>150</v>
      </c>
      <c r="E73" s="20" t="s">
        <v>919</v>
      </c>
      <c r="F73" s="20" t="s">
        <v>134</v>
      </c>
      <c r="G73" s="384">
        <v>0</v>
      </c>
      <c r="H73" s="384">
        <v>0</v>
      </c>
      <c r="I73" s="204"/>
    </row>
    <row r="74" spans="1:13" ht="47.25" x14ac:dyDescent="0.25">
      <c r="A74" s="31" t="s">
        <v>189</v>
      </c>
      <c r="B74" s="16">
        <v>902</v>
      </c>
      <c r="C74" s="20" t="s">
        <v>118</v>
      </c>
      <c r="D74" s="20" t="s">
        <v>150</v>
      </c>
      <c r="E74" s="20" t="s">
        <v>920</v>
      </c>
      <c r="F74" s="20"/>
      <c r="G74" s="467">
        <f>G75+G77</f>
        <v>563.12</v>
      </c>
      <c r="H74" s="467">
        <f>H75+H77</f>
        <v>347.65</v>
      </c>
      <c r="I74" s="204"/>
    </row>
    <row r="75" spans="1:13" ht="78.75" x14ac:dyDescent="0.25">
      <c r="A75" s="466" t="s">
        <v>127</v>
      </c>
      <c r="B75" s="16">
        <v>902</v>
      </c>
      <c r="C75" s="20" t="s">
        <v>118</v>
      </c>
      <c r="D75" s="20" t="s">
        <v>150</v>
      </c>
      <c r="E75" s="20" t="s">
        <v>920</v>
      </c>
      <c r="F75" s="20" t="s">
        <v>128</v>
      </c>
      <c r="G75" s="467">
        <f>G76</f>
        <v>563.12</v>
      </c>
      <c r="H75" s="467">
        <f>H76</f>
        <v>347.65</v>
      </c>
      <c r="I75" s="204"/>
    </row>
    <row r="76" spans="1:13" ht="31.5" x14ac:dyDescent="0.25">
      <c r="A76" s="466" t="s">
        <v>129</v>
      </c>
      <c r="B76" s="16">
        <v>902</v>
      </c>
      <c r="C76" s="20" t="s">
        <v>118</v>
      </c>
      <c r="D76" s="20" t="s">
        <v>150</v>
      </c>
      <c r="E76" s="20" t="s">
        <v>920</v>
      </c>
      <c r="F76" s="20" t="s">
        <v>130</v>
      </c>
      <c r="G76" s="467">
        <f>563.2-0.08</f>
        <v>563.12</v>
      </c>
      <c r="H76" s="467">
        <f>347.7-0.05</f>
        <v>347.65</v>
      </c>
      <c r="I76" s="204"/>
      <c r="L76">
        <v>-0.08</v>
      </c>
      <c r="M76">
        <v>-0.05</v>
      </c>
    </row>
    <row r="77" spans="1:13" ht="31.5" hidden="1" x14ac:dyDescent="0.25">
      <c r="A77" s="466" t="s">
        <v>131</v>
      </c>
      <c r="B77" s="16">
        <v>902</v>
      </c>
      <c r="C77" s="20" t="s">
        <v>118</v>
      </c>
      <c r="D77" s="20" t="s">
        <v>150</v>
      </c>
      <c r="E77" s="20" t="s">
        <v>920</v>
      </c>
      <c r="F77" s="20" t="s">
        <v>132</v>
      </c>
      <c r="G77" s="467">
        <f>G78</f>
        <v>0</v>
      </c>
      <c r="H77" s="467">
        <f>H78</f>
        <v>0</v>
      </c>
      <c r="I77" s="204"/>
    </row>
    <row r="78" spans="1:13" ht="31.5" hidden="1" x14ac:dyDescent="0.25">
      <c r="A78" s="466" t="s">
        <v>133</v>
      </c>
      <c r="B78" s="16">
        <v>902</v>
      </c>
      <c r="C78" s="20" t="s">
        <v>118</v>
      </c>
      <c r="D78" s="20" t="s">
        <v>150</v>
      </c>
      <c r="E78" s="20" t="s">
        <v>920</v>
      </c>
      <c r="F78" s="20" t="s">
        <v>134</v>
      </c>
      <c r="G78" s="384">
        <v>0</v>
      </c>
      <c r="H78" s="384">
        <v>0</v>
      </c>
      <c r="I78" s="204"/>
    </row>
    <row r="79" spans="1:13" ht="47.25" x14ac:dyDescent="0.25">
      <c r="A79" s="31" t="s">
        <v>194</v>
      </c>
      <c r="B79" s="16">
        <v>902</v>
      </c>
      <c r="C79" s="20" t="s">
        <v>118</v>
      </c>
      <c r="D79" s="20" t="s">
        <v>150</v>
      </c>
      <c r="E79" s="20" t="s">
        <v>1030</v>
      </c>
      <c r="F79" s="20"/>
      <c r="G79" s="467">
        <f>G80+G82</f>
        <v>1411.1</v>
      </c>
      <c r="H79" s="467">
        <f>H80+H82</f>
        <v>1411.1</v>
      </c>
      <c r="I79" s="204"/>
    </row>
    <row r="80" spans="1:13" ht="78.75" x14ac:dyDescent="0.25">
      <c r="A80" s="466" t="s">
        <v>127</v>
      </c>
      <c r="B80" s="16">
        <v>902</v>
      </c>
      <c r="C80" s="20" t="s">
        <v>118</v>
      </c>
      <c r="D80" s="20" t="s">
        <v>150</v>
      </c>
      <c r="E80" s="20" t="s">
        <v>1030</v>
      </c>
      <c r="F80" s="20" t="s">
        <v>128</v>
      </c>
      <c r="G80" s="467">
        <f>G81</f>
        <v>1372.1</v>
      </c>
      <c r="H80" s="467">
        <f>H81</f>
        <v>1372.1</v>
      </c>
      <c r="I80" s="204"/>
    </row>
    <row r="81" spans="1:9" ht="31.5" x14ac:dyDescent="0.25">
      <c r="A81" s="466" t="s">
        <v>129</v>
      </c>
      <c r="B81" s="16">
        <v>902</v>
      </c>
      <c r="C81" s="20" t="s">
        <v>118</v>
      </c>
      <c r="D81" s="20" t="s">
        <v>150</v>
      </c>
      <c r="E81" s="20" t="s">
        <v>1030</v>
      </c>
      <c r="F81" s="20" t="s">
        <v>130</v>
      </c>
      <c r="G81" s="467">
        <f>1372.1</f>
        <v>1372.1</v>
      </c>
      <c r="H81" s="467">
        <f t="shared" si="1"/>
        <v>1372.1</v>
      </c>
      <c r="I81" s="204"/>
    </row>
    <row r="82" spans="1:9" ht="31.5" x14ac:dyDescent="0.25">
      <c r="A82" s="466" t="s">
        <v>131</v>
      </c>
      <c r="B82" s="16">
        <v>902</v>
      </c>
      <c r="C82" s="20" t="s">
        <v>118</v>
      </c>
      <c r="D82" s="20" t="s">
        <v>150</v>
      </c>
      <c r="E82" s="20" t="s">
        <v>1030</v>
      </c>
      <c r="F82" s="20" t="s">
        <v>132</v>
      </c>
      <c r="G82" s="467">
        <f>G83</f>
        <v>39</v>
      </c>
      <c r="H82" s="467">
        <f>H83</f>
        <v>39</v>
      </c>
      <c r="I82" s="204"/>
    </row>
    <row r="83" spans="1:9" ht="31.5" x14ac:dyDescent="0.25">
      <c r="A83" s="466" t="s">
        <v>133</v>
      </c>
      <c r="B83" s="16">
        <v>902</v>
      </c>
      <c r="C83" s="20" t="s">
        <v>118</v>
      </c>
      <c r="D83" s="20" t="s">
        <v>150</v>
      </c>
      <c r="E83" s="20" t="s">
        <v>1030</v>
      </c>
      <c r="F83" s="20" t="s">
        <v>134</v>
      </c>
      <c r="G83" s="467">
        <f>61.2-19.5-2.7</f>
        <v>39</v>
      </c>
      <c r="H83" s="467">
        <f t="shared" si="1"/>
        <v>39</v>
      </c>
      <c r="I83" s="204"/>
    </row>
    <row r="84" spans="1:9" ht="47.25" x14ac:dyDescent="0.25">
      <c r="A84" s="31" t="s">
        <v>196</v>
      </c>
      <c r="B84" s="16">
        <v>902</v>
      </c>
      <c r="C84" s="20" t="s">
        <v>118</v>
      </c>
      <c r="D84" s="20" t="s">
        <v>150</v>
      </c>
      <c r="E84" s="20" t="s">
        <v>921</v>
      </c>
      <c r="F84" s="20"/>
      <c r="G84" s="467">
        <f>G85+G87</f>
        <v>1334.3</v>
      </c>
      <c r="H84" s="467">
        <f>H85+H87</f>
        <v>1334.3</v>
      </c>
      <c r="I84" s="204"/>
    </row>
    <row r="85" spans="1:9" ht="78.75" x14ac:dyDescent="0.25">
      <c r="A85" s="466" t="s">
        <v>127</v>
      </c>
      <c r="B85" s="16">
        <v>902</v>
      </c>
      <c r="C85" s="20" t="s">
        <v>118</v>
      </c>
      <c r="D85" s="20" t="s">
        <v>150</v>
      </c>
      <c r="E85" s="20" t="s">
        <v>921</v>
      </c>
      <c r="F85" s="20" t="s">
        <v>128</v>
      </c>
      <c r="G85" s="467">
        <f>G86</f>
        <v>1300.3</v>
      </c>
      <c r="H85" s="467">
        <f>H86</f>
        <v>1300.3</v>
      </c>
      <c r="I85" s="204"/>
    </row>
    <row r="86" spans="1:9" ht="31.5" x14ac:dyDescent="0.25">
      <c r="A86" s="466" t="s">
        <v>129</v>
      </c>
      <c r="B86" s="16">
        <v>902</v>
      </c>
      <c r="C86" s="20" t="s">
        <v>118</v>
      </c>
      <c r="D86" s="20" t="s">
        <v>150</v>
      </c>
      <c r="E86" s="20" t="s">
        <v>921</v>
      </c>
      <c r="F86" s="20" t="s">
        <v>130</v>
      </c>
      <c r="G86" s="467">
        <v>1300.3</v>
      </c>
      <c r="H86" s="467">
        <f t="shared" si="1"/>
        <v>1300.3</v>
      </c>
      <c r="I86" s="204"/>
    </row>
    <row r="87" spans="1:9" ht="31.5" x14ac:dyDescent="0.25">
      <c r="A87" s="466" t="s">
        <v>198</v>
      </c>
      <c r="B87" s="16">
        <v>902</v>
      </c>
      <c r="C87" s="20" t="s">
        <v>118</v>
      </c>
      <c r="D87" s="20" t="s">
        <v>150</v>
      </c>
      <c r="E87" s="20" t="s">
        <v>921</v>
      </c>
      <c r="F87" s="20" t="s">
        <v>132</v>
      </c>
      <c r="G87" s="467">
        <f>G88</f>
        <v>34</v>
      </c>
      <c r="H87" s="467">
        <f>H88</f>
        <v>34</v>
      </c>
      <c r="I87" s="204"/>
    </row>
    <row r="88" spans="1:9" ht="31.5" x14ac:dyDescent="0.25">
      <c r="A88" s="466" t="s">
        <v>133</v>
      </c>
      <c r="B88" s="16">
        <v>902</v>
      </c>
      <c r="C88" s="20" t="s">
        <v>118</v>
      </c>
      <c r="D88" s="20" t="s">
        <v>150</v>
      </c>
      <c r="E88" s="20" t="s">
        <v>921</v>
      </c>
      <c r="F88" s="20" t="s">
        <v>134</v>
      </c>
      <c r="G88" s="467">
        <v>34</v>
      </c>
      <c r="H88" s="467">
        <f t="shared" si="1"/>
        <v>34</v>
      </c>
      <c r="I88" s="204"/>
    </row>
    <row r="89" spans="1:9" ht="47.25" x14ac:dyDescent="0.25">
      <c r="A89" s="464" t="s">
        <v>1375</v>
      </c>
      <c r="B89" s="19">
        <v>902</v>
      </c>
      <c r="C89" s="24" t="s">
        <v>118</v>
      </c>
      <c r="D89" s="24" t="s">
        <v>150</v>
      </c>
      <c r="E89" s="24" t="s">
        <v>162</v>
      </c>
      <c r="F89" s="24"/>
      <c r="G89" s="463">
        <f>G90+G94+G106</f>
        <v>683.5</v>
      </c>
      <c r="H89" s="463">
        <f>H90+H94+H106</f>
        <v>683.5</v>
      </c>
      <c r="I89" s="204"/>
    </row>
    <row r="90" spans="1:9" ht="63" x14ac:dyDescent="0.25">
      <c r="A90" s="299" t="s">
        <v>1350</v>
      </c>
      <c r="B90" s="19">
        <v>902</v>
      </c>
      <c r="C90" s="24" t="s">
        <v>118</v>
      </c>
      <c r="D90" s="24" t="s">
        <v>150</v>
      </c>
      <c r="E90" s="7" t="s">
        <v>849</v>
      </c>
      <c r="F90" s="24"/>
      <c r="G90" s="463">
        <f t="shared" ref="G90:H92" si="3">G91</f>
        <v>606</v>
      </c>
      <c r="H90" s="463">
        <f t="shared" si="3"/>
        <v>606</v>
      </c>
      <c r="I90" s="204"/>
    </row>
    <row r="91" spans="1:9" ht="47.25" x14ac:dyDescent="0.25">
      <c r="A91" s="29" t="s">
        <v>1314</v>
      </c>
      <c r="B91" s="16">
        <v>902</v>
      </c>
      <c r="C91" s="20" t="s">
        <v>118</v>
      </c>
      <c r="D91" s="20" t="s">
        <v>150</v>
      </c>
      <c r="E91" s="40" t="s">
        <v>841</v>
      </c>
      <c r="F91" s="20"/>
      <c r="G91" s="467">
        <f t="shared" si="3"/>
        <v>606</v>
      </c>
      <c r="H91" s="467">
        <f t="shared" si="3"/>
        <v>606</v>
      </c>
      <c r="I91" s="204"/>
    </row>
    <row r="92" spans="1:9" ht="31.5" x14ac:dyDescent="0.25">
      <c r="A92" s="466" t="s">
        <v>131</v>
      </c>
      <c r="B92" s="16">
        <v>902</v>
      </c>
      <c r="C92" s="20" t="s">
        <v>118</v>
      </c>
      <c r="D92" s="20" t="s">
        <v>150</v>
      </c>
      <c r="E92" s="40" t="s">
        <v>841</v>
      </c>
      <c r="F92" s="20" t="s">
        <v>132</v>
      </c>
      <c r="G92" s="467">
        <f t="shared" si="3"/>
        <v>606</v>
      </c>
      <c r="H92" s="467">
        <f t="shared" si="3"/>
        <v>606</v>
      </c>
      <c r="I92" s="204"/>
    </row>
    <row r="93" spans="1:9" ht="31.5" x14ac:dyDescent="0.25">
      <c r="A93" s="466" t="s">
        <v>133</v>
      </c>
      <c r="B93" s="16">
        <v>902</v>
      </c>
      <c r="C93" s="20" t="s">
        <v>118</v>
      </c>
      <c r="D93" s="20" t="s">
        <v>150</v>
      </c>
      <c r="E93" s="40" t="s">
        <v>841</v>
      </c>
      <c r="F93" s="20" t="s">
        <v>134</v>
      </c>
      <c r="G93" s="467">
        <v>606</v>
      </c>
      <c r="H93" s="467">
        <f t="shared" si="1"/>
        <v>606</v>
      </c>
      <c r="I93" s="204"/>
    </row>
    <row r="94" spans="1:9" ht="63" x14ac:dyDescent="0.25">
      <c r="A94" s="219" t="s">
        <v>843</v>
      </c>
      <c r="B94" s="19">
        <v>902</v>
      </c>
      <c r="C94" s="24" t="s">
        <v>118</v>
      </c>
      <c r="D94" s="24" t="s">
        <v>150</v>
      </c>
      <c r="E94" s="7" t="s">
        <v>850</v>
      </c>
      <c r="F94" s="24"/>
      <c r="G94" s="463">
        <f>G95+G100+G103</f>
        <v>77</v>
      </c>
      <c r="H94" s="463">
        <f>H95+H100+H103</f>
        <v>77</v>
      </c>
      <c r="I94" s="204"/>
    </row>
    <row r="95" spans="1:9" ht="47.25" x14ac:dyDescent="0.25">
      <c r="A95" s="174" t="s">
        <v>165</v>
      </c>
      <c r="B95" s="16">
        <v>902</v>
      </c>
      <c r="C95" s="20" t="s">
        <v>118</v>
      </c>
      <c r="D95" s="20" t="s">
        <v>150</v>
      </c>
      <c r="E95" s="40" t="s">
        <v>842</v>
      </c>
      <c r="F95" s="20"/>
      <c r="G95" s="467">
        <f>G96+G98</f>
        <v>77</v>
      </c>
      <c r="H95" s="467">
        <f>H96+H98</f>
        <v>77</v>
      </c>
      <c r="I95" s="204"/>
    </row>
    <row r="96" spans="1:9" ht="78.75" x14ac:dyDescent="0.25">
      <c r="A96" s="466" t="s">
        <v>127</v>
      </c>
      <c r="B96" s="16">
        <v>902</v>
      </c>
      <c r="C96" s="20" t="s">
        <v>118</v>
      </c>
      <c r="D96" s="20" t="s">
        <v>150</v>
      </c>
      <c r="E96" s="40" t="s">
        <v>842</v>
      </c>
      <c r="F96" s="20" t="s">
        <v>128</v>
      </c>
      <c r="G96" s="467">
        <f>G97</f>
        <v>37</v>
      </c>
      <c r="H96" s="467">
        <f>H97</f>
        <v>37</v>
      </c>
      <c r="I96" s="204"/>
    </row>
    <row r="97" spans="1:9" ht="31.5" x14ac:dyDescent="0.25">
      <c r="A97" s="466" t="s">
        <v>129</v>
      </c>
      <c r="B97" s="16">
        <v>902</v>
      </c>
      <c r="C97" s="20" t="s">
        <v>118</v>
      </c>
      <c r="D97" s="20" t="s">
        <v>150</v>
      </c>
      <c r="E97" s="40" t="s">
        <v>842</v>
      </c>
      <c r="F97" s="20" t="s">
        <v>130</v>
      </c>
      <c r="G97" s="467">
        <f>37</f>
        <v>37</v>
      </c>
      <c r="H97" s="467">
        <f t="shared" si="1"/>
        <v>37</v>
      </c>
      <c r="I97" s="204"/>
    </row>
    <row r="98" spans="1:9" ht="31.5" x14ac:dyDescent="0.25">
      <c r="A98" s="466" t="s">
        <v>131</v>
      </c>
      <c r="B98" s="16">
        <v>902</v>
      </c>
      <c r="C98" s="20" t="s">
        <v>118</v>
      </c>
      <c r="D98" s="20" t="s">
        <v>150</v>
      </c>
      <c r="E98" s="40" t="s">
        <v>842</v>
      </c>
      <c r="F98" s="20" t="s">
        <v>132</v>
      </c>
      <c r="G98" s="467">
        <f>G99</f>
        <v>40</v>
      </c>
      <c r="H98" s="467">
        <f>H99</f>
        <v>40</v>
      </c>
      <c r="I98" s="204"/>
    </row>
    <row r="99" spans="1:9" ht="31.5" x14ac:dyDescent="0.25">
      <c r="A99" s="466" t="s">
        <v>133</v>
      </c>
      <c r="B99" s="16">
        <v>902</v>
      </c>
      <c r="C99" s="20" t="s">
        <v>118</v>
      </c>
      <c r="D99" s="20" t="s">
        <v>150</v>
      </c>
      <c r="E99" s="40" t="s">
        <v>842</v>
      </c>
      <c r="F99" s="20" t="s">
        <v>134</v>
      </c>
      <c r="G99" s="467">
        <f>40</f>
        <v>40</v>
      </c>
      <c r="H99" s="467">
        <f t="shared" ref="H99:H178" si="4">G99</f>
        <v>40</v>
      </c>
      <c r="I99" s="204"/>
    </row>
    <row r="100" spans="1:9" s="203" customFormat="1" ht="47.25" hidden="1" x14ac:dyDescent="0.25">
      <c r="A100" s="31" t="s">
        <v>1098</v>
      </c>
      <c r="B100" s="16">
        <v>902</v>
      </c>
      <c r="C100" s="20" t="s">
        <v>118</v>
      </c>
      <c r="D100" s="20" t="s">
        <v>150</v>
      </c>
      <c r="E100" s="40" t="s">
        <v>993</v>
      </c>
      <c r="F100" s="20"/>
      <c r="G100" s="467">
        <f>G101</f>
        <v>0</v>
      </c>
      <c r="H100" s="467">
        <f>H101</f>
        <v>0</v>
      </c>
      <c r="I100" s="204"/>
    </row>
    <row r="101" spans="1:9" s="203" customFormat="1" ht="31.5" hidden="1" x14ac:dyDescent="0.25">
      <c r="A101" s="466" t="s">
        <v>131</v>
      </c>
      <c r="B101" s="16">
        <v>902</v>
      </c>
      <c r="C101" s="20" t="s">
        <v>118</v>
      </c>
      <c r="D101" s="20" t="s">
        <v>150</v>
      </c>
      <c r="E101" s="40" t="s">
        <v>993</v>
      </c>
      <c r="F101" s="20" t="s">
        <v>132</v>
      </c>
      <c r="G101" s="467">
        <f>G102</f>
        <v>0</v>
      </c>
      <c r="H101" s="467">
        <f>H102</f>
        <v>0</v>
      </c>
      <c r="I101" s="204"/>
    </row>
    <row r="102" spans="1:9" s="203" customFormat="1" ht="31.5" hidden="1" x14ac:dyDescent="0.25">
      <c r="A102" s="466" t="s">
        <v>133</v>
      </c>
      <c r="B102" s="16">
        <v>902</v>
      </c>
      <c r="C102" s="20" t="s">
        <v>118</v>
      </c>
      <c r="D102" s="20" t="s">
        <v>150</v>
      </c>
      <c r="E102" s="40" t="s">
        <v>696</v>
      </c>
      <c r="F102" s="20" t="s">
        <v>134</v>
      </c>
      <c r="G102" s="467">
        <v>0</v>
      </c>
      <c r="H102" s="467">
        <v>0</v>
      </c>
      <c r="I102" s="204"/>
    </row>
    <row r="103" spans="1:9" s="203" customFormat="1" ht="47.25" hidden="1" x14ac:dyDescent="0.25">
      <c r="A103" s="31" t="s">
        <v>695</v>
      </c>
      <c r="B103" s="16">
        <v>902</v>
      </c>
      <c r="C103" s="20" t="s">
        <v>118</v>
      </c>
      <c r="D103" s="20" t="s">
        <v>150</v>
      </c>
      <c r="E103" s="20" t="s">
        <v>992</v>
      </c>
      <c r="F103" s="20"/>
      <c r="G103" s="467">
        <f>G104</f>
        <v>0</v>
      </c>
      <c r="H103" s="467">
        <f>H104</f>
        <v>0</v>
      </c>
      <c r="I103" s="204"/>
    </row>
    <row r="104" spans="1:9" s="203" customFormat="1" ht="31.5" hidden="1" x14ac:dyDescent="0.25">
      <c r="A104" s="466" t="s">
        <v>131</v>
      </c>
      <c r="B104" s="16">
        <v>902</v>
      </c>
      <c r="C104" s="20" t="s">
        <v>118</v>
      </c>
      <c r="D104" s="20" t="s">
        <v>150</v>
      </c>
      <c r="E104" s="20" t="s">
        <v>992</v>
      </c>
      <c r="F104" s="20" t="s">
        <v>132</v>
      </c>
      <c r="G104" s="467">
        <f>G105</f>
        <v>0</v>
      </c>
      <c r="H104" s="467">
        <f>H105</f>
        <v>0</v>
      </c>
      <c r="I104" s="204"/>
    </row>
    <row r="105" spans="1:9" s="203" customFormat="1" ht="31.5" hidden="1" x14ac:dyDescent="0.25">
      <c r="A105" s="466" t="s">
        <v>133</v>
      </c>
      <c r="B105" s="16">
        <v>902</v>
      </c>
      <c r="C105" s="20" t="s">
        <v>118</v>
      </c>
      <c r="D105" s="20" t="s">
        <v>150</v>
      </c>
      <c r="E105" s="20" t="s">
        <v>992</v>
      </c>
      <c r="F105" s="20" t="s">
        <v>134</v>
      </c>
      <c r="G105" s="467">
        <v>0</v>
      </c>
      <c r="H105" s="467">
        <v>0</v>
      </c>
      <c r="I105" s="204"/>
    </row>
    <row r="106" spans="1:9" ht="63" x14ac:dyDescent="0.25">
      <c r="A106" s="220" t="s">
        <v>1003</v>
      </c>
      <c r="B106" s="19">
        <v>902</v>
      </c>
      <c r="C106" s="24" t="s">
        <v>118</v>
      </c>
      <c r="D106" s="24" t="s">
        <v>150</v>
      </c>
      <c r="E106" s="7" t="s">
        <v>851</v>
      </c>
      <c r="F106" s="24"/>
      <c r="G106" s="463">
        <f>G107+G110</f>
        <v>0.5</v>
      </c>
      <c r="H106" s="463">
        <f>H107+H110</f>
        <v>0.5</v>
      </c>
      <c r="I106" s="204"/>
    </row>
    <row r="107" spans="1:9" ht="47.25" x14ac:dyDescent="0.25">
      <c r="A107" s="33" t="s">
        <v>191</v>
      </c>
      <c r="B107" s="16">
        <v>902</v>
      </c>
      <c r="C107" s="20" t="s">
        <v>118</v>
      </c>
      <c r="D107" s="20" t="s">
        <v>150</v>
      </c>
      <c r="E107" s="40" t="s">
        <v>844</v>
      </c>
      <c r="F107" s="20"/>
      <c r="G107" s="467">
        <f>G108</f>
        <v>0.5</v>
      </c>
      <c r="H107" s="467">
        <f>H108</f>
        <v>0.5</v>
      </c>
      <c r="I107" s="204"/>
    </row>
    <row r="108" spans="1:9" ht="31.5" x14ac:dyDescent="0.25">
      <c r="A108" s="466" t="s">
        <v>131</v>
      </c>
      <c r="B108" s="16">
        <v>902</v>
      </c>
      <c r="C108" s="20" t="s">
        <v>118</v>
      </c>
      <c r="D108" s="20" t="s">
        <v>150</v>
      </c>
      <c r="E108" s="40" t="s">
        <v>844</v>
      </c>
      <c r="F108" s="20" t="s">
        <v>132</v>
      </c>
      <c r="G108" s="467">
        <f>G109</f>
        <v>0.5</v>
      </c>
      <c r="H108" s="467">
        <f>H109</f>
        <v>0.5</v>
      </c>
      <c r="I108" s="204"/>
    </row>
    <row r="109" spans="1:9" ht="31.5" x14ac:dyDescent="0.25">
      <c r="A109" s="466" t="s">
        <v>133</v>
      </c>
      <c r="B109" s="16">
        <v>902</v>
      </c>
      <c r="C109" s="20" t="s">
        <v>118</v>
      </c>
      <c r="D109" s="20" t="s">
        <v>150</v>
      </c>
      <c r="E109" s="40" t="s">
        <v>844</v>
      </c>
      <c r="F109" s="20" t="s">
        <v>134</v>
      </c>
      <c r="G109" s="467">
        <f>0.5</f>
        <v>0.5</v>
      </c>
      <c r="H109" s="467">
        <f t="shared" si="4"/>
        <v>0.5</v>
      </c>
      <c r="I109" s="204"/>
    </row>
    <row r="110" spans="1:9" ht="47.25" hidden="1" x14ac:dyDescent="0.25">
      <c r="A110" s="33" t="s">
        <v>191</v>
      </c>
      <c r="B110" s="16">
        <v>902</v>
      </c>
      <c r="C110" s="20" t="s">
        <v>118</v>
      </c>
      <c r="D110" s="20" t="s">
        <v>150</v>
      </c>
      <c r="E110" s="20" t="s">
        <v>845</v>
      </c>
      <c r="F110" s="20"/>
      <c r="G110" s="467">
        <f>'Пр.4 ведом.21'!G115</f>
        <v>0</v>
      </c>
      <c r="H110" s="467">
        <f t="shared" si="4"/>
        <v>0</v>
      </c>
      <c r="I110" s="204"/>
    </row>
    <row r="111" spans="1:9" ht="31.5" hidden="1" x14ac:dyDescent="0.25">
      <c r="A111" s="466" t="s">
        <v>131</v>
      </c>
      <c r="B111" s="16">
        <v>902</v>
      </c>
      <c r="C111" s="20" t="s">
        <v>118</v>
      </c>
      <c r="D111" s="20" t="s">
        <v>150</v>
      </c>
      <c r="E111" s="20" t="s">
        <v>845</v>
      </c>
      <c r="F111" s="20" t="s">
        <v>132</v>
      </c>
      <c r="G111" s="467">
        <f>'Пр.4 ведом.21'!G116</f>
        <v>0</v>
      </c>
      <c r="H111" s="467">
        <f t="shared" si="4"/>
        <v>0</v>
      </c>
      <c r="I111" s="204"/>
    </row>
    <row r="112" spans="1:9" ht="31.5" hidden="1" x14ac:dyDescent="0.25">
      <c r="A112" s="466" t="s">
        <v>133</v>
      </c>
      <c r="B112" s="16">
        <v>902</v>
      </c>
      <c r="C112" s="20" t="s">
        <v>118</v>
      </c>
      <c r="D112" s="20" t="s">
        <v>150</v>
      </c>
      <c r="E112" s="20" t="s">
        <v>845</v>
      </c>
      <c r="F112" s="20" t="s">
        <v>134</v>
      </c>
      <c r="G112" s="467">
        <f>'Пр.4 ведом.21'!G117</f>
        <v>0</v>
      </c>
      <c r="H112" s="467">
        <f t="shared" si="4"/>
        <v>0</v>
      </c>
      <c r="I112" s="204"/>
    </row>
    <row r="113" spans="1:9" ht="47.25" x14ac:dyDescent="0.25">
      <c r="A113" s="464" t="s">
        <v>119</v>
      </c>
      <c r="B113" s="19">
        <v>902</v>
      </c>
      <c r="C113" s="24" t="s">
        <v>118</v>
      </c>
      <c r="D113" s="24" t="s">
        <v>120</v>
      </c>
      <c r="E113" s="24"/>
      <c r="F113" s="20"/>
      <c r="G113" s="463">
        <f>G114</f>
        <v>1332.2</v>
      </c>
      <c r="H113" s="463">
        <f>H114</f>
        <v>1332.2</v>
      </c>
      <c r="I113" s="204"/>
    </row>
    <row r="114" spans="1:9" ht="31.5" x14ac:dyDescent="0.25">
      <c r="A114" s="464" t="s">
        <v>917</v>
      </c>
      <c r="B114" s="19">
        <v>902</v>
      </c>
      <c r="C114" s="24" t="s">
        <v>118</v>
      </c>
      <c r="D114" s="24" t="s">
        <v>120</v>
      </c>
      <c r="E114" s="24" t="s">
        <v>858</v>
      </c>
      <c r="F114" s="24"/>
      <c r="G114" s="463">
        <f>G115</f>
        <v>1332.2</v>
      </c>
      <c r="H114" s="463">
        <f>H115</f>
        <v>1332.2</v>
      </c>
      <c r="I114" s="204"/>
    </row>
    <row r="115" spans="1:9" ht="15.75" x14ac:dyDescent="0.25">
      <c r="A115" s="464" t="s">
        <v>918</v>
      </c>
      <c r="B115" s="19">
        <v>902</v>
      </c>
      <c r="C115" s="24" t="s">
        <v>118</v>
      </c>
      <c r="D115" s="24" t="s">
        <v>120</v>
      </c>
      <c r="E115" s="24" t="s">
        <v>859</v>
      </c>
      <c r="F115" s="24"/>
      <c r="G115" s="463">
        <f>G116+G119</f>
        <v>1332.2</v>
      </c>
      <c r="H115" s="463">
        <f>H116+H119</f>
        <v>1332.2</v>
      </c>
      <c r="I115" s="204"/>
    </row>
    <row r="116" spans="1:9" ht="31.5" x14ac:dyDescent="0.25">
      <c r="A116" s="466" t="s">
        <v>897</v>
      </c>
      <c r="B116" s="16">
        <v>902</v>
      </c>
      <c r="C116" s="20" t="s">
        <v>118</v>
      </c>
      <c r="D116" s="20" t="s">
        <v>120</v>
      </c>
      <c r="E116" s="20" t="s">
        <v>860</v>
      </c>
      <c r="F116" s="20"/>
      <c r="G116" s="467">
        <f>G117</f>
        <v>1286.2</v>
      </c>
      <c r="H116" s="467">
        <f>H117</f>
        <v>1286.2</v>
      </c>
      <c r="I116" s="204"/>
    </row>
    <row r="117" spans="1:9" ht="78.75" x14ac:dyDescent="0.25">
      <c r="A117" s="466" t="s">
        <v>127</v>
      </c>
      <c r="B117" s="16">
        <v>902</v>
      </c>
      <c r="C117" s="20" t="s">
        <v>118</v>
      </c>
      <c r="D117" s="20" t="s">
        <v>120</v>
      </c>
      <c r="E117" s="20" t="s">
        <v>860</v>
      </c>
      <c r="F117" s="20" t="s">
        <v>128</v>
      </c>
      <c r="G117" s="467">
        <f>G118</f>
        <v>1286.2</v>
      </c>
      <c r="H117" s="467">
        <f>H118</f>
        <v>1286.2</v>
      </c>
      <c r="I117" s="204"/>
    </row>
    <row r="118" spans="1:9" ht="31.5" x14ac:dyDescent="0.25">
      <c r="A118" s="466" t="s">
        <v>129</v>
      </c>
      <c r="B118" s="16">
        <v>902</v>
      </c>
      <c r="C118" s="20" t="s">
        <v>118</v>
      </c>
      <c r="D118" s="20" t="s">
        <v>120</v>
      </c>
      <c r="E118" s="20" t="s">
        <v>860</v>
      </c>
      <c r="F118" s="20" t="s">
        <v>130</v>
      </c>
      <c r="G118" s="467">
        <v>1286.2</v>
      </c>
      <c r="H118" s="467">
        <f t="shared" si="4"/>
        <v>1286.2</v>
      </c>
      <c r="I118" s="204"/>
    </row>
    <row r="119" spans="1:9" ht="47.25" x14ac:dyDescent="0.25">
      <c r="A119" s="466" t="s">
        <v>839</v>
      </c>
      <c r="B119" s="16">
        <v>902</v>
      </c>
      <c r="C119" s="20" t="s">
        <v>118</v>
      </c>
      <c r="D119" s="20" t="s">
        <v>120</v>
      </c>
      <c r="E119" s="20" t="s">
        <v>862</v>
      </c>
      <c r="F119" s="20"/>
      <c r="G119" s="467">
        <f>G120</f>
        <v>46</v>
      </c>
      <c r="H119" s="467">
        <f>H120</f>
        <v>46</v>
      </c>
      <c r="I119" s="204"/>
    </row>
    <row r="120" spans="1:9" ht="78.75" x14ac:dyDescent="0.25">
      <c r="A120" s="466" t="s">
        <v>127</v>
      </c>
      <c r="B120" s="16">
        <v>902</v>
      </c>
      <c r="C120" s="20" t="s">
        <v>118</v>
      </c>
      <c r="D120" s="20" t="s">
        <v>120</v>
      </c>
      <c r="E120" s="20" t="s">
        <v>862</v>
      </c>
      <c r="F120" s="20" t="s">
        <v>128</v>
      </c>
      <c r="G120" s="467">
        <f>G121</f>
        <v>46</v>
      </c>
      <c r="H120" s="467">
        <f>H121</f>
        <v>46</v>
      </c>
      <c r="I120" s="204"/>
    </row>
    <row r="121" spans="1:9" ht="31.5" x14ac:dyDescent="0.25">
      <c r="A121" s="466" t="s">
        <v>129</v>
      </c>
      <c r="B121" s="16">
        <v>902</v>
      </c>
      <c r="C121" s="20" t="s">
        <v>118</v>
      </c>
      <c r="D121" s="20" t="s">
        <v>120</v>
      </c>
      <c r="E121" s="20" t="s">
        <v>862</v>
      </c>
      <c r="F121" s="20" t="s">
        <v>130</v>
      </c>
      <c r="G121" s="467">
        <v>46</v>
      </c>
      <c r="H121" s="467">
        <f t="shared" si="4"/>
        <v>46</v>
      </c>
      <c r="I121" s="204"/>
    </row>
    <row r="122" spans="1:9" s="203" customFormat="1" ht="15.75" hidden="1" x14ac:dyDescent="0.25">
      <c r="A122" s="464" t="s">
        <v>1152</v>
      </c>
      <c r="B122" s="19">
        <v>902</v>
      </c>
      <c r="C122" s="24" t="s">
        <v>118</v>
      </c>
      <c r="D122" s="24" t="s">
        <v>264</v>
      </c>
      <c r="E122" s="24"/>
      <c r="F122" s="20"/>
      <c r="G122" s="463">
        <f t="shared" ref="G122:H124" si="5">G123</f>
        <v>0</v>
      </c>
      <c r="H122" s="463">
        <f t="shared" si="5"/>
        <v>0</v>
      </c>
      <c r="I122" s="204"/>
    </row>
    <row r="123" spans="1:9" s="203" customFormat="1" ht="15.75" hidden="1" x14ac:dyDescent="0.25">
      <c r="A123" s="464" t="s">
        <v>141</v>
      </c>
      <c r="B123" s="19">
        <v>902</v>
      </c>
      <c r="C123" s="24" t="s">
        <v>118</v>
      </c>
      <c r="D123" s="24" t="s">
        <v>264</v>
      </c>
      <c r="E123" s="24" t="s">
        <v>866</v>
      </c>
      <c r="F123" s="20"/>
      <c r="G123" s="463">
        <f t="shared" si="5"/>
        <v>0</v>
      </c>
      <c r="H123" s="463">
        <f t="shared" si="5"/>
        <v>0</v>
      </c>
      <c r="I123" s="204"/>
    </row>
    <row r="124" spans="1:9" s="203" customFormat="1" ht="31.5" hidden="1" x14ac:dyDescent="0.25">
      <c r="A124" s="464" t="s">
        <v>870</v>
      </c>
      <c r="B124" s="19">
        <v>902</v>
      </c>
      <c r="C124" s="24" t="s">
        <v>118</v>
      </c>
      <c r="D124" s="24" t="s">
        <v>264</v>
      </c>
      <c r="E124" s="24" t="s">
        <v>865</v>
      </c>
      <c r="F124" s="20"/>
      <c r="G124" s="463">
        <f t="shared" si="5"/>
        <v>0</v>
      </c>
      <c r="H124" s="463">
        <f t="shared" si="5"/>
        <v>0</v>
      </c>
      <c r="I124" s="204"/>
    </row>
    <row r="125" spans="1:9" s="203" customFormat="1" ht="15.75" hidden="1" x14ac:dyDescent="0.25">
      <c r="A125" s="45" t="s">
        <v>199</v>
      </c>
      <c r="B125" s="16">
        <v>902</v>
      </c>
      <c r="C125" s="20" t="s">
        <v>118</v>
      </c>
      <c r="D125" s="20" t="s">
        <v>264</v>
      </c>
      <c r="E125" s="20" t="s">
        <v>1151</v>
      </c>
      <c r="F125" s="20"/>
      <c r="G125" s="467">
        <f>G126+G128</f>
        <v>0</v>
      </c>
      <c r="H125" s="467">
        <f>H126+H128</f>
        <v>0</v>
      </c>
      <c r="I125" s="204"/>
    </row>
    <row r="126" spans="1:9" s="203" customFormat="1" ht="78.75" hidden="1" x14ac:dyDescent="0.25">
      <c r="A126" s="466" t="s">
        <v>127</v>
      </c>
      <c r="B126" s="16">
        <v>902</v>
      </c>
      <c r="C126" s="20" t="s">
        <v>118</v>
      </c>
      <c r="D126" s="20" t="s">
        <v>264</v>
      </c>
      <c r="E126" s="20" t="s">
        <v>1151</v>
      </c>
      <c r="F126" s="20" t="s">
        <v>128</v>
      </c>
      <c r="G126" s="467">
        <f>G127</f>
        <v>0</v>
      </c>
      <c r="H126" s="467">
        <f>H127</f>
        <v>0</v>
      </c>
      <c r="I126" s="204"/>
    </row>
    <row r="127" spans="1:9" s="203" customFormat="1" ht="31.5" hidden="1" x14ac:dyDescent="0.25">
      <c r="A127" s="466" t="s">
        <v>129</v>
      </c>
      <c r="B127" s="16">
        <v>902</v>
      </c>
      <c r="C127" s="20" t="s">
        <v>118</v>
      </c>
      <c r="D127" s="20" t="s">
        <v>264</v>
      </c>
      <c r="E127" s="20" t="s">
        <v>1151</v>
      </c>
      <c r="F127" s="20" t="s">
        <v>130</v>
      </c>
      <c r="G127" s="467">
        <v>0</v>
      </c>
      <c r="H127" s="467">
        <v>0</v>
      </c>
      <c r="I127" s="204"/>
    </row>
    <row r="128" spans="1:9" s="203" customFormat="1" ht="31.5" hidden="1" x14ac:dyDescent="0.25">
      <c r="A128" s="466" t="s">
        <v>198</v>
      </c>
      <c r="B128" s="16">
        <v>902</v>
      </c>
      <c r="C128" s="20" t="s">
        <v>118</v>
      </c>
      <c r="D128" s="20" t="s">
        <v>264</v>
      </c>
      <c r="E128" s="20" t="s">
        <v>1151</v>
      </c>
      <c r="F128" s="20" t="s">
        <v>132</v>
      </c>
      <c r="G128" s="467">
        <f>G129</f>
        <v>0</v>
      </c>
      <c r="H128" s="467">
        <f>H129</f>
        <v>0</v>
      </c>
      <c r="I128" s="204"/>
    </row>
    <row r="129" spans="1:9" s="203" customFormat="1" ht="31.5" hidden="1" x14ac:dyDescent="0.25">
      <c r="A129" s="466" t="s">
        <v>133</v>
      </c>
      <c r="B129" s="16">
        <v>902</v>
      </c>
      <c r="C129" s="20" t="s">
        <v>118</v>
      </c>
      <c r="D129" s="20" t="s">
        <v>264</v>
      </c>
      <c r="E129" s="20" t="s">
        <v>1151</v>
      </c>
      <c r="F129" s="20" t="s">
        <v>134</v>
      </c>
      <c r="G129" s="467">
        <v>0</v>
      </c>
      <c r="H129" s="467">
        <v>0</v>
      </c>
      <c r="I129" s="204"/>
    </row>
    <row r="130" spans="1:9" ht="15.75" x14ac:dyDescent="0.25">
      <c r="A130" s="464" t="s">
        <v>139</v>
      </c>
      <c r="B130" s="19">
        <v>902</v>
      </c>
      <c r="C130" s="24" t="s">
        <v>118</v>
      </c>
      <c r="D130" s="24" t="s">
        <v>140</v>
      </c>
      <c r="E130" s="24"/>
      <c r="F130" s="24"/>
      <c r="G130" s="463">
        <f>G146+G155+G131+G160+G141</f>
        <v>6009</v>
      </c>
      <c r="H130" s="463">
        <f>H146+H155+H131+H160+H141</f>
        <v>6052</v>
      </c>
      <c r="I130" s="204"/>
    </row>
    <row r="131" spans="1:9" ht="15.75" x14ac:dyDescent="0.25">
      <c r="A131" s="464" t="s">
        <v>141</v>
      </c>
      <c r="B131" s="19">
        <v>902</v>
      </c>
      <c r="C131" s="24" t="s">
        <v>118</v>
      </c>
      <c r="D131" s="24" t="s">
        <v>140</v>
      </c>
      <c r="E131" s="24" t="s">
        <v>866</v>
      </c>
      <c r="F131" s="24"/>
      <c r="G131" s="463">
        <f>G132</f>
        <v>5829</v>
      </c>
      <c r="H131" s="463">
        <f>H132</f>
        <v>5829</v>
      </c>
      <c r="I131" s="204"/>
    </row>
    <row r="132" spans="1:9" ht="31.5" x14ac:dyDescent="0.25">
      <c r="A132" s="464" t="s">
        <v>922</v>
      </c>
      <c r="B132" s="19">
        <v>902</v>
      </c>
      <c r="C132" s="24" t="s">
        <v>118</v>
      </c>
      <c r="D132" s="24" t="s">
        <v>140</v>
      </c>
      <c r="E132" s="24" t="s">
        <v>867</v>
      </c>
      <c r="F132" s="24"/>
      <c r="G132" s="463">
        <f>G133+G138</f>
        <v>5829</v>
      </c>
      <c r="H132" s="463">
        <f>H133+H138</f>
        <v>5829</v>
      </c>
      <c r="I132" s="204"/>
    </row>
    <row r="133" spans="1:9" ht="31.5" x14ac:dyDescent="0.25">
      <c r="A133" s="466" t="s">
        <v>928</v>
      </c>
      <c r="B133" s="16">
        <v>902</v>
      </c>
      <c r="C133" s="20" t="s">
        <v>118</v>
      </c>
      <c r="D133" s="20" t="s">
        <v>140</v>
      </c>
      <c r="E133" s="20" t="s">
        <v>868</v>
      </c>
      <c r="F133" s="20"/>
      <c r="G133" s="467">
        <f>G134+G136</f>
        <v>5701</v>
      </c>
      <c r="H133" s="467">
        <f>H134+H136</f>
        <v>5701</v>
      </c>
      <c r="I133" s="204"/>
    </row>
    <row r="134" spans="1:9" ht="78.75" x14ac:dyDescent="0.25">
      <c r="A134" s="466" t="s">
        <v>127</v>
      </c>
      <c r="B134" s="16">
        <v>902</v>
      </c>
      <c r="C134" s="20" t="s">
        <v>118</v>
      </c>
      <c r="D134" s="20" t="s">
        <v>140</v>
      </c>
      <c r="E134" s="20" t="s">
        <v>868</v>
      </c>
      <c r="F134" s="20" t="s">
        <v>128</v>
      </c>
      <c r="G134" s="467">
        <f>G135</f>
        <v>4501</v>
      </c>
      <c r="H134" s="467">
        <f>H135</f>
        <v>4501</v>
      </c>
      <c r="I134" s="204"/>
    </row>
    <row r="135" spans="1:9" ht="15.75" x14ac:dyDescent="0.25">
      <c r="A135" s="466" t="s">
        <v>208</v>
      </c>
      <c r="B135" s="16">
        <v>902</v>
      </c>
      <c r="C135" s="20" t="s">
        <v>118</v>
      </c>
      <c r="D135" s="20" t="s">
        <v>140</v>
      </c>
      <c r="E135" s="20" t="s">
        <v>868</v>
      </c>
      <c r="F135" s="20" t="s">
        <v>209</v>
      </c>
      <c r="G135" s="467">
        <v>4501</v>
      </c>
      <c r="H135" s="467">
        <f t="shared" si="4"/>
        <v>4501</v>
      </c>
      <c r="I135" s="204"/>
    </row>
    <row r="136" spans="1:9" ht="31.5" x14ac:dyDescent="0.25">
      <c r="A136" s="466" t="s">
        <v>198</v>
      </c>
      <c r="B136" s="16">
        <v>902</v>
      </c>
      <c r="C136" s="20" t="s">
        <v>118</v>
      </c>
      <c r="D136" s="20" t="s">
        <v>140</v>
      </c>
      <c r="E136" s="20" t="s">
        <v>868</v>
      </c>
      <c r="F136" s="20" t="s">
        <v>132</v>
      </c>
      <c r="G136" s="467">
        <f>G137</f>
        <v>1200</v>
      </c>
      <c r="H136" s="467">
        <f>H137</f>
        <v>1200</v>
      </c>
      <c r="I136" s="204"/>
    </row>
    <row r="137" spans="1:9" ht="31.5" x14ac:dyDescent="0.25">
      <c r="A137" s="466" t="s">
        <v>133</v>
      </c>
      <c r="B137" s="16">
        <v>902</v>
      </c>
      <c r="C137" s="20" t="s">
        <v>118</v>
      </c>
      <c r="D137" s="20" t="s">
        <v>140</v>
      </c>
      <c r="E137" s="20" t="s">
        <v>868</v>
      </c>
      <c r="F137" s="20" t="s">
        <v>134</v>
      </c>
      <c r="G137" s="467">
        <v>1200</v>
      </c>
      <c r="H137" s="467">
        <f t="shared" si="4"/>
        <v>1200</v>
      </c>
      <c r="I137" s="204"/>
    </row>
    <row r="138" spans="1:9" ht="47.25" x14ac:dyDescent="0.25">
      <c r="A138" s="466" t="s">
        <v>839</v>
      </c>
      <c r="B138" s="16">
        <v>902</v>
      </c>
      <c r="C138" s="20" t="s">
        <v>118</v>
      </c>
      <c r="D138" s="20" t="s">
        <v>140</v>
      </c>
      <c r="E138" s="20" t="s">
        <v>869</v>
      </c>
      <c r="F138" s="20"/>
      <c r="G138" s="467">
        <f>G139</f>
        <v>128</v>
      </c>
      <c r="H138" s="467">
        <f>H139</f>
        <v>128</v>
      </c>
      <c r="I138" s="204"/>
    </row>
    <row r="139" spans="1:9" ht="78.75" x14ac:dyDescent="0.25">
      <c r="A139" s="466" t="s">
        <v>127</v>
      </c>
      <c r="B139" s="16">
        <v>902</v>
      </c>
      <c r="C139" s="20" t="s">
        <v>118</v>
      </c>
      <c r="D139" s="20" t="s">
        <v>140</v>
      </c>
      <c r="E139" s="20" t="s">
        <v>869</v>
      </c>
      <c r="F139" s="20" t="s">
        <v>128</v>
      </c>
      <c r="G139" s="467">
        <f>G140</f>
        <v>128</v>
      </c>
      <c r="H139" s="467">
        <f>H140</f>
        <v>128</v>
      </c>
      <c r="I139" s="204"/>
    </row>
    <row r="140" spans="1:9" ht="15.75" x14ac:dyDescent="0.25">
      <c r="A140" s="466" t="s">
        <v>208</v>
      </c>
      <c r="B140" s="16">
        <v>902</v>
      </c>
      <c r="C140" s="20" t="s">
        <v>118</v>
      </c>
      <c r="D140" s="20" t="s">
        <v>140</v>
      </c>
      <c r="E140" s="20" t="s">
        <v>869</v>
      </c>
      <c r="F140" s="20" t="s">
        <v>209</v>
      </c>
      <c r="G140" s="467">
        <v>128</v>
      </c>
      <c r="H140" s="467">
        <f t="shared" si="4"/>
        <v>128</v>
      </c>
      <c r="I140" s="204"/>
    </row>
    <row r="141" spans="1:9" s="203" customFormat="1" ht="47.25" x14ac:dyDescent="0.25">
      <c r="A141" s="34" t="s">
        <v>1225</v>
      </c>
      <c r="B141" s="19">
        <v>902</v>
      </c>
      <c r="C141" s="24" t="s">
        <v>118</v>
      </c>
      <c r="D141" s="24" t="s">
        <v>140</v>
      </c>
      <c r="E141" s="24" t="s">
        <v>324</v>
      </c>
      <c r="F141" s="24"/>
      <c r="G141" s="463">
        <f>G143</f>
        <v>12</v>
      </c>
      <c r="H141" s="463">
        <f>H143</f>
        <v>40</v>
      </c>
      <c r="I141" s="204"/>
    </row>
    <row r="142" spans="1:9" s="203" customFormat="1" ht="63" x14ac:dyDescent="0.25">
      <c r="A142" s="34" t="s">
        <v>1025</v>
      </c>
      <c r="B142" s="19">
        <v>902</v>
      </c>
      <c r="C142" s="24" t="s">
        <v>118</v>
      </c>
      <c r="D142" s="24" t="s">
        <v>140</v>
      </c>
      <c r="E142" s="24" t="s">
        <v>934</v>
      </c>
      <c r="F142" s="24"/>
      <c r="G142" s="463">
        <f>G145</f>
        <v>12</v>
      </c>
      <c r="H142" s="463">
        <f>H145</f>
        <v>40</v>
      </c>
      <c r="I142" s="204"/>
    </row>
    <row r="143" spans="1:9" s="203" customFormat="1" ht="47.25" x14ac:dyDescent="0.25">
      <c r="A143" s="31" t="s">
        <v>1083</v>
      </c>
      <c r="B143" s="16">
        <v>902</v>
      </c>
      <c r="C143" s="20" t="s">
        <v>118</v>
      </c>
      <c r="D143" s="20" t="s">
        <v>140</v>
      </c>
      <c r="E143" s="20" t="s">
        <v>1026</v>
      </c>
      <c r="F143" s="20"/>
      <c r="G143" s="467">
        <f>G144</f>
        <v>12</v>
      </c>
      <c r="H143" s="467">
        <f>H144</f>
        <v>40</v>
      </c>
      <c r="I143" s="204"/>
    </row>
    <row r="144" spans="1:9" s="203" customFormat="1" ht="31.5" x14ac:dyDescent="0.25">
      <c r="A144" s="466" t="s">
        <v>131</v>
      </c>
      <c r="B144" s="16">
        <v>902</v>
      </c>
      <c r="C144" s="20" t="s">
        <v>118</v>
      </c>
      <c r="D144" s="20" t="s">
        <v>140</v>
      </c>
      <c r="E144" s="20" t="s">
        <v>1026</v>
      </c>
      <c r="F144" s="20" t="s">
        <v>132</v>
      </c>
      <c r="G144" s="467">
        <f>G145</f>
        <v>12</v>
      </c>
      <c r="H144" s="467">
        <f>H145</f>
        <v>40</v>
      </c>
      <c r="I144" s="204"/>
    </row>
    <row r="145" spans="1:9" s="203" customFormat="1" ht="31.5" x14ac:dyDescent="0.25">
      <c r="A145" s="466" t="s">
        <v>133</v>
      </c>
      <c r="B145" s="16">
        <v>902</v>
      </c>
      <c r="C145" s="20" t="s">
        <v>118</v>
      </c>
      <c r="D145" s="20" t="s">
        <v>140</v>
      </c>
      <c r="E145" s="20" t="s">
        <v>1026</v>
      </c>
      <c r="F145" s="20" t="s">
        <v>134</v>
      </c>
      <c r="G145" s="467">
        <v>12</v>
      </c>
      <c r="H145" s="467">
        <v>40</v>
      </c>
      <c r="I145" s="204"/>
    </row>
    <row r="146" spans="1:9" ht="54.75" customHeight="1" x14ac:dyDescent="0.25">
      <c r="A146" s="470" t="s">
        <v>1352</v>
      </c>
      <c r="B146" s="19">
        <v>902</v>
      </c>
      <c r="C146" s="24" t="s">
        <v>118</v>
      </c>
      <c r="D146" s="24" t="s">
        <v>140</v>
      </c>
      <c r="E146" s="24" t="s">
        <v>705</v>
      </c>
      <c r="F146" s="221"/>
      <c r="G146" s="463">
        <f>G147+G151</f>
        <v>43</v>
      </c>
      <c r="H146" s="463">
        <f>H147+H151</f>
        <v>43</v>
      </c>
      <c r="I146" s="204"/>
    </row>
    <row r="147" spans="1:9" ht="47.25" x14ac:dyDescent="0.25">
      <c r="A147" s="210" t="s">
        <v>846</v>
      </c>
      <c r="B147" s="19">
        <v>902</v>
      </c>
      <c r="C147" s="24" t="s">
        <v>118</v>
      </c>
      <c r="D147" s="24" t="s">
        <v>140</v>
      </c>
      <c r="E147" s="24" t="s">
        <v>852</v>
      </c>
      <c r="F147" s="221"/>
      <c r="G147" s="463">
        <f t="shared" ref="G147:H149" si="6">G148</f>
        <v>28</v>
      </c>
      <c r="H147" s="463">
        <f t="shared" si="6"/>
        <v>28</v>
      </c>
      <c r="I147" s="204"/>
    </row>
    <row r="148" spans="1:9" ht="31.5" x14ac:dyDescent="0.25">
      <c r="A148" s="98" t="s">
        <v>776</v>
      </c>
      <c r="B148" s="16">
        <v>902</v>
      </c>
      <c r="C148" s="20" t="s">
        <v>118</v>
      </c>
      <c r="D148" s="20" t="s">
        <v>140</v>
      </c>
      <c r="E148" s="20" t="s">
        <v>847</v>
      </c>
      <c r="F148" s="32"/>
      <c r="G148" s="467">
        <f t="shared" si="6"/>
        <v>28</v>
      </c>
      <c r="H148" s="467">
        <f t="shared" si="6"/>
        <v>28</v>
      </c>
      <c r="I148" s="204"/>
    </row>
    <row r="149" spans="1:9" ht="31.5" x14ac:dyDescent="0.25">
      <c r="A149" s="466" t="s">
        <v>131</v>
      </c>
      <c r="B149" s="16">
        <v>902</v>
      </c>
      <c r="C149" s="20" t="s">
        <v>118</v>
      </c>
      <c r="D149" s="20" t="s">
        <v>140</v>
      </c>
      <c r="E149" s="20" t="s">
        <v>847</v>
      </c>
      <c r="F149" s="32" t="s">
        <v>132</v>
      </c>
      <c r="G149" s="467">
        <f t="shared" si="6"/>
        <v>28</v>
      </c>
      <c r="H149" s="467">
        <f t="shared" si="6"/>
        <v>28</v>
      </c>
      <c r="I149" s="204"/>
    </row>
    <row r="150" spans="1:9" ht="31.5" x14ac:dyDescent="0.25">
      <c r="A150" s="466" t="s">
        <v>133</v>
      </c>
      <c r="B150" s="16">
        <v>902</v>
      </c>
      <c r="C150" s="20" t="s">
        <v>118</v>
      </c>
      <c r="D150" s="20" t="s">
        <v>140</v>
      </c>
      <c r="E150" s="20" t="s">
        <v>847</v>
      </c>
      <c r="F150" s="32" t="s">
        <v>134</v>
      </c>
      <c r="G150" s="467">
        <v>28</v>
      </c>
      <c r="H150" s="467">
        <v>28</v>
      </c>
      <c r="I150" s="204"/>
    </row>
    <row r="151" spans="1:9" ht="31.5" x14ac:dyDescent="0.25">
      <c r="A151" s="473" t="s">
        <v>1023</v>
      </c>
      <c r="B151" s="19">
        <v>902</v>
      </c>
      <c r="C151" s="24" t="s">
        <v>118</v>
      </c>
      <c r="D151" s="24" t="s">
        <v>140</v>
      </c>
      <c r="E151" s="24" t="s">
        <v>853</v>
      </c>
      <c r="F151" s="221"/>
      <c r="G151" s="463">
        <f t="shared" ref="G151:H153" si="7">G152</f>
        <v>15</v>
      </c>
      <c r="H151" s="463">
        <f t="shared" si="7"/>
        <v>15</v>
      </c>
      <c r="I151" s="204"/>
    </row>
    <row r="152" spans="1:9" ht="31.5" x14ac:dyDescent="0.25">
      <c r="A152" s="98" t="s">
        <v>777</v>
      </c>
      <c r="B152" s="16">
        <v>902</v>
      </c>
      <c r="C152" s="20" t="s">
        <v>118</v>
      </c>
      <c r="D152" s="20" t="s">
        <v>140</v>
      </c>
      <c r="E152" s="20" t="s">
        <v>848</v>
      </c>
      <c r="F152" s="32"/>
      <c r="G152" s="467">
        <f t="shared" si="7"/>
        <v>15</v>
      </c>
      <c r="H152" s="467">
        <f t="shared" si="7"/>
        <v>15</v>
      </c>
      <c r="I152" s="204"/>
    </row>
    <row r="153" spans="1:9" ht="31.5" x14ac:dyDescent="0.25">
      <c r="A153" s="466" t="s">
        <v>131</v>
      </c>
      <c r="B153" s="16">
        <v>902</v>
      </c>
      <c r="C153" s="20" t="s">
        <v>118</v>
      </c>
      <c r="D153" s="20" t="s">
        <v>140</v>
      </c>
      <c r="E153" s="20" t="s">
        <v>848</v>
      </c>
      <c r="F153" s="32" t="s">
        <v>132</v>
      </c>
      <c r="G153" s="467">
        <f t="shared" si="7"/>
        <v>15</v>
      </c>
      <c r="H153" s="467">
        <f t="shared" si="7"/>
        <v>15</v>
      </c>
      <c r="I153" s="204"/>
    </row>
    <row r="154" spans="1:9" ht="31.5" x14ac:dyDescent="0.25">
      <c r="A154" s="466" t="s">
        <v>133</v>
      </c>
      <c r="B154" s="16">
        <v>902</v>
      </c>
      <c r="C154" s="20" t="s">
        <v>118</v>
      </c>
      <c r="D154" s="20" t="s">
        <v>140</v>
      </c>
      <c r="E154" s="20" t="s">
        <v>848</v>
      </c>
      <c r="F154" s="32" t="s">
        <v>134</v>
      </c>
      <c r="G154" s="467">
        <f>15</f>
        <v>15</v>
      </c>
      <c r="H154" s="467">
        <f t="shared" si="4"/>
        <v>15</v>
      </c>
      <c r="I154" s="204"/>
    </row>
    <row r="155" spans="1:9" ht="78.75" x14ac:dyDescent="0.25">
      <c r="A155" s="470" t="s">
        <v>1376</v>
      </c>
      <c r="B155" s="19">
        <v>902</v>
      </c>
      <c r="C155" s="8" t="s">
        <v>118</v>
      </c>
      <c r="D155" s="8" t="s">
        <v>140</v>
      </c>
      <c r="E155" s="359" t="s">
        <v>817</v>
      </c>
      <c r="F155" s="8"/>
      <c r="G155" s="463">
        <f t="shared" ref="G155:H158" si="8">G156</f>
        <v>45</v>
      </c>
      <c r="H155" s="463">
        <f t="shared" si="8"/>
        <v>50</v>
      </c>
      <c r="I155" s="204"/>
    </row>
    <row r="156" spans="1:9" ht="47.25" x14ac:dyDescent="0.25">
      <c r="A156" s="212" t="s">
        <v>854</v>
      </c>
      <c r="B156" s="19">
        <v>902</v>
      </c>
      <c r="C156" s="8" t="s">
        <v>118</v>
      </c>
      <c r="D156" s="8" t="s">
        <v>140</v>
      </c>
      <c r="E156" s="194" t="s">
        <v>1078</v>
      </c>
      <c r="F156" s="8"/>
      <c r="G156" s="463">
        <f t="shared" si="8"/>
        <v>45</v>
      </c>
      <c r="H156" s="463">
        <f t="shared" si="8"/>
        <v>50</v>
      </c>
      <c r="I156" s="204"/>
    </row>
    <row r="157" spans="1:9" ht="31.5" x14ac:dyDescent="0.25">
      <c r="A157" s="97" t="s">
        <v>171</v>
      </c>
      <c r="B157" s="16">
        <v>902</v>
      </c>
      <c r="C157" s="9" t="s">
        <v>118</v>
      </c>
      <c r="D157" s="9" t="s">
        <v>140</v>
      </c>
      <c r="E157" s="5" t="s">
        <v>855</v>
      </c>
      <c r="F157" s="9"/>
      <c r="G157" s="467">
        <f t="shared" si="8"/>
        <v>45</v>
      </c>
      <c r="H157" s="467">
        <f t="shared" si="8"/>
        <v>50</v>
      </c>
      <c r="I157" s="204"/>
    </row>
    <row r="158" spans="1:9" ht="31.5" x14ac:dyDescent="0.25">
      <c r="A158" s="466" t="s">
        <v>131</v>
      </c>
      <c r="B158" s="16">
        <v>902</v>
      </c>
      <c r="C158" s="9" t="s">
        <v>118</v>
      </c>
      <c r="D158" s="9" t="s">
        <v>140</v>
      </c>
      <c r="E158" s="5" t="s">
        <v>855</v>
      </c>
      <c r="F158" s="9" t="s">
        <v>132</v>
      </c>
      <c r="G158" s="467">
        <f t="shared" si="8"/>
        <v>45</v>
      </c>
      <c r="H158" s="467">
        <f t="shared" si="8"/>
        <v>50</v>
      </c>
      <c r="I158" s="204"/>
    </row>
    <row r="159" spans="1:9" ht="35.450000000000003" customHeight="1" x14ac:dyDescent="0.25">
      <c r="A159" s="466" t="s">
        <v>133</v>
      </c>
      <c r="B159" s="16">
        <v>902</v>
      </c>
      <c r="C159" s="9" t="s">
        <v>118</v>
      </c>
      <c r="D159" s="9" t="s">
        <v>140</v>
      </c>
      <c r="E159" s="5" t="s">
        <v>855</v>
      </c>
      <c r="F159" s="9" t="s">
        <v>134</v>
      </c>
      <c r="G159" s="467">
        <v>45</v>
      </c>
      <c r="H159" s="467">
        <v>50</v>
      </c>
      <c r="I159" s="204"/>
    </row>
    <row r="160" spans="1:9" ht="63" x14ac:dyDescent="0.25">
      <c r="A160" s="470" t="s">
        <v>1354</v>
      </c>
      <c r="B160" s="19">
        <v>902</v>
      </c>
      <c r="C160" s="8" t="s">
        <v>118</v>
      </c>
      <c r="D160" s="8" t="s">
        <v>140</v>
      </c>
      <c r="E160" s="194" t="s">
        <v>818</v>
      </c>
      <c r="F160" s="8"/>
      <c r="G160" s="463">
        <f>G162</f>
        <v>80</v>
      </c>
      <c r="H160" s="463">
        <f>H162</f>
        <v>90</v>
      </c>
      <c r="I160" s="204"/>
    </row>
    <row r="161" spans="1:9" ht="31.5" x14ac:dyDescent="0.25">
      <c r="A161" s="58" t="s">
        <v>856</v>
      </c>
      <c r="B161" s="19">
        <v>902</v>
      </c>
      <c r="C161" s="8" t="s">
        <v>118</v>
      </c>
      <c r="D161" s="8" t="s">
        <v>140</v>
      </c>
      <c r="E161" s="194" t="s">
        <v>864</v>
      </c>
      <c r="F161" s="8"/>
      <c r="G161" s="463">
        <f t="shared" ref="G161:H163" si="9">G162</f>
        <v>80</v>
      </c>
      <c r="H161" s="463">
        <f t="shared" si="9"/>
        <v>90</v>
      </c>
      <c r="I161" s="204"/>
    </row>
    <row r="162" spans="1:9" ht="15.75" x14ac:dyDescent="0.25">
      <c r="A162" s="45" t="s">
        <v>822</v>
      </c>
      <c r="B162" s="16">
        <v>902</v>
      </c>
      <c r="C162" s="9" t="s">
        <v>118</v>
      </c>
      <c r="D162" s="9" t="s">
        <v>140</v>
      </c>
      <c r="E162" s="5" t="s">
        <v>857</v>
      </c>
      <c r="F162" s="9"/>
      <c r="G162" s="467">
        <f t="shared" si="9"/>
        <v>80</v>
      </c>
      <c r="H162" s="467">
        <f t="shared" si="9"/>
        <v>90</v>
      </c>
      <c r="I162" s="204"/>
    </row>
    <row r="163" spans="1:9" ht="31.5" x14ac:dyDescent="0.25">
      <c r="A163" s="466" t="s">
        <v>131</v>
      </c>
      <c r="B163" s="16">
        <v>902</v>
      </c>
      <c r="C163" s="9" t="s">
        <v>118</v>
      </c>
      <c r="D163" s="9" t="s">
        <v>140</v>
      </c>
      <c r="E163" s="5" t="s">
        <v>857</v>
      </c>
      <c r="F163" s="9" t="s">
        <v>132</v>
      </c>
      <c r="G163" s="467">
        <f t="shared" si="9"/>
        <v>80</v>
      </c>
      <c r="H163" s="467">
        <f t="shared" si="9"/>
        <v>90</v>
      </c>
      <c r="I163" s="204"/>
    </row>
    <row r="164" spans="1:9" ht="31.5" x14ac:dyDescent="0.25">
      <c r="A164" s="466" t="s">
        <v>133</v>
      </c>
      <c r="B164" s="16">
        <v>902</v>
      </c>
      <c r="C164" s="9" t="s">
        <v>118</v>
      </c>
      <c r="D164" s="9" t="s">
        <v>140</v>
      </c>
      <c r="E164" s="5" t="s">
        <v>857</v>
      </c>
      <c r="F164" s="9" t="s">
        <v>134</v>
      </c>
      <c r="G164" s="467">
        <v>80</v>
      </c>
      <c r="H164" s="467">
        <v>90</v>
      </c>
      <c r="I164" s="204"/>
    </row>
    <row r="165" spans="1:9" ht="15.75" hidden="1" x14ac:dyDescent="0.25">
      <c r="A165" s="464" t="s">
        <v>212</v>
      </c>
      <c r="B165" s="19">
        <v>902</v>
      </c>
      <c r="C165" s="24" t="s">
        <v>213</v>
      </c>
      <c r="D165" s="24"/>
      <c r="E165" s="24"/>
      <c r="F165" s="24"/>
      <c r="G165" s="463">
        <f t="shared" ref="G165:H168" si="10">G166</f>
        <v>0</v>
      </c>
      <c r="H165" s="463">
        <f t="shared" si="10"/>
        <v>0</v>
      </c>
      <c r="I165" s="204"/>
    </row>
    <row r="166" spans="1:9" ht="17.100000000000001" hidden="1" customHeight="1" x14ac:dyDescent="0.25">
      <c r="A166" s="464" t="s">
        <v>218</v>
      </c>
      <c r="B166" s="19">
        <v>902</v>
      </c>
      <c r="C166" s="24" t="s">
        <v>213</v>
      </c>
      <c r="D166" s="24" t="s">
        <v>219</v>
      </c>
      <c r="E166" s="24"/>
      <c r="F166" s="24"/>
      <c r="G166" s="463">
        <f t="shared" si="10"/>
        <v>0</v>
      </c>
      <c r="H166" s="463">
        <f t="shared" si="10"/>
        <v>0</v>
      </c>
      <c r="I166" s="204"/>
    </row>
    <row r="167" spans="1:9" ht="15.75" hidden="1" x14ac:dyDescent="0.25">
      <c r="A167" s="464" t="s">
        <v>141</v>
      </c>
      <c r="B167" s="19">
        <v>902</v>
      </c>
      <c r="C167" s="24" t="s">
        <v>213</v>
      </c>
      <c r="D167" s="24" t="s">
        <v>219</v>
      </c>
      <c r="E167" s="24" t="s">
        <v>866</v>
      </c>
      <c r="F167" s="24"/>
      <c r="G167" s="463">
        <f t="shared" si="10"/>
        <v>0</v>
      </c>
      <c r="H167" s="463">
        <f t="shared" si="10"/>
        <v>0</v>
      </c>
      <c r="I167" s="204"/>
    </row>
    <row r="168" spans="1:9" ht="31.5" hidden="1" x14ac:dyDescent="0.25">
      <c r="A168" s="464" t="s">
        <v>870</v>
      </c>
      <c r="B168" s="19">
        <v>902</v>
      </c>
      <c r="C168" s="24" t="s">
        <v>213</v>
      </c>
      <c r="D168" s="24" t="s">
        <v>219</v>
      </c>
      <c r="E168" s="24" t="s">
        <v>865</v>
      </c>
      <c r="F168" s="24"/>
      <c r="G168" s="463">
        <f t="shared" si="10"/>
        <v>0</v>
      </c>
      <c r="H168" s="463">
        <f t="shared" si="10"/>
        <v>0</v>
      </c>
      <c r="I168" s="204"/>
    </row>
    <row r="169" spans="1:9" ht="15.75" hidden="1" x14ac:dyDescent="0.25">
      <c r="A169" s="466" t="s">
        <v>220</v>
      </c>
      <c r="B169" s="16">
        <v>902</v>
      </c>
      <c r="C169" s="20" t="s">
        <v>213</v>
      </c>
      <c r="D169" s="20" t="s">
        <v>219</v>
      </c>
      <c r="E169" s="20" t="s">
        <v>871</v>
      </c>
      <c r="F169" s="20"/>
      <c r="G169" s="467">
        <f>'Пр.4 ведом.21'!G179</f>
        <v>0</v>
      </c>
      <c r="H169" s="467">
        <f t="shared" si="4"/>
        <v>0</v>
      </c>
      <c r="I169" s="204"/>
    </row>
    <row r="170" spans="1:9" ht="31.5" hidden="1" x14ac:dyDescent="0.25">
      <c r="A170" s="466" t="s">
        <v>198</v>
      </c>
      <c r="B170" s="16">
        <v>902</v>
      </c>
      <c r="C170" s="20" t="s">
        <v>213</v>
      </c>
      <c r="D170" s="20" t="s">
        <v>219</v>
      </c>
      <c r="E170" s="20" t="s">
        <v>871</v>
      </c>
      <c r="F170" s="20" t="s">
        <v>132</v>
      </c>
      <c r="G170" s="467">
        <f>'Пр.4 ведом.21'!G180</f>
        <v>0</v>
      </c>
      <c r="H170" s="467">
        <f t="shared" si="4"/>
        <v>0</v>
      </c>
      <c r="I170" s="204"/>
    </row>
    <row r="171" spans="1:9" ht="31.5" hidden="1" x14ac:dyDescent="0.25">
      <c r="A171" s="466" t="s">
        <v>133</v>
      </c>
      <c r="B171" s="16">
        <v>902</v>
      </c>
      <c r="C171" s="20" t="s">
        <v>213</v>
      </c>
      <c r="D171" s="20" t="s">
        <v>219</v>
      </c>
      <c r="E171" s="20" t="s">
        <v>871</v>
      </c>
      <c r="F171" s="20" t="s">
        <v>134</v>
      </c>
      <c r="G171" s="467">
        <f>'Пр.4 ведом.21'!G181</f>
        <v>0</v>
      </c>
      <c r="H171" s="467">
        <f t="shared" si="4"/>
        <v>0</v>
      </c>
      <c r="I171" s="204"/>
    </row>
    <row r="172" spans="1:9" ht="31.5" x14ac:dyDescent="0.25">
      <c r="A172" s="464" t="s">
        <v>222</v>
      </c>
      <c r="B172" s="19">
        <v>902</v>
      </c>
      <c r="C172" s="24" t="s">
        <v>215</v>
      </c>
      <c r="D172" s="24"/>
      <c r="E172" s="24"/>
      <c r="F172" s="24"/>
      <c r="G172" s="463">
        <f>G173</f>
        <v>8090.1</v>
      </c>
      <c r="H172" s="463">
        <f>H173</f>
        <v>8090.1</v>
      </c>
      <c r="I172" s="204"/>
    </row>
    <row r="173" spans="1:9" ht="47.25" x14ac:dyDescent="0.25">
      <c r="A173" s="464" t="s">
        <v>1356</v>
      </c>
      <c r="B173" s="19">
        <v>902</v>
      </c>
      <c r="C173" s="24" t="s">
        <v>215</v>
      </c>
      <c r="D173" s="24" t="s">
        <v>244</v>
      </c>
      <c r="E173" s="20"/>
      <c r="F173" s="20"/>
      <c r="G173" s="463">
        <f>G174</f>
        <v>8090.1</v>
      </c>
      <c r="H173" s="463">
        <f>H174</f>
        <v>8090.1</v>
      </c>
      <c r="I173" s="204"/>
    </row>
    <row r="174" spans="1:9" ht="15.75" x14ac:dyDescent="0.25">
      <c r="A174" s="464" t="s">
        <v>141</v>
      </c>
      <c r="B174" s="19">
        <v>902</v>
      </c>
      <c r="C174" s="24" t="s">
        <v>215</v>
      </c>
      <c r="D174" s="24" t="s">
        <v>244</v>
      </c>
      <c r="E174" s="24" t="s">
        <v>866</v>
      </c>
      <c r="F174" s="24"/>
      <c r="G174" s="463">
        <f>G175+G182</f>
        <v>8090.1</v>
      </c>
      <c r="H174" s="463">
        <f>H175+H182</f>
        <v>8090.1</v>
      </c>
      <c r="I174" s="204"/>
    </row>
    <row r="175" spans="1:9" ht="31.5" x14ac:dyDescent="0.25">
      <c r="A175" s="464" t="s">
        <v>870</v>
      </c>
      <c r="B175" s="19">
        <v>902</v>
      </c>
      <c r="C175" s="24" t="s">
        <v>215</v>
      </c>
      <c r="D175" s="24" t="s">
        <v>244</v>
      </c>
      <c r="E175" s="24" t="s">
        <v>865</v>
      </c>
      <c r="F175" s="24"/>
      <c r="G175" s="463">
        <f>G176+G179</f>
        <v>1982</v>
      </c>
      <c r="H175" s="463">
        <f>H176+H179</f>
        <v>1982</v>
      </c>
      <c r="I175" s="204"/>
    </row>
    <row r="176" spans="1:9" ht="47.25" x14ac:dyDescent="0.25">
      <c r="A176" s="466" t="s">
        <v>224</v>
      </c>
      <c r="B176" s="16">
        <v>902</v>
      </c>
      <c r="C176" s="20" t="s">
        <v>215</v>
      </c>
      <c r="D176" s="20" t="s">
        <v>244</v>
      </c>
      <c r="E176" s="20" t="s">
        <v>875</v>
      </c>
      <c r="F176" s="20"/>
      <c r="G176" s="467">
        <f>G177</f>
        <v>1785</v>
      </c>
      <c r="H176" s="467">
        <f>H177</f>
        <v>1785</v>
      </c>
      <c r="I176" s="204"/>
    </row>
    <row r="177" spans="1:9" ht="31.5" x14ac:dyDescent="0.25">
      <c r="A177" s="466" t="s">
        <v>198</v>
      </c>
      <c r="B177" s="16">
        <v>902</v>
      </c>
      <c r="C177" s="20" t="s">
        <v>215</v>
      </c>
      <c r="D177" s="20" t="s">
        <v>244</v>
      </c>
      <c r="E177" s="20" t="s">
        <v>875</v>
      </c>
      <c r="F177" s="20" t="s">
        <v>132</v>
      </c>
      <c r="G177" s="467">
        <f>G178</f>
        <v>1785</v>
      </c>
      <c r="H177" s="467">
        <f>H178</f>
        <v>1785</v>
      </c>
      <c r="I177" s="204"/>
    </row>
    <row r="178" spans="1:9" ht="31.5" x14ac:dyDescent="0.25">
      <c r="A178" s="466" t="s">
        <v>133</v>
      </c>
      <c r="B178" s="16">
        <v>902</v>
      </c>
      <c r="C178" s="20" t="s">
        <v>215</v>
      </c>
      <c r="D178" s="20" t="s">
        <v>244</v>
      </c>
      <c r="E178" s="20" t="s">
        <v>875</v>
      </c>
      <c r="F178" s="20" t="s">
        <v>134</v>
      </c>
      <c r="G178" s="467">
        <f>1785</f>
        <v>1785</v>
      </c>
      <c r="H178" s="467">
        <f t="shared" si="4"/>
        <v>1785</v>
      </c>
      <c r="I178" s="204"/>
    </row>
    <row r="179" spans="1:9" ht="15.75" x14ac:dyDescent="0.25">
      <c r="A179" s="466" t="s">
        <v>230</v>
      </c>
      <c r="B179" s="16">
        <v>902</v>
      </c>
      <c r="C179" s="20" t="s">
        <v>215</v>
      </c>
      <c r="D179" s="20" t="s">
        <v>244</v>
      </c>
      <c r="E179" s="20" t="s">
        <v>876</v>
      </c>
      <c r="F179" s="20"/>
      <c r="G179" s="467">
        <f>G180</f>
        <v>197</v>
      </c>
      <c r="H179" s="467">
        <f>H180</f>
        <v>197</v>
      </c>
      <c r="I179" s="204"/>
    </row>
    <row r="180" spans="1:9" ht="31.5" x14ac:dyDescent="0.25">
      <c r="A180" s="466" t="s">
        <v>198</v>
      </c>
      <c r="B180" s="16">
        <v>902</v>
      </c>
      <c r="C180" s="20" t="s">
        <v>215</v>
      </c>
      <c r="D180" s="20" t="s">
        <v>244</v>
      </c>
      <c r="E180" s="20" t="s">
        <v>876</v>
      </c>
      <c r="F180" s="20" t="s">
        <v>132</v>
      </c>
      <c r="G180" s="467">
        <f>G181</f>
        <v>197</v>
      </c>
      <c r="H180" s="467">
        <f>H181</f>
        <v>197</v>
      </c>
      <c r="I180" s="204"/>
    </row>
    <row r="181" spans="1:9" ht="31.5" x14ac:dyDescent="0.25">
      <c r="A181" s="466" t="s">
        <v>133</v>
      </c>
      <c r="B181" s="16">
        <v>902</v>
      </c>
      <c r="C181" s="20" t="s">
        <v>215</v>
      </c>
      <c r="D181" s="20" t="s">
        <v>244</v>
      </c>
      <c r="E181" s="20" t="s">
        <v>876</v>
      </c>
      <c r="F181" s="20" t="s">
        <v>134</v>
      </c>
      <c r="G181" s="467">
        <f>197</f>
        <v>197</v>
      </c>
      <c r="H181" s="467">
        <f t="shared" ref="H181:H241" si="11">G181</f>
        <v>197</v>
      </c>
      <c r="I181" s="204"/>
    </row>
    <row r="182" spans="1:9" ht="31.5" x14ac:dyDescent="0.25">
      <c r="A182" s="464" t="s">
        <v>923</v>
      </c>
      <c r="B182" s="19">
        <v>902</v>
      </c>
      <c r="C182" s="24" t="s">
        <v>215</v>
      </c>
      <c r="D182" s="24" t="s">
        <v>244</v>
      </c>
      <c r="E182" s="24" t="s">
        <v>872</v>
      </c>
      <c r="F182" s="24"/>
      <c r="G182" s="463">
        <f>G183+G188</f>
        <v>6108.1</v>
      </c>
      <c r="H182" s="463">
        <f>H183+H188</f>
        <v>6108.1</v>
      </c>
      <c r="I182" s="204"/>
    </row>
    <row r="183" spans="1:9" ht="31.5" x14ac:dyDescent="0.25">
      <c r="A183" s="466" t="s">
        <v>927</v>
      </c>
      <c r="B183" s="16">
        <v>902</v>
      </c>
      <c r="C183" s="20" t="s">
        <v>215</v>
      </c>
      <c r="D183" s="20" t="s">
        <v>244</v>
      </c>
      <c r="E183" s="20" t="s">
        <v>873</v>
      </c>
      <c r="F183" s="20"/>
      <c r="G183" s="467">
        <f>G184+G186</f>
        <v>5856.1</v>
      </c>
      <c r="H183" s="467">
        <f>H184+H186</f>
        <v>5856.1</v>
      </c>
      <c r="I183" s="204"/>
    </row>
    <row r="184" spans="1:9" ht="78.75" x14ac:dyDescent="0.25">
      <c r="A184" s="466" t="s">
        <v>127</v>
      </c>
      <c r="B184" s="16">
        <v>902</v>
      </c>
      <c r="C184" s="20" t="s">
        <v>215</v>
      </c>
      <c r="D184" s="20" t="s">
        <v>244</v>
      </c>
      <c r="E184" s="20" t="s">
        <v>873</v>
      </c>
      <c r="F184" s="20" t="s">
        <v>128</v>
      </c>
      <c r="G184" s="467">
        <f>G185</f>
        <v>5693.1</v>
      </c>
      <c r="H184" s="467">
        <f t="shared" si="11"/>
        <v>5693.1</v>
      </c>
      <c r="I184" s="204"/>
    </row>
    <row r="185" spans="1:9" ht="15.75" x14ac:dyDescent="0.25">
      <c r="A185" s="466" t="s">
        <v>208</v>
      </c>
      <c r="B185" s="16">
        <v>902</v>
      </c>
      <c r="C185" s="20" t="s">
        <v>215</v>
      </c>
      <c r="D185" s="20" t="s">
        <v>244</v>
      </c>
      <c r="E185" s="20" t="s">
        <v>873</v>
      </c>
      <c r="F185" s="20" t="s">
        <v>209</v>
      </c>
      <c r="G185" s="467">
        <v>5693.1</v>
      </c>
      <c r="H185" s="467">
        <f t="shared" si="11"/>
        <v>5693.1</v>
      </c>
      <c r="I185" s="204"/>
    </row>
    <row r="186" spans="1:9" ht="31.5" x14ac:dyDescent="0.25">
      <c r="A186" s="466" t="s">
        <v>198</v>
      </c>
      <c r="B186" s="16">
        <v>902</v>
      </c>
      <c r="C186" s="20" t="s">
        <v>215</v>
      </c>
      <c r="D186" s="20" t="s">
        <v>244</v>
      </c>
      <c r="E186" s="20" t="s">
        <v>873</v>
      </c>
      <c r="F186" s="20" t="s">
        <v>132</v>
      </c>
      <c r="G186" s="467">
        <f>G187</f>
        <v>163</v>
      </c>
      <c r="H186" s="467">
        <f>H187</f>
        <v>163</v>
      </c>
      <c r="I186" s="204"/>
    </row>
    <row r="187" spans="1:9" ht="31.5" x14ac:dyDescent="0.25">
      <c r="A187" s="466" t="s">
        <v>133</v>
      </c>
      <c r="B187" s="16">
        <v>902</v>
      </c>
      <c r="C187" s="20" t="s">
        <v>215</v>
      </c>
      <c r="D187" s="20" t="s">
        <v>244</v>
      </c>
      <c r="E187" s="20" t="s">
        <v>873</v>
      </c>
      <c r="F187" s="20" t="s">
        <v>134</v>
      </c>
      <c r="G187" s="467">
        <f>163</f>
        <v>163</v>
      </c>
      <c r="H187" s="467">
        <f t="shared" si="11"/>
        <v>163</v>
      </c>
      <c r="I187" s="204"/>
    </row>
    <row r="188" spans="1:9" ht="47.25" x14ac:dyDescent="0.25">
      <c r="A188" s="466" t="s">
        <v>839</v>
      </c>
      <c r="B188" s="16">
        <v>902</v>
      </c>
      <c r="C188" s="20" t="s">
        <v>215</v>
      </c>
      <c r="D188" s="20" t="s">
        <v>244</v>
      </c>
      <c r="E188" s="20" t="s">
        <v>874</v>
      </c>
      <c r="F188" s="20"/>
      <c r="G188" s="467">
        <f>G189</f>
        <v>252</v>
      </c>
      <c r="H188" s="467">
        <f>H189</f>
        <v>252</v>
      </c>
      <c r="I188" s="204"/>
    </row>
    <row r="189" spans="1:9" ht="78.75" x14ac:dyDescent="0.25">
      <c r="A189" s="466" t="s">
        <v>127</v>
      </c>
      <c r="B189" s="16">
        <v>902</v>
      </c>
      <c r="C189" s="20" t="s">
        <v>215</v>
      </c>
      <c r="D189" s="20" t="s">
        <v>244</v>
      </c>
      <c r="E189" s="20" t="s">
        <v>874</v>
      </c>
      <c r="F189" s="20" t="s">
        <v>128</v>
      </c>
      <c r="G189" s="467">
        <f>G190</f>
        <v>252</v>
      </c>
      <c r="H189" s="467">
        <f>H190</f>
        <v>252</v>
      </c>
      <c r="I189" s="204"/>
    </row>
    <row r="190" spans="1:9" ht="19.5" customHeight="1" x14ac:dyDescent="0.25">
      <c r="A190" s="466" t="s">
        <v>208</v>
      </c>
      <c r="B190" s="16">
        <v>902</v>
      </c>
      <c r="C190" s="20" t="s">
        <v>215</v>
      </c>
      <c r="D190" s="20" t="s">
        <v>244</v>
      </c>
      <c r="E190" s="20" t="s">
        <v>874</v>
      </c>
      <c r="F190" s="20" t="s">
        <v>209</v>
      </c>
      <c r="G190" s="467">
        <f>252</f>
        <v>252</v>
      </c>
      <c r="H190" s="467">
        <f t="shared" si="11"/>
        <v>252</v>
      </c>
      <c r="I190" s="204"/>
    </row>
    <row r="191" spans="1:9" ht="15.75" x14ac:dyDescent="0.25">
      <c r="A191" s="464" t="s">
        <v>232</v>
      </c>
      <c r="B191" s="19">
        <v>902</v>
      </c>
      <c r="C191" s="24" t="s">
        <v>150</v>
      </c>
      <c r="D191" s="24"/>
      <c r="E191" s="24"/>
      <c r="F191" s="20"/>
      <c r="G191" s="463">
        <f>G205+G192</f>
        <v>688.2</v>
      </c>
      <c r="H191" s="463">
        <f>H205+H192</f>
        <v>698.8</v>
      </c>
      <c r="I191" s="204"/>
    </row>
    <row r="192" spans="1:9" ht="15.75" x14ac:dyDescent="0.25">
      <c r="A192" s="464" t="s">
        <v>233</v>
      </c>
      <c r="B192" s="19">
        <v>902</v>
      </c>
      <c r="C192" s="24" t="s">
        <v>150</v>
      </c>
      <c r="D192" s="24" t="s">
        <v>234</v>
      </c>
      <c r="E192" s="24"/>
      <c r="F192" s="20"/>
      <c r="G192" s="463">
        <f>G193</f>
        <v>274</v>
      </c>
      <c r="H192" s="463">
        <f>H193</f>
        <v>274</v>
      </c>
      <c r="I192" s="204"/>
    </row>
    <row r="193" spans="1:9" ht="31.5" x14ac:dyDescent="0.25">
      <c r="A193" s="34" t="s">
        <v>1355</v>
      </c>
      <c r="B193" s="19">
        <v>902</v>
      </c>
      <c r="C193" s="24" t="s">
        <v>150</v>
      </c>
      <c r="D193" s="24" t="s">
        <v>234</v>
      </c>
      <c r="E193" s="194" t="s">
        <v>182</v>
      </c>
      <c r="F193" s="221"/>
      <c r="G193" s="463">
        <f>G194+G201</f>
        <v>274</v>
      </c>
      <c r="H193" s="463">
        <f>H194+H201</f>
        <v>274</v>
      </c>
      <c r="I193" s="204"/>
    </row>
    <row r="194" spans="1:9" ht="31.5" x14ac:dyDescent="0.25">
      <c r="A194" s="34" t="s">
        <v>1006</v>
      </c>
      <c r="B194" s="19">
        <v>902</v>
      </c>
      <c r="C194" s="24" t="s">
        <v>150</v>
      </c>
      <c r="D194" s="24" t="s">
        <v>234</v>
      </c>
      <c r="E194" s="248" t="s">
        <v>877</v>
      </c>
      <c r="F194" s="221"/>
      <c r="G194" s="463">
        <f>G195+G198</f>
        <v>274</v>
      </c>
      <c r="H194" s="463">
        <f>H195+H198</f>
        <v>274</v>
      </c>
      <c r="I194" s="204"/>
    </row>
    <row r="195" spans="1:9" ht="31.5" x14ac:dyDescent="0.25">
      <c r="A195" s="466" t="s">
        <v>235</v>
      </c>
      <c r="B195" s="16">
        <v>902</v>
      </c>
      <c r="C195" s="20" t="s">
        <v>150</v>
      </c>
      <c r="D195" s="20" t="s">
        <v>234</v>
      </c>
      <c r="E195" s="20" t="s">
        <v>898</v>
      </c>
      <c r="F195" s="32"/>
      <c r="G195" s="467">
        <f>G196</f>
        <v>274</v>
      </c>
      <c r="H195" s="467">
        <f>H196</f>
        <v>274</v>
      </c>
      <c r="I195" s="204"/>
    </row>
    <row r="196" spans="1:9" ht="15.75" x14ac:dyDescent="0.25">
      <c r="A196" s="29" t="s">
        <v>135</v>
      </c>
      <c r="B196" s="16">
        <v>902</v>
      </c>
      <c r="C196" s="20" t="s">
        <v>150</v>
      </c>
      <c r="D196" s="20" t="s">
        <v>234</v>
      </c>
      <c r="E196" s="20" t="s">
        <v>898</v>
      </c>
      <c r="F196" s="32" t="s">
        <v>145</v>
      </c>
      <c r="G196" s="467">
        <f>G197</f>
        <v>274</v>
      </c>
      <c r="H196" s="467">
        <f>H197</f>
        <v>274</v>
      </c>
      <c r="I196" s="204"/>
    </row>
    <row r="197" spans="1:9" ht="47.25" x14ac:dyDescent="0.25">
      <c r="A197" s="29" t="s">
        <v>184</v>
      </c>
      <c r="B197" s="16">
        <v>902</v>
      </c>
      <c r="C197" s="20" t="s">
        <v>150</v>
      </c>
      <c r="D197" s="20" t="s">
        <v>234</v>
      </c>
      <c r="E197" s="20" t="s">
        <v>898</v>
      </c>
      <c r="F197" s="32" t="s">
        <v>160</v>
      </c>
      <c r="G197" s="467">
        <f>19+255</f>
        <v>274</v>
      </c>
      <c r="H197" s="467">
        <f>19+255</f>
        <v>274</v>
      </c>
      <c r="I197" s="204"/>
    </row>
    <row r="198" spans="1:9" ht="31.5" hidden="1" x14ac:dyDescent="0.25">
      <c r="A198" s="466" t="s">
        <v>235</v>
      </c>
      <c r="B198" s="16">
        <v>902</v>
      </c>
      <c r="C198" s="20" t="s">
        <v>150</v>
      </c>
      <c r="D198" s="20" t="s">
        <v>234</v>
      </c>
      <c r="E198" s="20" t="s">
        <v>880</v>
      </c>
      <c r="F198" s="20"/>
      <c r="G198" s="467">
        <f>G199</f>
        <v>0</v>
      </c>
      <c r="H198" s="467">
        <f>H199</f>
        <v>0</v>
      </c>
      <c r="I198" s="204"/>
    </row>
    <row r="199" spans="1:9" ht="15.75" hidden="1" x14ac:dyDescent="0.25">
      <c r="A199" s="466" t="s">
        <v>135</v>
      </c>
      <c r="B199" s="16">
        <v>902</v>
      </c>
      <c r="C199" s="20" t="s">
        <v>150</v>
      </c>
      <c r="D199" s="20" t="s">
        <v>234</v>
      </c>
      <c r="E199" s="20" t="s">
        <v>880</v>
      </c>
      <c r="F199" s="20" t="s">
        <v>145</v>
      </c>
      <c r="G199" s="467">
        <f>G200</f>
        <v>0</v>
      </c>
      <c r="H199" s="467">
        <f>H200</f>
        <v>0</v>
      </c>
      <c r="I199" s="204"/>
    </row>
    <row r="200" spans="1:9" ht="47.25" hidden="1" x14ac:dyDescent="0.25">
      <c r="A200" s="466" t="s">
        <v>184</v>
      </c>
      <c r="B200" s="16">
        <v>902</v>
      </c>
      <c r="C200" s="20" t="s">
        <v>150</v>
      </c>
      <c r="D200" s="20" t="s">
        <v>234</v>
      </c>
      <c r="E200" s="20" t="s">
        <v>880</v>
      </c>
      <c r="F200" s="20" t="s">
        <v>160</v>
      </c>
      <c r="G200" s="467"/>
      <c r="H200" s="467"/>
      <c r="I200" s="204"/>
    </row>
    <row r="201" spans="1:9" ht="47.25" hidden="1" x14ac:dyDescent="0.25">
      <c r="A201" s="213" t="s">
        <v>1007</v>
      </c>
      <c r="B201" s="19">
        <v>902</v>
      </c>
      <c r="C201" s="24" t="s">
        <v>150</v>
      </c>
      <c r="D201" s="24" t="s">
        <v>234</v>
      </c>
      <c r="E201" s="194" t="s">
        <v>879</v>
      </c>
      <c r="F201" s="221"/>
      <c r="G201" s="463">
        <f t="shared" ref="G201:H203" si="12">G202</f>
        <v>0</v>
      </c>
      <c r="H201" s="463">
        <f t="shared" si="12"/>
        <v>0</v>
      </c>
      <c r="I201" s="204"/>
    </row>
    <row r="202" spans="1:9" ht="15.75" hidden="1" x14ac:dyDescent="0.25">
      <c r="A202" s="466" t="s">
        <v>878</v>
      </c>
      <c r="B202" s="16">
        <v>902</v>
      </c>
      <c r="C202" s="20" t="s">
        <v>150</v>
      </c>
      <c r="D202" s="20" t="s">
        <v>234</v>
      </c>
      <c r="E202" s="5" t="s">
        <v>899</v>
      </c>
      <c r="F202" s="32"/>
      <c r="G202" s="467">
        <f t="shared" si="12"/>
        <v>0</v>
      </c>
      <c r="H202" s="467">
        <f t="shared" si="12"/>
        <v>0</v>
      </c>
      <c r="I202" s="204"/>
    </row>
    <row r="203" spans="1:9" ht="15.75" hidden="1" x14ac:dyDescent="0.25">
      <c r="A203" s="29" t="s">
        <v>135</v>
      </c>
      <c r="B203" s="16">
        <v>902</v>
      </c>
      <c r="C203" s="20" t="s">
        <v>150</v>
      </c>
      <c r="D203" s="20" t="s">
        <v>234</v>
      </c>
      <c r="E203" s="5" t="s">
        <v>899</v>
      </c>
      <c r="F203" s="32" t="s">
        <v>145</v>
      </c>
      <c r="G203" s="467">
        <f t="shared" si="12"/>
        <v>0</v>
      </c>
      <c r="H203" s="467">
        <f t="shared" si="12"/>
        <v>0</v>
      </c>
      <c r="I203" s="204"/>
    </row>
    <row r="204" spans="1:9" ht="47.25" hidden="1" x14ac:dyDescent="0.25">
      <c r="A204" s="29" t="s">
        <v>184</v>
      </c>
      <c r="B204" s="16">
        <v>902</v>
      </c>
      <c r="C204" s="20" t="s">
        <v>150</v>
      </c>
      <c r="D204" s="20" t="s">
        <v>234</v>
      </c>
      <c r="E204" s="5" t="s">
        <v>899</v>
      </c>
      <c r="F204" s="32" t="s">
        <v>160</v>
      </c>
      <c r="G204" s="467">
        <v>0</v>
      </c>
      <c r="H204" s="467">
        <v>0</v>
      </c>
      <c r="I204" s="204"/>
    </row>
    <row r="205" spans="1:9" ht="31.5" x14ac:dyDescent="0.25">
      <c r="A205" s="464" t="s">
        <v>237</v>
      </c>
      <c r="B205" s="19">
        <v>902</v>
      </c>
      <c r="C205" s="24" t="s">
        <v>150</v>
      </c>
      <c r="D205" s="24" t="s">
        <v>238</v>
      </c>
      <c r="E205" s="24"/>
      <c r="F205" s="24"/>
      <c r="G205" s="463">
        <f>G206+G213</f>
        <v>414.2</v>
      </c>
      <c r="H205" s="463">
        <f>H206+H213</f>
        <v>424.8</v>
      </c>
      <c r="I205" s="204"/>
    </row>
    <row r="206" spans="1:9" ht="31.5" x14ac:dyDescent="0.25">
      <c r="A206" s="464" t="s">
        <v>917</v>
      </c>
      <c r="B206" s="19">
        <v>902</v>
      </c>
      <c r="C206" s="24" t="s">
        <v>150</v>
      </c>
      <c r="D206" s="24" t="s">
        <v>238</v>
      </c>
      <c r="E206" s="24" t="s">
        <v>858</v>
      </c>
      <c r="F206" s="24"/>
      <c r="G206" s="463">
        <f>G207</f>
        <v>264.2</v>
      </c>
      <c r="H206" s="463">
        <f>H207</f>
        <v>274.8</v>
      </c>
      <c r="I206" s="204"/>
    </row>
    <row r="207" spans="1:9" ht="31.5" x14ac:dyDescent="0.25">
      <c r="A207" s="464" t="s">
        <v>885</v>
      </c>
      <c r="B207" s="19">
        <v>902</v>
      </c>
      <c r="C207" s="24" t="s">
        <v>150</v>
      </c>
      <c r="D207" s="24" t="s">
        <v>238</v>
      </c>
      <c r="E207" s="24" t="s">
        <v>863</v>
      </c>
      <c r="F207" s="24"/>
      <c r="G207" s="463">
        <f>G208</f>
        <v>264.2</v>
      </c>
      <c r="H207" s="463">
        <f>H208</f>
        <v>274.8</v>
      </c>
      <c r="I207" s="204"/>
    </row>
    <row r="208" spans="1:9" ht="63" x14ac:dyDescent="0.25">
      <c r="A208" s="31" t="s">
        <v>241</v>
      </c>
      <c r="B208" s="16">
        <v>902</v>
      </c>
      <c r="C208" s="20" t="s">
        <v>150</v>
      </c>
      <c r="D208" s="20" t="s">
        <v>238</v>
      </c>
      <c r="E208" s="20" t="s">
        <v>924</v>
      </c>
      <c r="F208" s="20"/>
      <c r="G208" s="467">
        <f>G209+G211</f>
        <v>264.2</v>
      </c>
      <c r="H208" s="467">
        <f>H209+H211</f>
        <v>274.8</v>
      </c>
      <c r="I208" s="204"/>
    </row>
    <row r="209" spans="1:9" ht="78.75" x14ac:dyDescent="0.25">
      <c r="A209" s="466" t="s">
        <v>127</v>
      </c>
      <c r="B209" s="16">
        <v>902</v>
      </c>
      <c r="C209" s="20" t="s">
        <v>150</v>
      </c>
      <c r="D209" s="20" t="s">
        <v>238</v>
      </c>
      <c r="E209" s="20" t="s">
        <v>924</v>
      </c>
      <c r="F209" s="20" t="s">
        <v>128</v>
      </c>
      <c r="G209" s="467">
        <f>G210</f>
        <v>205.8</v>
      </c>
      <c r="H209" s="467">
        <f>H210</f>
        <v>205.8</v>
      </c>
      <c r="I209" s="204"/>
    </row>
    <row r="210" spans="1:9" ht="31.5" x14ac:dyDescent="0.25">
      <c r="A210" s="466" t="s">
        <v>129</v>
      </c>
      <c r="B210" s="16">
        <v>902</v>
      </c>
      <c r="C210" s="20" t="s">
        <v>150</v>
      </c>
      <c r="D210" s="20" t="s">
        <v>238</v>
      </c>
      <c r="E210" s="20" t="s">
        <v>924</v>
      </c>
      <c r="F210" s="20" t="s">
        <v>130</v>
      </c>
      <c r="G210" s="467">
        <f>187+18.8</f>
        <v>205.8</v>
      </c>
      <c r="H210" s="467">
        <f t="shared" si="11"/>
        <v>205.8</v>
      </c>
      <c r="I210" s="204"/>
    </row>
    <row r="211" spans="1:9" ht="31.5" x14ac:dyDescent="0.25">
      <c r="A211" s="466" t="s">
        <v>131</v>
      </c>
      <c r="B211" s="16">
        <v>902</v>
      </c>
      <c r="C211" s="20" t="s">
        <v>150</v>
      </c>
      <c r="D211" s="20" t="s">
        <v>238</v>
      </c>
      <c r="E211" s="20" t="s">
        <v>924</v>
      </c>
      <c r="F211" s="20" t="s">
        <v>132</v>
      </c>
      <c r="G211" s="467">
        <f>G212</f>
        <v>58.4</v>
      </c>
      <c r="H211" s="467">
        <f>H212</f>
        <v>69</v>
      </c>
      <c r="I211" s="204"/>
    </row>
    <row r="212" spans="1:9" ht="31.5" x14ac:dyDescent="0.25">
      <c r="A212" s="466" t="s">
        <v>133</v>
      </c>
      <c r="B212" s="16">
        <v>902</v>
      </c>
      <c r="C212" s="20" t="s">
        <v>150</v>
      </c>
      <c r="D212" s="20" t="s">
        <v>238</v>
      </c>
      <c r="E212" s="20" t="s">
        <v>924</v>
      </c>
      <c r="F212" s="20" t="s">
        <v>134</v>
      </c>
      <c r="G212" s="467">
        <f>101.8-43.4</f>
        <v>58.4</v>
      </c>
      <c r="H212" s="467">
        <v>69</v>
      </c>
      <c r="I212" s="204"/>
    </row>
    <row r="213" spans="1:9" ht="47.25" x14ac:dyDescent="0.25">
      <c r="A213" s="464" t="s">
        <v>1345</v>
      </c>
      <c r="B213" s="19">
        <v>902</v>
      </c>
      <c r="C213" s="24" t="s">
        <v>150</v>
      </c>
      <c r="D213" s="24" t="s">
        <v>238</v>
      </c>
      <c r="E213" s="24" t="s">
        <v>156</v>
      </c>
      <c r="F213" s="24"/>
      <c r="G213" s="463">
        <f t="shared" ref="G213:H215" si="13">G214</f>
        <v>150</v>
      </c>
      <c r="H213" s="463">
        <f t="shared" si="13"/>
        <v>150</v>
      </c>
      <c r="I213" s="204"/>
    </row>
    <row r="214" spans="1:9" ht="47.25" x14ac:dyDescent="0.25">
      <c r="A214" s="464" t="s">
        <v>1067</v>
      </c>
      <c r="B214" s="19">
        <v>902</v>
      </c>
      <c r="C214" s="24" t="s">
        <v>150</v>
      </c>
      <c r="D214" s="24" t="s">
        <v>238</v>
      </c>
      <c r="E214" s="24" t="s">
        <v>1064</v>
      </c>
      <c r="F214" s="24"/>
      <c r="G214" s="463">
        <f t="shared" si="13"/>
        <v>150</v>
      </c>
      <c r="H214" s="463">
        <f t="shared" si="13"/>
        <v>150</v>
      </c>
      <c r="I214" s="204"/>
    </row>
    <row r="215" spans="1:9" ht="31.5" x14ac:dyDescent="0.25">
      <c r="A215" s="466" t="s">
        <v>1068</v>
      </c>
      <c r="B215" s="16">
        <v>902</v>
      </c>
      <c r="C215" s="20" t="s">
        <v>150</v>
      </c>
      <c r="D215" s="20" t="s">
        <v>238</v>
      </c>
      <c r="E215" s="20" t="s">
        <v>1065</v>
      </c>
      <c r="F215" s="20"/>
      <c r="G215" s="467">
        <f t="shared" si="13"/>
        <v>150</v>
      </c>
      <c r="H215" s="467">
        <f t="shared" si="13"/>
        <v>150</v>
      </c>
      <c r="I215" s="204"/>
    </row>
    <row r="216" spans="1:9" ht="15.75" x14ac:dyDescent="0.25">
      <c r="A216" s="466" t="s">
        <v>135</v>
      </c>
      <c r="B216" s="16">
        <v>902</v>
      </c>
      <c r="C216" s="20" t="s">
        <v>150</v>
      </c>
      <c r="D216" s="20" t="s">
        <v>238</v>
      </c>
      <c r="E216" s="20" t="s">
        <v>1065</v>
      </c>
      <c r="F216" s="20" t="s">
        <v>145</v>
      </c>
      <c r="G216" s="467">
        <f>G217</f>
        <v>150</v>
      </c>
      <c r="H216" s="467">
        <f t="shared" si="11"/>
        <v>150</v>
      </c>
      <c r="I216" s="204"/>
    </row>
    <row r="217" spans="1:9" ht="47.25" x14ac:dyDescent="0.25">
      <c r="A217" s="466" t="s">
        <v>184</v>
      </c>
      <c r="B217" s="16">
        <v>902</v>
      </c>
      <c r="C217" s="20" t="s">
        <v>150</v>
      </c>
      <c r="D217" s="20" t="s">
        <v>238</v>
      </c>
      <c r="E217" s="20" t="s">
        <v>1065</v>
      </c>
      <c r="F217" s="20" t="s">
        <v>160</v>
      </c>
      <c r="G217" s="467">
        <v>150</v>
      </c>
      <c r="H217" s="467">
        <f t="shared" si="11"/>
        <v>150</v>
      </c>
      <c r="I217" s="204"/>
    </row>
    <row r="218" spans="1:9" ht="15.75" x14ac:dyDescent="0.25">
      <c r="A218" s="464" t="s">
        <v>243</v>
      </c>
      <c r="B218" s="19">
        <v>902</v>
      </c>
      <c r="C218" s="24" t="s">
        <v>244</v>
      </c>
      <c r="D218" s="24"/>
      <c r="E218" s="24"/>
      <c r="F218" s="24"/>
      <c r="G218" s="463">
        <f>G219+G225+G234</f>
        <v>13475.699999999999</v>
      </c>
      <c r="H218" s="463">
        <f>H219+H225+H234</f>
        <v>13431.699999999999</v>
      </c>
      <c r="I218" s="204"/>
    </row>
    <row r="219" spans="1:9" ht="15.75" x14ac:dyDescent="0.25">
      <c r="A219" s="464" t="s">
        <v>245</v>
      </c>
      <c r="B219" s="19">
        <v>902</v>
      </c>
      <c r="C219" s="24" t="s">
        <v>244</v>
      </c>
      <c r="D219" s="24" t="s">
        <v>118</v>
      </c>
      <c r="E219" s="24"/>
      <c r="F219" s="24"/>
      <c r="G219" s="463">
        <f t="shared" ref="G219:H219" si="14">G220</f>
        <v>9815.2999999999993</v>
      </c>
      <c r="H219" s="463">
        <f t="shared" si="14"/>
        <v>9815.2999999999993</v>
      </c>
      <c r="I219" s="204"/>
    </row>
    <row r="220" spans="1:9" ht="15.75" x14ac:dyDescent="0.25">
      <c r="A220" s="464" t="s">
        <v>141</v>
      </c>
      <c r="B220" s="19">
        <v>902</v>
      </c>
      <c r="C220" s="24" t="s">
        <v>244</v>
      </c>
      <c r="D220" s="24" t="s">
        <v>118</v>
      </c>
      <c r="E220" s="24" t="s">
        <v>866</v>
      </c>
      <c r="F220" s="24"/>
      <c r="G220" s="463">
        <f t="shared" ref="G220:H223" si="15">G221</f>
        <v>9815.2999999999993</v>
      </c>
      <c r="H220" s="463">
        <f t="shared" si="15"/>
        <v>9815.2999999999993</v>
      </c>
      <c r="I220" s="204"/>
    </row>
    <row r="221" spans="1:9" ht="31.5" x14ac:dyDescent="0.25">
      <c r="A221" s="464" t="s">
        <v>870</v>
      </c>
      <c r="B221" s="19">
        <v>902</v>
      </c>
      <c r="C221" s="24" t="s">
        <v>244</v>
      </c>
      <c r="D221" s="24" t="s">
        <v>118</v>
      </c>
      <c r="E221" s="24" t="s">
        <v>865</v>
      </c>
      <c r="F221" s="24"/>
      <c r="G221" s="463">
        <f t="shared" si="15"/>
        <v>9815.2999999999993</v>
      </c>
      <c r="H221" s="463">
        <f t="shared" si="15"/>
        <v>9815.2999999999993</v>
      </c>
      <c r="I221" s="204"/>
    </row>
    <row r="222" spans="1:9" ht="15.75" x14ac:dyDescent="0.25">
      <c r="A222" s="466" t="s">
        <v>246</v>
      </c>
      <c r="B222" s="16">
        <v>902</v>
      </c>
      <c r="C222" s="20" t="s">
        <v>244</v>
      </c>
      <c r="D222" s="20" t="s">
        <v>118</v>
      </c>
      <c r="E222" s="20" t="s">
        <v>881</v>
      </c>
      <c r="F222" s="20"/>
      <c r="G222" s="467">
        <f t="shared" si="15"/>
        <v>9815.2999999999993</v>
      </c>
      <c r="H222" s="467">
        <f t="shared" si="15"/>
        <v>9815.2999999999993</v>
      </c>
      <c r="I222" s="204"/>
    </row>
    <row r="223" spans="1:9" ht="22.7" customHeight="1" x14ac:dyDescent="0.25">
      <c r="A223" s="466" t="s">
        <v>248</v>
      </c>
      <c r="B223" s="16">
        <v>902</v>
      </c>
      <c r="C223" s="20" t="s">
        <v>244</v>
      </c>
      <c r="D223" s="20" t="s">
        <v>118</v>
      </c>
      <c r="E223" s="20" t="s">
        <v>881</v>
      </c>
      <c r="F223" s="20" t="s">
        <v>249</v>
      </c>
      <c r="G223" s="467">
        <f t="shared" si="15"/>
        <v>9815.2999999999993</v>
      </c>
      <c r="H223" s="467">
        <f t="shared" si="15"/>
        <v>9815.2999999999993</v>
      </c>
      <c r="I223" s="204"/>
    </row>
    <row r="224" spans="1:9" ht="31.5" x14ac:dyDescent="0.25">
      <c r="A224" s="466" t="s">
        <v>348</v>
      </c>
      <c r="B224" s="16">
        <v>902</v>
      </c>
      <c r="C224" s="20" t="s">
        <v>244</v>
      </c>
      <c r="D224" s="20" t="s">
        <v>118</v>
      </c>
      <c r="E224" s="20" t="s">
        <v>881</v>
      </c>
      <c r="F224" s="20" t="s">
        <v>349</v>
      </c>
      <c r="G224" s="467">
        <v>9815.2999999999993</v>
      </c>
      <c r="H224" s="467">
        <f t="shared" si="11"/>
        <v>9815.2999999999993</v>
      </c>
      <c r="I224" s="204"/>
    </row>
    <row r="225" spans="1:9" ht="15.75" x14ac:dyDescent="0.25">
      <c r="A225" s="464" t="s">
        <v>252</v>
      </c>
      <c r="B225" s="19">
        <v>902</v>
      </c>
      <c r="C225" s="24" t="s">
        <v>244</v>
      </c>
      <c r="D225" s="24" t="s">
        <v>215</v>
      </c>
      <c r="E225" s="20"/>
      <c r="F225" s="20"/>
      <c r="G225" s="463">
        <f>G226</f>
        <v>10</v>
      </c>
      <c r="H225" s="463">
        <f>H226</f>
        <v>10</v>
      </c>
      <c r="I225" s="204"/>
    </row>
    <row r="226" spans="1:9" ht="63" x14ac:dyDescent="0.25">
      <c r="A226" s="464" t="s">
        <v>1357</v>
      </c>
      <c r="B226" s="19">
        <v>902</v>
      </c>
      <c r="C226" s="24" t="s">
        <v>244</v>
      </c>
      <c r="D226" s="24" t="s">
        <v>215</v>
      </c>
      <c r="E226" s="24" t="s">
        <v>254</v>
      </c>
      <c r="F226" s="24"/>
      <c r="G226" s="463">
        <f>G227</f>
        <v>10</v>
      </c>
      <c r="H226" s="463">
        <f>H227</f>
        <v>10</v>
      </c>
      <c r="I226" s="204"/>
    </row>
    <row r="227" spans="1:9" ht="47.25" x14ac:dyDescent="0.25">
      <c r="A227" s="464" t="s">
        <v>884</v>
      </c>
      <c r="B227" s="19">
        <v>902</v>
      </c>
      <c r="C227" s="24" t="s">
        <v>244</v>
      </c>
      <c r="D227" s="24" t="s">
        <v>215</v>
      </c>
      <c r="E227" s="24" t="s">
        <v>882</v>
      </c>
      <c r="F227" s="24"/>
      <c r="G227" s="463">
        <f>G228+G231</f>
        <v>10</v>
      </c>
      <c r="H227" s="463">
        <f>H228+H231</f>
        <v>10</v>
      </c>
      <c r="I227" s="204"/>
    </row>
    <row r="228" spans="1:9" ht="31.5" x14ac:dyDescent="0.25">
      <c r="A228" s="466" t="s">
        <v>883</v>
      </c>
      <c r="B228" s="16">
        <v>902</v>
      </c>
      <c r="C228" s="20" t="s">
        <v>244</v>
      </c>
      <c r="D228" s="20" t="s">
        <v>215</v>
      </c>
      <c r="E228" s="20" t="s">
        <v>1193</v>
      </c>
      <c r="F228" s="20"/>
      <c r="G228" s="467">
        <f>G229</f>
        <v>10</v>
      </c>
      <c r="H228" s="467">
        <f>H229</f>
        <v>10</v>
      </c>
      <c r="I228" s="204"/>
    </row>
    <row r="229" spans="1:9" ht="19.5" customHeight="1" x14ac:dyDescent="0.25">
      <c r="A229" s="466" t="s">
        <v>248</v>
      </c>
      <c r="B229" s="16">
        <v>902</v>
      </c>
      <c r="C229" s="20" t="s">
        <v>244</v>
      </c>
      <c r="D229" s="20" t="s">
        <v>215</v>
      </c>
      <c r="E229" s="20" t="s">
        <v>1193</v>
      </c>
      <c r="F229" s="20" t="s">
        <v>249</v>
      </c>
      <c r="G229" s="467">
        <f>G230</f>
        <v>10</v>
      </c>
      <c r="H229" s="467">
        <f>H230</f>
        <v>10</v>
      </c>
      <c r="I229" s="204"/>
    </row>
    <row r="230" spans="1:9" ht="31.5" x14ac:dyDescent="0.25">
      <c r="A230" s="466" t="s">
        <v>250</v>
      </c>
      <c r="B230" s="16">
        <v>902</v>
      </c>
      <c r="C230" s="20" t="s">
        <v>244</v>
      </c>
      <c r="D230" s="20" t="s">
        <v>215</v>
      </c>
      <c r="E230" s="20" t="s">
        <v>1193</v>
      </c>
      <c r="F230" s="20" t="s">
        <v>251</v>
      </c>
      <c r="G230" s="467">
        <f>10</f>
        <v>10</v>
      </c>
      <c r="H230" s="467">
        <f t="shared" si="11"/>
        <v>10</v>
      </c>
      <c r="I230" s="204"/>
    </row>
    <row r="231" spans="1:9" s="203" customFormat="1" ht="63" hidden="1" x14ac:dyDescent="0.25">
      <c r="A231" s="466" t="s">
        <v>1192</v>
      </c>
      <c r="B231" s="16">
        <v>902</v>
      </c>
      <c r="C231" s="20" t="s">
        <v>244</v>
      </c>
      <c r="D231" s="20" t="s">
        <v>215</v>
      </c>
      <c r="E231" s="20" t="s">
        <v>1180</v>
      </c>
      <c r="F231" s="20"/>
      <c r="G231" s="467">
        <f>G232</f>
        <v>0</v>
      </c>
      <c r="H231" s="467">
        <f>H232</f>
        <v>0</v>
      </c>
      <c r="I231" s="204"/>
    </row>
    <row r="232" spans="1:9" s="203" customFormat="1" ht="20.25" hidden="1" customHeight="1" x14ac:dyDescent="0.25">
      <c r="A232" s="466" t="s">
        <v>248</v>
      </c>
      <c r="B232" s="16">
        <v>902</v>
      </c>
      <c r="C232" s="20" t="s">
        <v>244</v>
      </c>
      <c r="D232" s="20" t="s">
        <v>215</v>
      </c>
      <c r="E232" s="20" t="s">
        <v>1180</v>
      </c>
      <c r="F232" s="20" t="s">
        <v>249</v>
      </c>
      <c r="G232" s="467">
        <f>G233</f>
        <v>0</v>
      </c>
      <c r="H232" s="467">
        <f>H233</f>
        <v>0</v>
      </c>
      <c r="I232" s="204"/>
    </row>
    <row r="233" spans="1:9" s="203" customFormat="1" ht="31.5" hidden="1" x14ac:dyDescent="0.25">
      <c r="A233" s="466" t="s">
        <v>250</v>
      </c>
      <c r="B233" s="16">
        <v>902</v>
      </c>
      <c r="C233" s="20" t="s">
        <v>244</v>
      </c>
      <c r="D233" s="20" t="s">
        <v>215</v>
      </c>
      <c r="E233" s="20" t="s">
        <v>1180</v>
      </c>
      <c r="F233" s="20" t="s">
        <v>251</v>
      </c>
      <c r="G233" s="467">
        <v>0</v>
      </c>
      <c r="H233" s="467">
        <v>0</v>
      </c>
      <c r="I233" s="204"/>
    </row>
    <row r="234" spans="1:9" ht="15.75" x14ac:dyDescent="0.25">
      <c r="A234" s="464" t="s">
        <v>258</v>
      </c>
      <c r="B234" s="19">
        <v>902</v>
      </c>
      <c r="C234" s="24" t="s">
        <v>244</v>
      </c>
      <c r="D234" s="24" t="s">
        <v>120</v>
      </c>
      <c r="E234" s="24"/>
      <c r="F234" s="24"/>
      <c r="G234" s="463">
        <f t="shared" ref="G234:H236" si="16">G235</f>
        <v>3650.4</v>
      </c>
      <c r="H234" s="463">
        <f t="shared" si="16"/>
        <v>3606.4</v>
      </c>
      <c r="I234" s="204"/>
    </row>
    <row r="235" spans="1:9" ht="31.5" x14ac:dyDescent="0.25">
      <c r="A235" s="464" t="s">
        <v>917</v>
      </c>
      <c r="B235" s="19">
        <v>902</v>
      </c>
      <c r="C235" s="24" t="s">
        <v>244</v>
      </c>
      <c r="D235" s="24" t="s">
        <v>120</v>
      </c>
      <c r="E235" s="24" t="s">
        <v>858</v>
      </c>
      <c r="F235" s="24"/>
      <c r="G235" s="463">
        <f t="shared" si="16"/>
        <v>3650.4</v>
      </c>
      <c r="H235" s="463">
        <f t="shared" si="16"/>
        <v>3606.4</v>
      </c>
      <c r="I235" s="204"/>
    </row>
    <row r="236" spans="1:9" ht="31.5" x14ac:dyDescent="0.25">
      <c r="A236" s="464" t="s">
        <v>885</v>
      </c>
      <c r="B236" s="19">
        <v>902</v>
      </c>
      <c r="C236" s="24" t="s">
        <v>244</v>
      </c>
      <c r="D236" s="24" t="s">
        <v>120</v>
      </c>
      <c r="E236" s="24" t="s">
        <v>863</v>
      </c>
      <c r="F236" s="24"/>
      <c r="G236" s="463">
        <f t="shared" si="16"/>
        <v>3650.4</v>
      </c>
      <c r="H236" s="463">
        <f t="shared" si="16"/>
        <v>3606.4</v>
      </c>
      <c r="I236" s="204"/>
    </row>
    <row r="237" spans="1:9" ht="47.25" x14ac:dyDescent="0.25">
      <c r="A237" s="31" t="s">
        <v>259</v>
      </c>
      <c r="B237" s="16">
        <v>902</v>
      </c>
      <c r="C237" s="20" t="s">
        <v>244</v>
      </c>
      <c r="D237" s="20" t="s">
        <v>120</v>
      </c>
      <c r="E237" s="20" t="s">
        <v>925</v>
      </c>
      <c r="F237" s="20"/>
      <c r="G237" s="467">
        <f>G238+G240</f>
        <v>3650.4</v>
      </c>
      <c r="H237" s="467">
        <f>H238+H240</f>
        <v>3606.4</v>
      </c>
      <c r="I237" s="204"/>
    </row>
    <row r="238" spans="1:9" ht="78.75" x14ac:dyDescent="0.25">
      <c r="A238" s="466" t="s">
        <v>127</v>
      </c>
      <c r="B238" s="16">
        <v>902</v>
      </c>
      <c r="C238" s="20" t="s">
        <v>244</v>
      </c>
      <c r="D238" s="20" t="s">
        <v>120</v>
      </c>
      <c r="E238" s="20" t="s">
        <v>925</v>
      </c>
      <c r="F238" s="20" t="s">
        <v>128</v>
      </c>
      <c r="G238" s="467">
        <f>G239</f>
        <v>3249.8</v>
      </c>
      <c r="H238" s="467">
        <f>H239</f>
        <v>3205.8</v>
      </c>
      <c r="I238" s="204"/>
    </row>
    <row r="239" spans="1:9" ht="31.5" x14ac:dyDescent="0.25">
      <c r="A239" s="466" t="s">
        <v>129</v>
      </c>
      <c r="B239" s="16">
        <v>902</v>
      </c>
      <c r="C239" s="20" t="s">
        <v>244</v>
      </c>
      <c r="D239" s="20" t="s">
        <v>120</v>
      </c>
      <c r="E239" s="20" t="s">
        <v>925</v>
      </c>
      <c r="F239" s="20" t="s">
        <v>130</v>
      </c>
      <c r="G239" s="467">
        <v>3249.8</v>
      </c>
      <c r="H239" s="467">
        <v>3205.8</v>
      </c>
      <c r="I239" s="204"/>
    </row>
    <row r="240" spans="1:9" ht="31.5" x14ac:dyDescent="0.25">
      <c r="A240" s="466" t="s">
        <v>131</v>
      </c>
      <c r="B240" s="16">
        <v>902</v>
      </c>
      <c r="C240" s="20" t="s">
        <v>244</v>
      </c>
      <c r="D240" s="20" t="s">
        <v>120</v>
      </c>
      <c r="E240" s="20" t="s">
        <v>925</v>
      </c>
      <c r="F240" s="20" t="s">
        <v>132</v>
      </c>
      <c r="G240" s="467">
        <f>G241</f>
        <v>400.6</v>
      </c>
      <c r="H240" s="467">
        <f>H241</f>
        <v>400.6</v>
      </c>
      <c r="I240" s="204"/>
    </row>
    <row r="241" spans="1:12" ht="31.5" x14ac:dyDescent="0.25">
      <c r="A241" s="466" t="s">
        <v>133</v>
      </c>
      <c r="B241" s="16">
        <v>902</v>
      </c>
      <c r="C241" s="20" t="s">
        <v>244</v>
      </c>
      <c r="D241" s="20" t="s">
        <v>120</v>
      </c>
      <c r="E241" s="20" t="s">
        <v>925</v>
      </c>
      <c r="F241" s="20" t="s">
        <v>134</v>
      </c>
      <c r="G241" s="467">
        <v>400.6</v>
      </c>
      <c r="H241" s="467">
        <f t="shared" si="11"/>
        <v>400.6</v>
      </c>
      <c r="I241" s="204"/>
    </row>
    <row r="242" spans="1:12" ht="47.25" x14ac:dyDescent="0.25">
      <c r="A242" s="461" t="s">
        <v>261</v>
      </c>
      <c r="B242" s="19">
        <v>903</v>
      </c>
      <c r="C242" s="20"/>
      <c r="D242" s="20"/>
      <c r="E242" s="20"/>
      <c r="F242" s="20"/>
      <c r="G242" s="463">
        <f>G293+G357+G445+G243+G273+G468</f>
        <v>104757.7</v>
      </c>
      <c r="H242" s="463">
        <f>H293+H357+H445+H243+H273+H468</f>
        <v>107824.2</v>
      </c>
      <c r="I242" s="204"/>
    </row>
    <row r="243" spans="1:12" ht="15.75" x14ac:dyDescent="0.25">
      <c r="A243" s="464" t="s">
        <v>117</v>
      </c>
      <c r="B243" s="19">
        <v>903</v>
      </c>
      <c r="C243" s="24" t="s">
        <v>118</v>
      </c>
      <c r="D243" s="20"/>
      <c r="E243" s="20"/>
      <c r="F243" s="20"/>
      <c r="G243" s="463">
        <f>G244</f>
        <v>225</v>
      </c>
      <c r="H243" s="463">
        <f>H244</f>
        <v>625</v>
      </c>
      <c r="I243" s="204"/>
    </row>
    <row r="244" spans="1:12" ht="15.75" x14ac:dyDescent="0.25">
      <c r="A244" s="464" t="s">
        <v>139</v>
      </c>
      <c r="B244" s="19">
        <v>903</v>
      </c>
      <c r="C244" s="24" t="s">
        <v>118</v>
      </c>
      <c r="D244" s="24" t="s">
        <v>140</v>
      </c>
      <c r="E244" s="20"/>
      <c r="F244" s="20"/>
      <c r="G244" s="463">
        <f>G245+G251+G268</f>
        <v>225</v>
      </c>
      <c r="H244" s="463">
        <f>H245+H251+H268</f>
        <v>625</v>
      </c>
      <c r="I244" s="204"/>
    </row>
    <row r="245" spans="1:12" ht="47.25" x14ac:dyDescent="0.25">
      <c r="A245" s="464" t="s">
        <v>1377</v>
      </c>
      <c r="B245" s="19">
        <v>903</v>
      </c>
      <c r="C245" s="8" t="s">
        <v>118</v>
      </c>
      <c r="D245" s="8" t="s">
        <v>140</v>
      </c>
      <c r="E245" s="194" t="s">
        <v>344</v>
      </c>
      <c r="F245" s="8"/>
      <c r="G245" s="463">
        <f t="shared" ref="G245:H249" si="17">G246</f>
        <v>200</v>
      </c>
      <c r="H245" s="463">
        <f t="shared" si="17"/>
        <v>500</v>
      </c>
      <c r="I245" s="204"/>
      <c r="L245" s="231"/>
    </row>
    <row r="246" spans="1:12" ht="78.75" x14ac:dyDescent="0.25">
      <c r="A246" s="470" t="s">
        <v>1359</v>
      </c>
      <c r="B246" s="19">
        <v>903</v>
      </c>
      <c r="C246" s="7" t="s">
        <v>118</v>
      </c>
      <c r="D246" s="7" t="s">
        <v>140</v>
      </c>
      <c r="E246" s="7" t="s">
        <v>359</v>
      </c>
      <c r="F246" s="7"/>
      <c r="G246" s="463">
        <f t="shared" si="17"/>
        <v>200</v>
      </c>
      <c r="H246" s="463">
        <f t="shared" si="17"/>
        <v>500</v>
      </c>
      <c r="I246" s="204"/>
    </row>
    <row r="247" spans="1:12" ht="63" x14ac:dyDescent="0.25">
      <c r="A247" s="247" t="s">
        <v>1047</v>
      </c>
      <c r="B247" s="19">
        <v>903</v>
      </c>
      <c r="C247" s="7" t="s">
        <v>118</v>
      </c>
      <c r="D247" s="7" t="s">
        <v>140</v>
      </c>
      <c r="E247" s="7" t="s">
        <v>909</v>
      </c>
      <c r="F247" s="7"/>
      <c r="G247" s="463">
        <f t="shared" si="17"/>
        <v>200</v>
      </c>
      <c r="H247" s="463">
        <f t="shared" si="17"/>
        <v>500</v>
      </c>
      <c r="I247" s="204"/>
    </row>
    <row r="248" spans="1:12" ht="31.5" x14ac:dyDescent="0.25">
      <c r="A248" s="98" t="s">
        <v>1048</v>
      </c>
      <c r="B248" s="16">
        <v>903</v>
      </c>
      <c r="C248" s="40" t="s">
        <v>118</v>
      </c>
      <c r="D248" s="40" t="s">
        <v>140</v>
      </c>
      <c r="E248" s="40" t="s">
        <v>1203</v>
      </c>
      <c r="F248" s="40"/>
      <c r="G248" s="467">
        <f t="shared" si="17"/>
        <v>200</v>
      </c>
      <c r="H248" s="467">
        <f t="shared" si="17"/>
        <v>500</v>
      </c>
      <c r="I248" s="204"/>
    </row>
    <row r="249" spans="1:12" ht="31.5" x14ac:dyDescent="0.25">
      <c r="A249" s="29" t="s">
        <v>131</v>
      </c>
      <c r="B249" s="16">
        <v>903</v>
      </c>
      <c r="C249" s="40" t="s">
        <v>118</v>
      </c>
      <c r="D249" s="40" t="s">
        <v>140</v>
      </c>
      <c r="E249" s="40" t="s">
        <v>1203</v>
      </c>
      <c r="F249" s="40" t="s">
        <v>132</v>
      </c>
      <c r="G249" s="467">
        <f t="shared" si="17"/>
        <v>200</v>
      </c>
      <c r="H249" s="467">
        <f t="shared" si="17"/>
        <v>500</v>
      </c>
      <c r="I249" s="204"/>
    </row>
    <row r="250" spans="1:12" ht="31.5" x14ac:dyDescent="0.25">
      <c r="A250" s="29" t="s">
        <v>133</v>
      </c>
      <c r="B250" s="16">
        <v>903</v>
      </c>
      <c r="C250" s="40" t="s">
        <v>118</v>
      </c>
      <c r="D250" s="40" t="s">
        <v>140</v>
      </c>
      <c r="E250" s="40" t="s">
        <v>1203</v>
      </c>
      <c r="F250" s="40" t="s">
        <v>134</v>
      </c>
      <c r="G250" s="467">
        <v>200</v>
      </c>
      <c r="H250" s="467">
        <v>500</v>
      </c>
      <c r="I250" s="204"/>
    </row>
    <row r="251" spans="1:12" ht="47.25" x14ac:dyDescent="0.25">
      <c r="A251" s="464" t="s">
        <v>1360</v>
      </c>
      <c r="B251" s="19">
        <v>903</v>
      </c>
      <c r="C251" s="24" t="s">
        <v>118</v>
      </c>
      <c r="D251" s="24" t="s">
        <v>140</v>
      </c>
      <c r="E251" s="24" t="s">
        <v>335</v>
      </c>
      <c r="F251" s="24"/>
      <c r="G251" s="463">
        <f>G252</f>
        <v>20</v>
      </c>
      <c r="H251" s="463">
        <f>H252</f>
        <v>120</v>
      </c>
      <c r="I251" s="204"/>
    </row>
    <row r="252" spans="1:12" ht="31.5" x14ac:dyDescent="0.25">
      <c r="A252" s="464" t="s">
        <v>1052</v>
      </c>
      <c r="B252" s="19">
        <v>903</v>
      </c>
      <c r="C252" s="24" t="s">
        <v>118</v>
      </c>
      <c r="D252" s="24" t="s">
        <v>140</v>
      </c>
      <c r="E252" s="24" t="s">
        <v>1053</v>
      </c>
      <c r="F252" s="24"/>
      <c r="G252" s="463">
        <f>G253+G262+G256+G259+G265</f>
        <v>20</v>
      </c>
      <c r="H252" s="463">
        <f>H253+H262+H256+H259+H265</f>
        <v>120</v>
      </c>
      <c r="I252" s="204"/>
    </row>
    <row r="253" spans="1:12" ht="31.5" x14ac:dyDescent="0.25">
      <c r="A253" s="97" t="s">
        <v>336</v>
      </c>
      <c r="B253" s="16">
        <v>903</v>
      </c>
      <c r="C253" s="20" t="s">
        <v>118</v>
      </c>
      <c r="D253" s="20" t="s">
        <v>140</v>
      </c>
      <c r="E253" s="20" t="s">
        <v>1054</v>
      </c>
      <c r="F253" s="20"/>
      <c r="G253" s="467">
        <f>'Пр.4 ведом.21'!G273</f>
        <v>0</v>
      </c>
      <c r="H253" s="467">
        <f>H254</f>
        <v>100</v>
      </c>
      <c r="I253" s="204"/>
    </row>
    <row r="254" spans="1:12" ht="31.5" x14ac:dyDescent="0.25">
      <c r="A254" s="466" t="s">
        <v>131</v>
      </c>
      <c r="B254" s="16">
        <v>903</v>
      </c>
      <c r="C254" s="20" t="s">
        <v>118</v>
      </c>
      <c r="D254" s="20" t="s">
        <v>140</v>
      </c>
      <c r="E254" s="20" t="s">
        <v>1054</v>
      </c>
      <c r="F254" s="20" t="s">
        <v>132</v>
      </c>
      <c r="G254" s="467">
        <f>'Пр.4 ведом.21'!G274</f>
        <v>0</v>
      </c>
      <c r="H254" s="467">
        <f>H255</f>
        <v>100</v>
      </c>
      <c r="I254" s="204"/>
    </row>
    <row r="255" spans="1:12" ht="31.5" x14ac:dyDescent="0.25">
      <c r="A255" s="466" t="s">
        <v>133</v>
      </c>
      <c r="B255" s="16">
        <v>903</v>
      </c>
      <c r="C255" s="20" t="s">
        <v>118</v>
      </c>
      <c r="D255" s="20" t="s">
        <v>140</v>
      </c>
      <c r="E255" s="20" t="s">
        <v>1054</v>
      </c>
      <c r="F255" s="20" t="s">
        <v>134</v>
      </c>
      <c r="G255" s="467">
        <f>'Пр.4 ведом.21'!G275</f>
        <v>0</v>
      </c>
      <c r="H255" s="467">
        <v>100</v>
      </c>
      <c r="I255" s="204"/>
    </row>
    <row r="256" spans="1:12" ht="31.5" hidden="1" x14ac:dyDescent="0.25">
      <c r="A256" s="97" t="s">
        <v>336</v>
      </c>
      <c r="B256" s="16">
        <v>906</v>
      </c>
      <c r="C256" s="20" t="s">
        <v>118</v>
      </c>
      <c r="D256" s="20" t="s">
        <v>140</v>
      </c>
      <c r="E256" s="20" t="s">
        <v>1054</v>
      </c>
      <c r="F256" s="20"/>
      <c r="G256" s="467">
        <f>G257</f>
        <v>0</v>
      </c>
      <c r="H256" s="467">
        <f>H257</f>
        <v>0</v>
      </c>
      <c r="I256" s="204"/>
    </row>
    <row r="257" spans="1:9" ht="31.5" hidden="1" x14ac:dyDescent="0.25">
      <c r="A257" s="466" t="s">
        <v>131</v>
      </c>
      <c r="B257" s="16">
        <v>906</v>
      </c>
      <c r="C257" s="20" t="s">
        <v>118</v>
      </c>
      <c r="D257" s="20" t="s">
        <v>140</v>
      </c>
      <c r="E257" s="20" t="s">
        <v>1054</v>
      </c>
      <c r="F257" s="20" t="s">
        <v>132</v>
      </c>
      <c r="G257" s="467">
        <f>G258</f>
        <v>0</v>
      </c>
      <c r="H257" s="467">
        <f>H258</f>
        <v>0</v>
      </c>
      <c r="I257" s="204"/>
    </row>
    <row r="258" spans="1:9" ht="31.5" hidden="1" x14ac:dyDescent="0.25">
      <c r="A258" s="466" t="s">
        <v>133</v>
      </c>
      <c r="B258" s="16">
        <v>906</v>
      </c>
      <c r="C258" s="20" t="s">
        <v>118</v>
      </c>
      <c r="D258" s="20" t="s">
        <v>140</v>
      </c>
      <c r="E258" s="20" t="s">
        <v>1054</v>
      </c>
      <c r="F258" s="20" t="s">
        <v>134</v>
      </c>
      <c r="G258" s="467">
        <v>0</v>
      </c>
      <c r="H258" s="467">
        <v>0</v>
      </c>
      <c r="I258" s="204"/>
    </row>
    <row r="259" spans="1:9" ht="15.75" hidden="1" x14ac:dyDescent="0.25">
      <c r="A259" s="466" t="s">
        <v>994</v>
      </c>
      <c r="B259" s="16">
        <v>903</v>
      </c>
      <c r="C259" s="20" t="s">
        <v>118</v>
      </c>
      <c r="D259" s="20" t="s">
        <v>140</v>
      </c>
      <c r="E259" s="20" t="s">
        <v>1057</v>
      </c>
      <c r="F259" s="20"/>
      <c r="G259" s="467">
        <f>'Пр.4 ведом.21'!G282</f>
        <v>0</v>
      </c>
      <c r="H259" s="467">
        <f t="shared" ref="H259:H299" si="18">G259</f>
        <v>0</v>
      </c>
      <c r="I259" s="204"/>
    </row>
    <row r="260" spans="1:9" ht="31.5" hidden="1" x14ac:dyDescent="0.25">
      <c r="A260" s="466" t="s">
        <v>131</v>
      </c>
      <c r="B260" s="16">
        <v>903</v>
      </c>
      <c r="C260" s="20" t="s">
        <v>118</v>
      </c>
      <c r="D260" s="20" t="s">
        <v>140</v>
      </c>
      <c r="E260" s="20" t="s">
        <v>1057</v>
      </c>
      <c r="F260" s="20" t="s">
        <v>132</v>
      </c>
      <c r="G260" s="467">
        <f>'Пр.4 ведом.21'!G283</f>
        <v>0</v>
      </c>
      <c r="H260" s="467">
        <f t="shared" si="18"/>
        <v>0</v>
      </c>
      <c r="I260" s="204"/>
    </row>
    <row r="261" spans="1:9" ht="31.5" hidden="1" x14ac:dyDescent="0.25">
      <c r="A261" s="466" t="s">
        <v>133</v>
      </c>
      <c r="B261" s="16">
        <v>903</v>
      </c>
      <c r="C261" s="20" t="s">
        <v>118</v>
      </c>
      <c r="D261" s="20" t="s">
        <v>140</v>
      </c>
      <c r="E261" s="20" t="s">
        <v>1057</v>
      </c>
      <c r="F261" s="20" t="s">
        <v>134</v>
      </c>
      <c r="G261" s="467">
        <f>'Пр.4 ведом.21'!G284</f>
        <v>0</v>
      </c>
      <c r="H261" s="467">
        <f t="shared" si="18"/>
        <v>0</v>
      </c>
      <c r="I261" s="204"/>
    </row>
    <row r="262" spans="1:9" s="203" customFormat="1" ht="31.5" x14ac:dyDescent="0.25">
      <c r="A262" s="466" t="s">
        <v>338</v>
      </c>
      <c r="B262" s="16">
        <v>903</v>
      </c>
      <c r="C262" s="20" t="s">
        <v>118</v>
      </c>
      <c r="D262" s="20" t="s">
        <v>140</v>
      </c>
      <c r="E262" s="20" t="s">
        <v>1055</v>
      </c>
      <c r="F262" s="20"/>
      <c r="G262" s="467">
        <f>G263</f>
        <v>20</v>
      </c>
      <c r="H262" s="467">
        <f>H263</f>
        <v>20</v>
      </c>
      <c r="I262" s="204"/>
    </row>
    <row r="263" spans="1:9" s="203" customFormat="1" ht="31.5" x14ac:dyDescent="0.25">
      <c r="A263" s="466" t="s">
        <v>131</v>
      </c>
      <c r="B263" s="16">
        <v>903</v>
      </c>
      <c r="C263" s="20" t="s">
        <v>118</v>
      </c>
      <c r="D263" s="20" t="s">
        <v>140</v>
      </c>
      <c r="E263" s="20" t="s">
        <v>1055</v>
      </c>
      <c r="F263" s="20" t="s">
        <v>132</v>
      </c>
      <c r="G263" s="467">
        <f>G264</f>
        <v>20</v>
      </c>
      <c r="H263" s="467">
        <f>H264</f>
        <v>20</v>
      </c>
      <c r="I263" s="204"/>
    </row>
    <row r="264" spans="1:9" s="203" customFormat="1" ht="31.5" x14ac:dyDescent="0.25">
      <c r="A264" s="466" t="s">
        <v>133</v>
      </c>
      <c r="B264" s="16">
        <v>903</v>
      </c>
      <c r="C264" s="20" t="s">
        <v>118</v>
      </c>
      <c r="D264" s="20" t="s">
        <v>140</v>
      </c>
      <c r="E264" s="20" t="s">
        <v>1055</v>
      </c>
      <c r="F264" s="20" t="s">
        <v>134</v>
      </c>
      <c r="G264" s="467">
        <v>20</v>
      </c>
      <c r="H264" s="467">
        <v>20</v>
      </c>
      <c r="I264" s="204"/>
    </row>
    <row r="265" spans="1:9" ht="31.5" hidden="1" x14ac:dyDescent="0.25">
      <c r="A265" s="31" t="s">
        <v>772</v>
      </c>
      <c r="B265" s="16">
        <v>903</v>
      </c>
      <c r="C265" s="20" t="s">
        <v>118</v>
      </c>
      <c r="D265" s="20" t="s">
        <v>140</v>
      </c>
      <c r="E265" s="20" t="s">
        <v>1058</v>
      </c>
      <c r="F265" s="20"/>
      <c r="G265" s="467">
        <f>G266</f>
        <v>0</v>
      </c>
      <c r="H265" s="467">
        <f>H266</f>
        <v>0</v>
      </c>
      <c r="I265" s="204"/>
    </row>
    <row r="266" spans="1:9" ht="31.5" hidden="1" x14ac:dyDescent="0.25">
      <c r="A266" s="466" t="s">
        <v>131</v>
      </c>
      <c r="B266" s="16">
        <v>903</v>
      </c>
      <c r="C266" s="20" t="s">
        <v>118</v>
      </c>
      <c r="D266" s="20" t="s">
        <v>140</v>
      </c>
      <c r="E266" s="20" t="s">
        <v>1058</v>
      </c>
      <c r="F266" s="20" t="s">
        <v>132</v>
      </c>
      <c r="G266" s="467">
        <f>G267</f>
        <v>0</v>
      </c>
      <c r="H266" s="467">
        <f>H267</f>
        <v>0</v>
      </c>
      <c r="I266" s="204"/>
    </row>
    <row r="267" spans="1:9" ht="31.5" hidden="1" x14ac:dyDescent="0.25">
      <c r="A267" s="466" t="s">
        <v>133</v>
      </c>
      <c r="B267" s="16">
        <v>903</v>
      </c>
      <c r="C267" s="20" t="s">
        <v>118</v>
      </c>
      <c r="D267" s="20" t="s">
        <v>140</v>
      </c>
      <c r="E267" s="20" t="s">
        <v>1058</v>
      </c>
      <c r="F267" s="20" t="s">
        <v>134</v>
      </c>
      <c r="G267" s="467">
        <v>0</v>
      </c>
      <c r="H267" s="467">
        <f t="shared" si="18"/>
        <v>0</v>
      </c>
      <c r="I267" s="204"/>
    </row>
    <row r="268" spans="1:9" ht="47.25" x14ac:dyDescent="0.25">
      <c r="A268" s="470" t="s">
        <v>1363</v>
      </c>
      <c r="B268" s="19">
        <v>903</v>
      </c>
      <c r="C268" s="24" t="s">
        <v>118</v>
      </c>
      <c r="D268" s="24" t="s">
        <v>140</v>
      </c>
      <c r="E268" s="24" t="s">
        <v>705</v>
      </c>
      <c r="F268" s="24"/>
      <c r="G268" s="463">
        <f>G270</f>
        <v>5</v>
      </c>
      <c r="H268" s="463">
        <f>H270</f>
        <v>5</v>
      </c>
      <c r="I268" s="204"/>
    </row>
    <row r="269" spans="1:9" ht="47.25" x14ac:dyDescent="0.25">
      <c r="A269" s="210" t="s">
        <v>846</v>
      </c>
      <c r="B269" s="19">
        <v>903</v>
      </c>
      <c r="C269" s="24" t="s">
        <v>118</v>
      </c>
      <c r="D269" s="24" t="s">
        <v>140</v>
      </c>
      <c r="E269" s="24" t="s">
        <v>852</v>
      </c>
      <c r="F269" s="24"/>
      <c r="G269" s="463">
        <f t="shared" ref="G269:H271" si="19">G270</f>
        <v>5</v>
      </c>
      <c r="H269" s="463">
        <f t="shared" si="19"/>
        <v>5</v>
      </c>
      <c r="I269" s="204"/>
    </row>
    <row r="270" spans="1:9" ht="31.5" x14ac:dyDescent="0.25">
      <c r="A270" s="98" t="s">
        <v>776</v>
      </c>
      <c r="B270" s="16">
        <v>903</v>
      </c>
      <c r="C270" s="20" t="s">
        <v>118</v>
      </c>
      <c r="D270" s="20" t="s">
        <v>140</v>
      </c>
      <c r="E270" s="20" t="s">
        <v>847</v>
      </c>
      <c r="F270" s="20"/>
      <c r="G270" s="467">
        <f t="shared" si="19"/>
        <v>5</v>
      </c>
      <c r="H270" s="467">
        <f t="shared" si="19"/>
        <v>5</v>
      </c>
      <c r="I270" s="204"/>
    </row>
    <row r="271" spans="1:9" ht="31.5" x14ac:dyDescent="0.25">
      <c r="A271" s="466" t="s">
        <v>131</v>
      </c>
      <c r="B271" s="16">
        <v>903</v>
      </c>
      <c r="C271" s="20" t="s">
        <v>118</v>
      </c>
      <c r="D271" s="20" t="s">
        <v>140</v>
      </c>
      <c r="E271" s="20" t="s">
        <v>847</v>
      </c>
      <c r="F271" s="20" t="s">
        <v>132</v>
      </c>
      <c r="G271" s="467">
        <f t="shared" si="19"/>
        <v>5</v>
      </c>
      <c r="H271" s="467">
        <f t="shared" si="19"/>
        <v>5</v>
      </c>
      <c r="I271" s="204"/>
    </row>
    <row r="272" spans="1:9" ht="31.5" x14ac:dyDescent="0.25">
      <c r="A272" s="466" t="s">
        <v>133</v>
      </c>
      <c r="B272" s="16">
        <v>903</v>
      </c>
      <c r="C272" s="20" t="s">
        <v>118</v>
      </c>
      <c r="D272" s="20" t="s">
        <v>140</v>
      </c>
      <c r="E272" s="20" t="s">
        <v>847</v>
      </c>
      <c r="F272" s="20" t="s">
        <v>134</v>
      </c>
      <c r="G272" s="467">
        <f>5</f>
        <v>5</v>
      </c>
      <c r="H272" s="467">
        <f t="shared" si="18"/>
        <v>5</v>
      </c>
      <c r="I272" s="204"/>
    </row>
    <row r="273" spans="1:9" ht="15.75" x14ac:dyDescent="0.25">
      <c r="A273" s="216" t="s">
        <v>232</v>
      </c>
      <c r="B273" s="19">
        <v>903</v>
      </c>
      <c r="C273" s="24" t="s">
        <v>150</v>
      </c>
      <c r="D273" s="20"/>
      <c r="E273" s="20"/>
      <c r="F273" s="32"/>
      <c r="G273" s="463">
        <f t="shared" ref="G273:H275" si="20">G274</f>
        <v>260</v>
      </c>
      <c r="H273" s="463">
        <f t="shared" si="20"/>
        <v>260</v>
      </c>
      <c r="I273" s="204"/>
    </row>
    <row r="274" spans="1:9" ht="31.5" x14ac:dyDescent="0.25">
      <c r="A274" s="464" t="s">
        <v>237</v>
      </c>
      <c r="B274" s="19">
        <v>903</v>
      </c>
      <c r="C274" s="24" t="s">
        <v>150</v>
      </c>
      <c r="D274" s="24" t="s">
        <v>238</v>
      </c>
      <c r="E274" s="20"/>
      <c r="F274" s="32"/>
      <c r="G274" s="463">
        <f t="shared" si="20"/>
        <v>260</v>
      </c>
      <c r="H274" s="463">
        <f t="shared" si="20"/>
        <v>260</v>
      </c>
      <c r="I274" s="204"/>
    </row>
    <row r="275" spans="1:9" ht="47.25" x14ac:dyDescent="0.25">
      <c r="A275" s="464" t="s">
        <v>1377</v>
      </c>
      <c r="B275" s="19">
        <v>903</v>
      </c>
      <c r="C275" s="24" t="s">
        <v>150</v>
      </c>
      <c r="D275" s="24" t="s">
        <v>238</v>
      </c>
      <c r="E275" s="24" t="s">
        <v>344</v>
      </c>
      <c r="F275" s="221"/>
      <c r="G275" s="463">
        <f t="shared" si="20"/>
        <v>260</v>
      </c>
      <c r="H275" s="463">
        <f t="shared" si="20"/>
        <v>260</v>
      </c>
      <c r="I275" s="204"/>
    </row>
    <row r="276" spans="1:9" ht="64.5" customHeight="1" x14ac:dyDescent="0.25">
      <c r="A276" s="464" t="s">
        <v>367</v>
      </c>
      <c r="B276" s="19">
        <v>903</v>
      </c>
      <c r="C276" s="24" t="s">
        <v>150</v>
      </c>
      <c r="D276" s="24" t="s">
        <v>238</v>
      </c>
      <c r="E276" s="24" t="s">
        <v>356</v>
      </c>
      <c r="F276" s="24"/>
      <c r="G276" s="463">
        <f>G277+G281+G285+G289</f>
        <v>260</v>
      </c>
      <c r="H276" s="463">
        <f>H277+H281+H285+H289</f>
        <v>260</v>
      </c>
      <c r="I276" s="204"/>
    </row>
    <row r="277" spans="1:9" ht="47.25" hidden="1" x14ac:dyDescent="0.25">
      <c r="A277" s="214" t="s">
        <v>1045</v>
      </c>
      <c r="B277" s="19">
        <v>903</v>
      </c>
      <c r="C277" s="24" t="s">
        <v>150</v>
      </c>
      <c r="D277" s="24" t="s">
        <v>238</v>
      </c>
      <c r="E277" s="24" t="s">
        <v>907</v>
      </c>
      <c r="F277" s="24"/>
      <c r="G277" s="463">
        <f>G278</f>
        <v>0</v>
      </c>
      <c r="H277" s="463">
        <f>H278</f>
        <v>0</v>
      </c>
      <c r="I277" s="204"/>
    </row>
    <row r="278" spans="1:9" ht="47.25" hidden="1" x14ac:dyDescent="0.25">
      <c r="A278" s="466" t="s">
        <v>375</v>
      </c>
      <c r="B278" s="16">
        <v>903</v>
      </c>
      <c r="C278" s="20" t="s">
        <v>150</v>
      </c>
      <c r="D278" s="20" t="s">
        <v>238</v>
      </c>
      <c r="E278" s="20" t="s">
        <v>1323</v>
      </c>
      <c r="F278" s="20"/>
      <c r="G278" s="467">
        <f>'Пр.4 ведом.21'!G303</f>
        <v>0</v>
      </c>
      <c r="H278" s="467">
        <f t="shared" si="18"/>
        <v>0</v>
      </c>
      <c r="I278" s="204"/>
    </row>
    <row r="279" spans="1:9" ht="31.5" hidden="1" x14ac:dyDescent="0.25">
      <c r="A279" s="466" t="s">
        <v>248</v>
      </c>
      <c r="B279" s="16">
        <v>903</v>
      </c>
      <c r="C279" s="20" t="s">
        <v>150</v>
      </c>
      <c r="D279" s="20" t="s">
        <v>238</v>
      </c>
      <c r="E279" s="20" t="s">
        <v>1323</v>
      </c>
      <c r="F279" s="20" t="s">
        <v>249</v>
      </c>
      <c r="G279" s="467">
        <f>'Пр.4 ведом.21'!G304</f>
        <v>0</v>
      </c>
      <c r="H279" s="467">
        <f t="shared" si="18"/>
        <v>0</v>
      </c>
      <c r="I279" s="204"/>
    </row>
    <row r="280" spans="1:9" ht="31.5" hidden="1" x14ac:dyDescent="0.25">
      <c r="A280" s="466" t="s">
        <v>250</v>
      </c>
      <c r="B280" s="16">
        <v>903</v>
      </c>
      <c r="C280" s="20" t="s">
        <v>150</v>
      </c>
      <c r="D280" s="20" t="s">
        <v>238</v>
      </c>
      <c r="E280" s="20" t="s">
        <v>1323</v>
      </c>
      <c r="F280" s="20" t="s">
        <v>251</v>
      </c>
      <c r="G280" s="467">
        <f>'Пр.4 ведом.21'!G305</f>
        <v>0</v>
      </c>
      <c r="H280" s="467">
        <f t="shared" si="18"/>
        <v>0</v>
      </c>
      <c r="I280" s="204"/>
    </row>
    <row r="281" spans="1:9" ht="31.5" x14ac:dyDescent="0.25">
      <c r="A281" s="464" t="s">
        <v>1043</v>
      </c>
      <c r="B281" s="19">
        <v>903</v>
      </c>
      <c r="C281" s="24" t="s">
        <v>150</v>
      </c>
      <c r="D281" s="24" t="s">
        <v>238</v>
      </c>
      <c r="E281" s="24" t="s">
        <v>1204</v>
      </c>
      <c r="F281" s="24"/>
      <c r="G281" s="463">
        <f t="shared" ref="G281:H283" si="21">G282</f>
        <v>260</v>
      </c>
      <c r="H281" s="463">
        <f t="shared" si="21"/>
        <v>260</v>
      </c>
      <c r="I281" s="204"/>
    </row>
    <row r="282" spans="1:9" ht="110.25" x14ac:dyDescent="0.25">
      <c r="A282" s="466" t="s">
        <v>1517</v>
      </c>
      <c r="B282" s="16">
        <v>903</v>
      </c>
      <c r="C282" s="20" t="s">
        <v>150</v>
      </c>
      <c r="D282" s="20" t="s">
        <v>238</v>
      </c>
      <c r="E282" s="20" t="s">
        <v>1205</v>
      </c>
      <c r="F282" s="20"/>
      <c r="G282" s="467">
        <f t="shared" si="21"/>
        <v>260</v>
      </c>
      <c r="H282" s="467">
        <f t="shared" si="21"/>
        <v>260</v>
      </c>
      <c r="I282" s="204"/>
    </row>
    <row r="283" spans="1:9" ht="31.5" x14ac:dyDescent="0.25">
      <c r="A283" s="466" t="s">
        <v>272</v>
      </c>
      <c r="B283" s="16">
        <v>903</v>
      </c>
      <c r="C283" s="20" t="s">
        <v>150</v>
      </c>
      <c r="D283" s="20" t="s">
        <v>238</v>
      </c>
      <c r="E283" s="20" t="s">
        <v>1205</v>
      </c>
      <c r="F283" s="20" t="s">
        <v>273</v>
      </c>
      <c r="G283" s="467">
        <f t="shared" si="21"/>
        <v>260</v>
      </c>
      <c r="H283" s="467">
        <f t="shared" si="21"/>
        <v>260</v>
      </c>
      <c r="I283" s="204"/>
    </row>
    <row r="284" spans="1:9" ht="63" x14ac:dyDescent="0.25">
      <c r="A284" s="466" t="s">
        <v>1093</v>
      </c>
      <c r="B284" s="16">
        <v>903</v>
      </c>
      <c r="C284" s="20" t="s">
        <v>150</v>
      </c>
      <c r="D284" s="20" t="s">
        <v>238</v>
      </c>
      <c r="E284" s="20" t="s">
        <v>1205</v>
      </c>
      <c r="F284" s="20" t="s">
        <v>372</v>
      </c>
      <c r="G284" s="467">
        <f>60+200</f>
        <v>260</v>
      </c>
      <c r="H284" s="467">
        <f t="shared" si="18"/>
        <v>260</v>
      </c>
      <c r="I284" s="204"/>
    </row>
    <row r="285" spans="1:9" ht="31.5" hidden="1" x14ac:dyDescent="0.25">
      <c r="A285" s="464" t="s">
        <v>995</v>
      </c>
      <c r="B285" s="19">
        <v>903</v>
      </c>
      <c r="C285" s="24" t="s">
        <v>150</v>
      </c>
      <c r="D285" s="24" t="s">
        <v>238</v>
      </c>
      <c r="E285" s="24" t="s">
        <v>1315</v>
      </c>
      <c r="F285" s="24"/>
      <c r="G285" s="463">
        <f>G286</f>
        <v>0</v>
      </c>
      <c r="H285" s="463">
        <f>H286</f>
        <v>0</v>
      </c>
      <c r="I285" s="204"/>
    </row>
    <row r="286" spans="1:9" ht="31.5" hidden="1" x14ac:dyDescent="0.25">
      <c r="A286" s="249" t="s">
        <v>1046</v>
      </c>
      <c r="B286" s="16">
        <v>903</v>
      </c>
      <c r="C286" s="20" t="s">
        <v>150</v>
      </c>
      <c r="D286" s="20" t="s">
        <v>238</v>
      </c>
      <c r="E286" s="20" t="s">
        <v>1316</v>
      </c>
      <c r="F286" s="20"/>
      <c r="G286" s="467">
        <f>'Пр.4 ведом.21'!G311</f>
        <v>0</v>
      </c>
      <c r="H286" s="467">
        <f t="shared" si="18"/>
        <v>0</v>
      </c>
      <c r="I286" s="204"/>
    </row>
    <row r="287" spans="1:9" ht="31.5" hidden="1" x14ac:dyDescent="0.25">
      <c r="A287" s="466" t="s">
        <v>131</v>
      </c>
      <c r="B287" s="16">
        <v>903</v>
      </c>
      <c r="C287" s="20" t="s">
        <v>150</v>
      </c>
      <c r="D287" s="20" t="s">
        <v>238</v>
      </c>
      <c r="E287" s="20" t="s">
        <v>1316</v>
      </c>
      <c r="F287" s="20" t="s">
        <v>132</v>
      </c>
      <c r="G287" s="467">
        <f>'Пр.4 ведом.21'!G312</f>
        <v>0</v>
      </c>
      <c r="H287" s="467">
        <f t="shared" si="18"/>
        <v>0</v>
      </c>
      <c r="I287" s="204"/>
    </row>
    <row r="288" spans="1:9" ht="31.5" hidden="1" x14ac:dyDescent="0.25">
      <c r="A288" s="466" t="s">
        <v>133</v>
      </c>
      <c r="B288" s="16">
        <v>903</v>
      </c>
      <c r="C288" s="20" t="s">
        <v>150</v>
      </c>
      <c r="D288" s="20" t="s">
        <v>238</v>
      </c>
      <c r="E288" s="20" t="s">
        <v>1316</v>
      </c>
      <c r="F288" s="20" t="s">
        <v>134</v>
      </c>
      <c r="G288" s="467">
        <f>'Пр.4 ведом.21'!G313</f>
        <v>0</v>
      </c>
      <c r="H288" s="467">
        <f t="shared" si="18"/>
        <v>0</v>
      </c>
      <c r="I288" s="204"/>
    </row>
    <row r="289" spans="1:9" s="203" customFormat="1" ht="31.5" hidden="1" x14ac:dyDescent="0.25">
      <c r="A289" s="473" t="s">
        <v>1106</v>
      </c>
      <c r="B289" s="19">
        <v>903</v>
      </c>
      <c r="C289" s="24" t="s">
        <v>150</v>
      </c>
      <c r="D289" s="24" t="s">
        <v>238</v>
      </c>
      <c r="E289" s="24" t="s">
        <v>1206</v>
      </c>
      <c r="F289" s="24"/>
      <c r="G289" s="463">
        <f t="shared" ref="G289:H291" si="22">G290</f>
        <v>0</v>
      </c>
      <c r="H289" s="463">
        <f t="shared" si="22"/>
        <v>0</v>
      </c>
      <c r="I289" s="204"/>
    </row>
    <row r="290" spans="1:9" s="203" customFormat="1" ht="31.5" hidden="1" x14ac:dyDescent="0.25">
      <c r="A290" s="230" t="s">
        <v>1107</v>
      </c>
      <c r="B290" s="16">
        <v>903</v>
      </c>
      <c r="C290" s="20" t="s">
        <v>150</v>
      </c>
      <c r="D290" s="20" t="s">
        <v>238</v>
      </c>
      <c r="E290" s="20" t="s">
        <v>1207</v>
      </c>
      <c r="F290" s="20"/>
      <c r="G290" s="467">
        <f t="shared" si="22"/>
        <v>0</v>
      </c>
      <c r="H290" s="467">
        <f t="shared" si="22"/>
        <v>0</v>
      </c>
      <c r="I290" s="204"/>
    </row>
    <row r="291" spans="1:9" s="203" customFormat="1" ht="31.5" hidden="1" x14ac:dyDescent="0.25">
      <c r="A291" s="466" t="s">
        <v>131</v>
      </c>
      <c r="B291" s="16">
        <v>903</v>
      </c>
      <c r="C291" s="20" t="s">
        <v>150</v>
      </c>
      <c r="D291" s="20" t="s">
        <v>238</v>
      </c>
      <c r="E291" s="20" t="s">
        <v>1207</v>
      </c>
      <c r="F291" s="20" t="s">
        <v>132</v>
      </c>
      <c r="G291" s="467">
        <f t="shared" si="22"/>
        <v>0</v>
      </c>
      <c r="H291" s="467">
        <f t="shared" si="22"/>
        <v>0</v>
      </c>
      <c r="I291" s="204"/>
    </row>
    <row r="292" spans="1:9" s="203" customFormat="1" ht="31.5" hidden="1" x14ac:dyDescent="0.25">
      <c r="A292" s="466" t="s">
        <v>133</v>
      </c>
      <c r="B292" s="16">
        <v>903</v>
      </c>
      <c r="C292" s="20" t="s">
        <v>150</v>
      </c>
      <c r="D292" s="20" t="s">
        <v>238</v>
      </c>
      <c r="E292" s="20" t="s">
        <v>1207</v>
      </c>
      <c r="F292" s="20" t="s">
        <v>134</v>
      </c>
      <c r="G292" s="467">
        <v>0</v>
      </c>
      <c r="H292" s="467">
        <v>0</v>
      </c>
      <c r="I292" s="204"/>
    </row>
    <row r="293" spans="1:9" ht="15.75" x14ac:dyDescent="0.25">
      <c r="A293" s="464" t="s">
        <v>263</v>
      </c>
      <c r="B293" s="19">
        <v>903</v>
      </c>
      <c r="C293" s="24" t="s">
        <v>264</v>
      </c>
      <c r="D293" s="20"/>
      <c r="E293" s="20"/>
      <c r="F293" s="20"/>
      <c r="G293" s="463">
        <f>G294+G337</f>
        <v>19986.610000000004</v>
      </c>
      <c r="H293" s="463">
        <f>H294+H337</f>
        <v>20065.210000000003</v>
      </c>
      <c r="I293" s="204"/>
    </row>
    <row r="294" spans="1:9" ht="15.75" x14ac:dyDescent="0.25">
      <c r="A294" s="464" t="s">
        <v>265</v>
      </c>
      <c r="B294" s="19">
        <v>903</v>
      </c>
      <c r="C294" s="24" t="s">
        <v>264</v>
      </c>
      <c r="D294" s="24" t="s">
        <v>215</v>
      </c>
      <c r="E294" s="24"/>
      <c r="F294" s="24"/>
      <c r="G294" s="463">
        <f>G295+G332+G327</f>
        <v>19226.610000000004</v>
      </c>
      <c r="H294" s="463">
        <f>H295+H332+H327</f>
        <v>19240.210000000003</v>
      </c>
      <c r="I294" s="204"/>
    </row>
    <row r="295" spans="1:9" ht="31.5" x14ac:dyDescent="0.25">
      <c r="A295" s="464" t="s">
        <v>1362</v>
      </c>
      <c r="B295" s="19">
        <v>903</v>
      </c>
      <c r="C295" s="24" t="s">
        <v>264</v>
      </c>
      <c r="D295" s="24" t="s">
        <v>215</v>
      </c>
      <c r="E295" s="24" t="s">
        <v>267</v>
      </c>
      <c r="F295" s="24"/>
      <c r="G295" s="463">
        <f>G296+G304+G313+G317</f>
        <v>18730.410000000003</v>
      </c>
      <c r="H295" s="463">
        <f>H296+H304+H313+H317</f>
        <v>18730.410000000003</v>
      </c>
      <c r="I295" s="204"/>
    </row>
    <row r="296" spans="1:9" ht="36" customHeight="1" x14ac:dyDescent="0.25">
      <c r="A296" s="464" t="s">
        <v>895</v>
      </c>
      <c r="B296" s="19">
        <v>903</v>
      </c>
      <c r="C296" s="24" t="s">
        <v>264</v>
      </c>
      <c r="D296" s="24" t="s">
        <v>215</v>
      </c>
      <c r="E296" s="24" t="s">
        <v>1208</v>
      </c>
      <c r="F296" s="24"/>
      <c r="G296" s="44">
        <f>G297</f>
        <v>15854.01</v>
      </c>
      <c r="H296" s="44">
        <f>H297</f>
        <v>15854.01</v>
      </c>
      <c r="I296" s="204"/>
    </row>
    <row r="297" spans="1:9" ht="15.75" x14ac:dyDescent="0.25">
      <c r="A297" s="466" t="s">
        <v>800</v>
      </c>
      <c r="B297" s="16">
        <v>903</v>
      </c>
      <c r="C297" s="20" t="s">
        <v>264</v>
      </c>
      <c r="D297" s="20" t="s">
        <v>215</v>
      </c>
      <c r="E297" s="20" t="s">
        <v>1209</v>
      </c>
      <c r="F297" s="20"/>
      <c r="G297" s="467">
        <f>G298+G300+G303</f>
        <v>15854.01</v>
      </c>
      <c r="H297" s="467">
        <f>H298+H300+H303</f>
        <v>15854.01</v>
      </c>
      <c r="I297" s="204"/>
    </row>
    <row r="298" spans="1:9" ht="78.75" x14ac:dyDescent="0.25">
      <c r="A298" s="466" t="s">
        <v>127</v>
      </c>
      <c r="B298" s="16">
        <v>903</v>
      </c>
      <c r="C298" s="20" t="s">
        <v>264</v>
      </c>
      <c r="D298" s="20" t="s">
        <v>215</v>
      </c>
      <c r="E298" s="20" t="s">
        <v>1209</v>
      </c>
      <c r="F298" s="20" t="s">
        <v>128</v>
      </c>
      <c r="G298" s="467">
        <f>G299</f>
        <v>14172.31</v>
      </c>
      <c r="H298" s="467">
        <f>H299</f>
        <v>14172.31</v>
      </c>
      <c r="I298" s="204"/>
    </row>
    <row r="299" spans="1:9" ht="21.2" customHeight="1" x14ac:dyDescent="0.25">
      <c r="A299" s="46" t="s">
        <v>342</v>
      </c>
      <c r="B299" s="16">
        <v>903</v>
      </c>
      <c r="C299" s="20" t="s">
        <v>264</v>
      </c>
      <c r="D299" s="20" t="s">
        <v>215</v>
      </c>
      <c r="E299" s="20" t="s">
        <v>1209</v>
      </c>
      <c r="F299" s="20" t="s">
        <v>209</v>
      </c>
      <c r="G299" s="467">
        <v>14172.31</v>
      </c>
      <c r="H299" s="467">
        <f t="shared" si="18"/>
        <v>14172.31</v>
      </c>
      <c r="I299" s="204"/>
    </row>
    <row r="300" spans="1:9" ht="31.5" x14ac:dyDescent="0.25">
      <c r="A300" s="466" t="s">
        <v>131</v>
      </c>
      <c r="B300" s="16">
        <v>903</v>
      </c>
      <c r="C300" s="20" t="s">
        <v>264</v>
      </c>
      <c r="D300" s="20" t="s">
        <v>215</v>
      </c>
      <c r="E300" s="20" t="s">
        <v>1209</v>
      </c>
      <c r="F300" s="20" t="s">
        <v>132</v>
      </c>
      <c r="G300" s="467">
        <f>G301</f>
        <v>1603.7</v>
      </c>
      <c r="H300" s="467">
        <f>H301</f>
        <v>1603.7</v>
      </c>
      <c r="I300" s="204"/>
    </row>
    <row r="301" spans="1:9" ht="31.5" x14ac:dyDescent="0.25">
      <c r="A301" s="466" t="s">
        <v>133</v>
      </c>
      <c r="B301" s="16">
        <v>903</v>
      </c>
      <c r="C301" s="20" t="s">
        <v>264</v>
      </c>
      <c r="D301" s="20" t="s">
        <v>215</v>
      </c>
      <c r="E301" s="20" t="s">
        <v>1209</v>
      </c>
      <c r="F301" s="20" t="s">
        <v>134</v>
      </c>
      <c r="G301" s="467">
        <v>1603.7</v>
      </c>
      <c r="H301" s="467">
        <f t="shared" ref="H301:H365" si="23">G301</f>
        <v>1603.7</v>
      </c>
      <c r="I301" s="204"/>
    </row>
    <row r="302" spans="1:9" ht="15.75" x14ac:dyDescent="0.25">
      <c r="A302" s="466" t="s">
        <v>135</v>
      </c>
      <c r="B302" s="16">
        <v>903</v>
      </c>
      <c r="C302" s="20" t="s">
        <v>264</v>
      </c>
      <c r="D302" s="20" t="s">
        <v>215</v>
      </c>
      <c r="E302" s="20" t="s">
        <v>1209</v>
      </c>
      <c r="F302" s="20" t="s">
        <v>145</v>
      </c>
      <c r="G302" s="467">
        <f>G303</f>
        <v>78</v>
      </c>
      <c r="H302" s="467">
        <f>H303</f>
        <v>78</v>
      </c>
      <c r="I302" s="204"/>
    </row>
    <row r="303" spans="1:9" ht="15.75" x14ac:dyDescent="0.25">
      <c r="A303" s="466" t="s">
        <v>704</v>
      </c>
      <c r="B303" s="16">
        <v>903</v>
      </c>
      <c r="C303" s="20" t="s">
        <v>264</v>
      </c>
      <c r="D303" s="20" t="s">
        <v>215</v>
      </c>
      <c r="E303" s="20" t="s">
        <v>1209</v>
      </c>
      <c r="F303" s="20" t="s">
        <v>138</v>
      </c>
      <c r="G303" s="467">
        <f>78</f>
        <v>78</v>
      </c>
      <c r="H303" s="467">
        <f t="shared" si="23"/>
        <v>78</v>
      </c>
      <c r="I303" s="204"/>
    </row>
    <row r="304" spans="1:9" ht="31.5" x14ac:dyDescent="0.25">
      <c r="A304" s="215" t="s">
        <v>1307</v>
      </c>
      <c r="B304" s="19">
        <v>903</v>
      </c>
      <c r="C304" s="24" t="s">
        <v>264</v>
      </c>
      <c r="D304" s="24" t="s">
        <v>215</v>
      </c>
      <c r="E304" s="24" t="s">
        <v>1210</v>
      </c>
      <c r="F304" s="24"/>
      <c r="G304" s="44">
        <f>G305+G308</f>
        <v>1295</v>
      </c>
      <c r="H304" s="44">
        <f>H305+H308</f>
        <v>1295</v>
      </c>
      <c r="I304" s="204"/>
    </row>
    <row r="305" spans="1:9" ht="39.200000000000003" customHeight="1" x14ac:dyDescent="0.25">
      <c r="A305" s="195" t="s">
        <v>799</v>
      </c>
      <c r="B305" s="16">
        <v>903</v>
      </c>
      <c r="C305" s="20" t="s">
        <v>264</v>
      </c>
      <c r="D305" s="20" t="s">
        <v>215</v>
      </c>
      <c r="E305" s="20" t="s">
        <v>1211</v>
      </c>
      <c r="F305" s="20"/>
      <c r="G305" s="467">
        <f t="shared" ref="G305:H306" si="24">G306</f>
        <v>45</v>
      </c>
      <c r="H305" s="467">
        <f t="shared" si="24"/>
        <v>45</v>
      </c>
      <c r="I305" s="204"/>
    </row>
    <row r="306" spans="1:9" ht="20.25" customHeight="1" x14ac:dyDescent="0.25">
      <c r="A306" s="466" t="s">
        <v>248</v>
      </c>
      <c r="B306" s="16">
        <v>903</v>
      </c>
      <c r="C306" s="20" t="s">
        <v>264</v>
      </c>
      <c r="D306" s="20" t="s">
        <v>215</v>
      </c>
      <c r="E306" s="20" t="s">
        <v>1211</v>
      </c>
      <c r="F306" s="20" t="s">
        <v>249</v>
      </c>
      <c r="G306" s="467">
        <f t="shared" si="24"/>
        <v>45</v>
      </c>
      <c r="H306" s="467">
        <f t="shared" si="24"/>
        <v>45</v>
      </c>
      <c r="I306" s="204"/>
    </row>
    <row r="307" spans="1:9" ht="15.75" x14ac:dyDescent="0.25">
      <c r="A307" s="466" t="s">
        <v>820</v>
      </c>
      <c r="B307" s="16">
        <v>903</v>
      </c>
      <c r="C307" s="20" t="s">
        <v>264</v>
      </c>
      <c r="D307" s="20" t="s">
        <v>215</v>
      </c>
      <c r="E307" s="20" t="s">
        <v>1211</v>
      </c>
      <c r="F307" s="20" t="s">
        <v>819</v>
      </c>
      <c r="G307" s="467">
        <f>45</f>
        <v>45</v>
      </c>
      <c r="H307" s="467">
        <f t="shared" si="23"/>
        <v>45</v>
      </c>
      <c r="I307" s="204"/>
    </row>
    <row r="308" spans="1:9" ht="31.5" x14ac:dyDescent="0.25">
      <c r="A308" s="31" t="s">
        <v>816</v>
      </c>
      <c r="B308" s="16">
        <v>903</v>
      </c>
      <c r="C308" s="20" t="s">
        <v>264</v>
      </c>
      <c r="D308" s="20" t="s">
        <v>215</v>
      </c>
      <c r="E308" s="20" t="s">
        <v>1212</v>
      </c>
      <c r="F308" s="20"/>
      <c r="G308" s="467">
        <f t="shared" ref="G308:H309" si="25">G309</f>
        <v>1250</v>
      </c>
      <c r="H308" s="467">
        <f t="shared" si="25"/>
        <v>1250</v>
      </c>
      <c r="I308" s="204"/>
    </row>
    <row r="309" spans="1:9" ht="78.75" x14ac:dyDescent="0.25">
      <c r="A309" s="466" t="s">
        <v>127</v>
      </c>
      <c r="B309" s="16">
        <v>903</v>
      </c>
      <c r="C309" s="20" t="s">
        <v>264</v>
      </c>
      <c r="D309" s="20" t="s">
        <v>215</v>
      </c>
      <c r="E309" s="20" t="s">
        <v>1212</v>
      </c>
      <c r="F309" s="20" t="s">
        <v>128</v>
      </c>
      <c r="G309" s="467">
        <f t="shared" si="25"/>
        <v>1250</v>
      </c>
      <c r="H309" s="467">
        <f t="shared" si="25"/>
        <v>1250</v>
      </c>
      <c r="I309" s="204"/>
    </row>
    <row r="310" spans="1:9" ht="24" customHeight="1" x14ac:dyDescent="0.25">
      <c r="A310" s="46" t="s">
        <v>342</v>
      </c>
      <c r="B310" s="16">
        <v>903</v>
      </c>
      <c r="C310" s="20" t="s">
        <v>264</v>
      </c>
      <c r="D310" s="20" t="s">
        <v>215</v>
      </c>
      <c r="E310" s="20" t="s">
        <v>1212</v>
      </c>
      <c r="F310" s="20" t="s">
        <v>209</v>
      </c>
      <c r="G310" s="467">
        <f>250+1000</f>
        <v>1250</v>
      </c>
      <c r="H310" s="467">
        <f t="shared" si="23"/>
        <v>1250</v>
      </c>
      <c r="I310" s="204"/>
    </row>
    <row r="311" spans="1:9" ht="31.5" hidden="1" x14ac:dyDescent="0.25">
      <c r="A311" s="466" t="s">
        <v>131</v>
      </c>
      <c r="B311" s="16">
        <v>903</v>
      </c>
      <c r="C311" s="20" t="s">
        <v>264</v>
      </c>
      <c r="D311" s="20" t="s">
        <v>215</v>
      </c>
      <c r="E311" s="20" t="s">
        <v>887</v>
      </c>
      <c r="F311" s="20" t="s">
        <v>132</v>
      </c>
      <c r="G311" s="467">
        <f>'Пр.4 ведом.21'!G342</f>
        <v>0</v>
      </c>
      <c r="H311" s="467">
        <f t="shared" si="23"/>
        <v>0</v>
      </c>
      <c r="I311" s="204"/>
    </row>
    <row r="312" spans="1:9" ht="31.5" hidden="1" x14ac:dyDescent="0.25">
      <c r="A312" s="466" t="s">
        <v>133</v>
      </c>
      <c r="B312" s="16">
        <v>903</v>
      </c>
      <c r="C312" s="20" t="s">
        <v>264</v>
      </c>
      <c r="D312" s="20" t="s">
        <v>215</v>
      </c>
      <c r="E312" s="20" t="s">
        <v>887</v>
      </c>
      <c r="F312" s="20" t="s">
        <v>134</v>
      </c>
      <c r="G312" s="467">
        <f>'Пр.4 ведом.21'!G343</f>
        <v>0</v>
      </c>
      <c r="H312" s="467">
        <f t="shared" si="23"/>
        <v>0</v>
      </c>
      <c r="I312" s="204"/>
    </row>
    <row r="313" spans="1:9" ht="31.5" x14ac:dyDescent="0.25">
      <c r="A313" s="464" t="s">
        <v>947</v>
      </c>
      <c r="B313" s="19">
        <v>903</v>
      </c>
      <c r="C313" s="24" t="s">
        <v>264</v>
      </c>
      <c r="D313" s="24" t="s">
        <v>215</v>
      </c>
      <c r="E313" s="24" t="s">
        <v>1213</v>
      </c>
      <c r="F313" s="24"/>
      <c r="G313" s="44">
        <f t="shared" ref="G313:H315" si="26">G314</f>
        <v>506</v>
      </c>
      <c r="H313" s="44">
        <f t="shared" si="26"/>
        <v>506</v>
      </c>
      <c r="I313" s="204"/>
    </row>
    <row r="314" spans="1:9" ht="47.25" x14ac:dyDescent="0.25">
      <c r="A314" s="466" t="s">
        <v>839</v>
      </c>
      <c r="B314" s="16">
        <v>903</v>
      </c>
      <c r="C314" s="20" t="s">
        <v>264</v>
      </c>
      <c r="D314" s="20" t="s">
        <v>215</v>
      </c>
      <c r="E314" s="20" t="s">
        <v>1214</v>
      </c>
      <c r="F314" s="20"/>
      <c r="G314" s="467">
        <f t="shared" si="26"/>
        <v>506</v>
      </c>
      <c r="H314" s="467">
        <f t="shared" si="26"/>
        <v>506</v>
      </c>
      <c r="I314" s="204"/>
    </row>
    <row r="315" spans="1:9" ht="78.75" x14ac:dyDescent="0.25">
      <c r="A315" s="466" t="s">
        <v>127</v>
      </c>
      <c r="B315" s="16">
        <v>903</v>
      </c>
      <c r="C315" s="20" t="s">
        <v>264</v>
      </c>
      <c r="D315" s="20" t="s">
        <v>215</v>
      </c>
      <c r="E315" s="20" t="s">
        <v>1214</v>
      </c>
      <c r="F315" s="20" t="s">
        <v>128</v>
      </c>
      <c r="G315" s="467">
        <f t="shared" si="26"/>
        <v>506</v>
      </c>
      <c r="H315" s="467">
        <f t="shared" si="26"/>
        <v>506</v>
      </c>
      <c r="I315" s="204"/>
    </row>
    <row r="316" spans="1:9" ht="31.5" x14ac:dyDescent="0.25">
      <c r="A316" s="466" t="s">
        <v>342</v>
      </c>
      <c r="B316" s="16">
        <v>903</v>
      </c>
      <c r="C316" s="20" t="s">
        <v>264</v>
      </c>
      <c r="D316" s="20" t="s">
        <v>215</v>
      </c>
      <c r="E316" s="20" t="s">
        <v>1214</v>
      </c>
      <c r="F316" s="20" t="s">
        <v>209</v>
      </c>
      <c r="G316" s="467">
        <v>506</v>
      </c>
      <c r="H316" s="467">
        <f t="shared" si="23"/>
        <v>506</v>
      </c>
      <c r="I316" s="204"/>
    </row>
    <row r="317" spans="1:9" ht="47.25" x14ac:dyDescent="0.25">
      <c r="A317" s="464" t="s">
        <v>900</v>
      </c>
      <c r="B317" s="19">
        <v>903</v>
      </c>
      <c r="C317" s="24" t="s">
        <v>264</v>
      </c>
      <c r="D317" s="24" t="s">
        <v>215</v>
      </c>
      <c r="E317" s="24" t="s">
        <v>1215</v>
      </c>
      <c r="F317" s="24"/>
      <c r="G317" s="44">
        <f>G321+G324+G318</f>
        <v>1075.4000000000001</v>
      </c>
      <c r="H317" s="44">
        <f>H321+H324+H318</f>
        <v>1075.4000000000001</v>
      </c>
      <c r="I317" s="204"/>
    </row>
    <row r="318" spans="1:9" s="203" customFormat="1" ht="94.5" x14ac:dyDescent="0.25">
      <c r="A318" s="31" t="s">
        <v>293</v>
      </c>
      <c r="B318" s="16">
        <v>903</v>
      </c>
      <c r="C318" s="20" t="s">
        <v>264</v>
      </c>
      <c r="D318" s="20" t="s">
        <v>215</v>
      </c>
      <c r="E318" s="20" t="s">
        <v>1414</v>
      </c>
      <c r="F318" s="20"/>
      <c r="G318" s="467">
        <f>G319</f>
        <v>671</v>
      </c>
      <c r="H318" s="467">
        <f>H319</f>
        <v>671</v>
      </c>
      <c r="I318" s="204"/>
    </row>
    <row r="319" spans="1:9" s="203" customFormat="1" ht="78.75" x14ac:dyDescent="0.25">
      <c r="A319" s="466" t="s">
        <v>127</v>
      </c>
      <c r="B319" s="16">
        <v>903</v>
      </c>
      <c r="C319" s="20" t="s">
        <v>264</v>
      </c>
      <c r="D319" s="20" t="s">
        <v>215</v>
      </c>
      <c r="E319" s="20" t="s">
        <v>1414</v>
      </c>
      <c r="F319" s="20" t="s">
        <v>128</v>
      </c>
      <c r="G319" s="467">
        <f>G320</f>
        <v>671</v>
      </c>
      <c r="H319" s="467">
        <f>H320</f>
        <v>671</v>
      </c>
      <c r="I319" s="204"/>
    </row>
    <row r="320" spans="1:9" s="203" customFormat="1" ht="31.5" x14ac:dyDescent="0.25">
      <c r="A320" s="46" t="s">
        <v>342</v>
      </c>
      <c r="B320" s="16">
        <v>903</v>
      </c>
      <c r="C320" s="20" t="s">
        <v>264</v>
      </c>
      <c r="D320" s="20" t="s">
        <v>215</v>
      </c>
      <c r="E320" s="20" t="s">
        <v>1414</v>
      </c>
      <c r="F320" s="20" t="s">
        <v>209</v>
      </c>
      <c r="G320" s="467">
        <v>671</v>
      </c>
      <c r="H320" s="467">
        <f>G320</f>
        <v>671</v>
      </c>
      <c r="I320" s="204"/>
    </row>
    <row r="321" spans="1:9" ht="63" x14ac:dyDescent="0.25">
      <c r="A321" s="31" t="s">
        <v>289</v>
      </c>
      <c r="B321" s="16">
        <v>903</v>
      </c>
      <c r="C321" s="20" t="s">
        <v>264</v>
      </c>
      <c r="D321" s="20" t="s">
        <v>215</v>
      </c>
      <c r="E321" s="20" t="s">
        <v>1216</v>
      </c>
      <c r="F321" s="20"/>
      <c r="G321" s="467">
        <f>G322</f>
        <v>106</v>
      </c>
      <c r="H321" s="467">
        <f>H322</f>
        <v>106</v>
      </c>
      <c r="I321" s="204"/>
    </row>
    <row r="322" spans="1:9" ht="78.75" x14ac:dyDescent="0.25">
      <c r="A322" s="466" t="s">
        <v>127</v>
      </c>
      <c r="B322" s="16">
        <v>903</v>
      </c>
      <c r="C322" s="20" t="s">
        <v>264</v>
      </c>
      <c r="D322" s="20" t="s">
        <v>215</v>
      </c>
      <c r="E322" s="20" t="s">
        <v>1216</v>
      </c>
      <c r="F322" s="20" t="s">
        <v>128</v>
      </c>
      <c r="G322" s="467">
        <f>G323</f>
        <v>106</v>
      </c>
      <c r="H322" s="467">
        <f>H323</f>
        <v>106</v>
      </c>
      <c r="I322" s="204"/>
    </row>
    <row r="323" spans="1:9" ht="31.5" x14ac:dyDescent="0.25">
      <c r="A323" s="46" t="s">
        <v>342</v>
      </c>
      <c r="B323" s="16">
        <v>903</v>
      </c>
      <c r="C323" s="20" t="s">
        <v>264</v>
      </c>
      <c r="D323" s="20" t="s">
        <v>215</v>
      </c>
      <c r="E323" s="20" t="s">
        <v>1216</v>
      </c>
      <c r="F323" s="20" t="s">
        <v>209</v>
      </c>
      <c r="G323" s="467">
        <v>106</v>
      </c>
      <c r="H323" s="467">
        <f t="shared" si="23"/>
        <v>106</v>
      </c>
      <c r="I323" s="204"/>
    </row>
    <row r="324" spans="1:9" ht="63" x14ac:dyDescent="0.25">
      <c r="A324" s="31" t="s">
        <v>291</v>
      </c>
      <c r="B324" s="16">
        <v>903</v>
      </c>
      <c r="C324" s="20" t="s">
        <v>264</v>
      </c>
      <c r="D324" s="20" t="s">
        <v>215</v>
      </c>
      <c r="E324" s="20" t="s">
        <v>1217</v>
      </c>
      <c r="F324" s="20"/>
      <c r="G324" s="467">
        <f>G325</f>
        <v>298.39999999999998</v>
      </c>
      <c r="H324" s="467">
        <f t="shared" si="23"/>
        <v>298.39999999999998</v>
      </c>
      <c r="I324" s="204"/>
    </row>
    <row r="325" spans="1:9" ht="78.75" x14ac:dyDescent="0.25">
      <c r="A325" s="466" t="s">
        <v>127</v>
      </c>
      <c r="B325" s="16">
        <v>903</v>
      </c>
      <c r="C325" s="20" t="s">
        <v>264</v>
      </c>
      <c r="D325" s="20" t="s">
        <v>215</v>
      </c>
      <c r="E325" s="20" t="s">
        <v>1217</v>
      </c>
      <c r="F325" s="20" t="s">
        <v>128</v>
      </c>
      <c r="G325" s="467">
        <f>G326</f>
        <v>298.39999999999998</v>
      </c>
      <c r="H325" s="467">
        <f>H326</f>
        <v>298.39999999999998</v>
      </c>
      <c r="I325" s="204"/>
    </row>
    <row r="326" spans="1:9" ht="31.5" x14ac:dyDescent="0.25">
      <c r="A326" s="46" t="s">
        <v>342</v>
      </c>
      <c r="B326" s="16">
        <v>903</v>
      </c>
      <c r="C326" s="20" t="s">
        <v>264</v>
      </c>
      <c r="D326" s="20" t="s">
        <v>215</v>
      </c>
      <c r="E326" s="20" t="s">
        <v>1217</v>
      </c>
      <c r="F326" s="20" t="s">
        <v>209</v>
      </c>
      <c r="G326" s="467">
        <f>298.4</f>
        <v>298.39999999999998</v>
      </c>
      <c r="H326" s="467">
        <f t="shared" si="23"/>
        <v>298.39999999999998</v>
      </c>
      <c r="I326" s="204"/>
    </row>
    <row r="327" spans="1:9" s="203" customFormat="1" ht="47.25" x14ac:dyDescent="0.25">
      <c r="A327" s="34" t="s">
        <v>1225</v>
      </c>
      <c r="B327" s="19">
        <v>903</v>
      </c>
      <c r="C327" s="24" t="s">
        <v>264</v>
      </c>
      <c r="D327" s="24" t="s">
        <v>215</v>
      </c>
      <c r="E327" s="24" t="s">
        <v>324</v>
      </c>
      <c r="F327" s="24"/>
      <c r="G327" s="463">
        <f>G329</f>
        <v>6</v>
      </c>
      <c r="H327" s="463">
        <f>H329</f>
        <v>0</v>
      </c>
      <c r="I327" s="204"/>
    </row>
    <row r="328" spans="1:9" s="203" customFormat="1" ht="63" x14ac:dyDescent="0.25">
      <c r="A328" s="34" t="s">
        <v>1025</v>
      </c>
      <c r="B328" s="19">
        <v>903</v>
      </c>
      <c r="C328" s="24" t="s">
        <v>264</v>
      </c>
      <c r="D328" s="24" t="s">
        <v>215</v>
      </c>
      <c r="E328" s="24" t="s">
        <v>934</v>
      </c>
      <c r="F328" s="24"/>
      <c r="G328" s="463">
        <f>G331</f>
        <v>6</v>
      </c>
      <c r="H328" s="463">
        <f>H331</f>
        <v>0</v>
      </c>
      <c r="I328" s="204"/>
    </row>
    <row r="329" spans="1:9" s="203" customFormat="1" ht="47.25" x14ac:dyDescent="0.25">
      <c r="A329" s="31" t="s">
        <v>1083</v>
      </c>
      <c r="B329" s="16">
        <v>903</v>
      </c>
      <c r="C329" s="20" t="s">
        <v>264</v>
      </c>
      <c r="D329" s="20" t="s">
        <v>215</v>
      </c>
      <c r="E329" s="20" t="s">
        <v>1026</v>
      </c>
      <c r="F329" s="20"/>
      <c r="G329" s="467">
        <f>G330</f>
        <v>6</v>
      </c>
      <c r="H329" s="467">
        <f>H330</f>
        <v>0</v>
      </c>
      <c r="I329" s="204"/>
    </row>
    <row r="330" spans="1:9" s="203" customFormat="1" ht="31.5" x14ac:dyDescent="0.25">
      <c r="A330" s="466" t="s">
        <v>131</v>
      </c>
      <c r="B330" s="16">
        <v>903</v>
      </c>
      <c r="C330" s="20" t="s">
        <v>264</v>
      </c>
      <c r="D330" s="20" t="s">
        <v>215</v>
      </c>
      <c r="E330" s="20" t="s">
        <v>1026</v>
      </c>
      <c r="F330" s="20" t="s">
        <v>132</v>
      </c>
      <c r="G330" s="467">
        <f>G331</f>
        <v>6</v>
      </c>
      <c r="H330" s="467">
        <f>H331</f>
        <v>0</v>
      </c>
      <c r="I330" s="204"/>
    </row>
    <row r="331" spans="1:9" s="203" customFormat="1" ht="31.5" x14ac:dyDescent="0.25">
      <c r="A331" s="466" t="s">
        <v>133</v>
      </c>
      <c r="B331" s="16">
        <v>903</v>
      </c>
      <c r="C331" s="20" t="s">
        <v>264</v>
      </c>
      <c r="D331" s="20" t="s">
        <v>215</v>
      </c>
      <c r="E331" s="20" t="s">
        <v>1026</v>
      </c>
      <c r="F331" s="20" t="s">
        <v>134</v>
      </c>
      <c r="G331" s="467">
        <v>6</v>
      </c>
      <c r="H331" s="467">
        <v>0</v>
      </c>
      <c r="I331" s="204"/>
    </row>
    <row r="332" spans="1:9" ht="47.25" x14ac:dyDescent="0.25">
      <c r="A332" s="470" t="s">
        <v>1363</v>
      </c>
      <c r="B332" s="19">
        <v>903</v>
      </c>
      <c r="C332" s="24" t="s">
        <v>264</v>
      </c>
      <c r="D332" s="24" t="s">
        <v>215</v>
      </c>
      <c r="E332" s="24" t="s">
        <v>705</v>
      </c>
      <c r="F332" s="24"/>
      <c r="G332" s="463">
        <f>G334</f>
        <v>490.2</v>
      </c>
      <c r="H332" s="463">
        <f>H334</f>
        <v>509.8</v>
      </c>
      <c r="I332" s="204"/>
    </row>
    <row r="333" spans="1:9" ht="47.25" x14ac:dyDescent="0.25">
      <c r="A333" s="470" t="s">
        <v>890</v>
      </c>
      <c r="B333" s="19">
        <v>903</v>
      </c>
      <c r="C333" s="24" t="s">
        <v>264</v>
      </c>
      <c r="D333" s="24" t="s">
        <v>215</v>
      </c>
      <c r="E333" s="24" t="s">
        <v>888</v>
      </c>
      <c r="F333" s="24"/>
      <c r="G333" s="463">
        <f t="shared" ref="G333:H335" si="27">G334</f>
        <v>490.2</v>
      </c>
      <c r="H333" s="463">
        <f t="shared" si="27"/>
        <v>509.8</v>
      </c>
      <c r="I333" s="204"/>
    </row>
    <row r="334" spans="1:9" ht="47.25" x14ac:dyDescent="0.25">
      <c r="A334" s="98" t="s">
        <v>1004</v>
      </c>
      <c r="B334" s="20" t="s">
        <v>627</v>
      </c>
      <c r="C334" s="20" t="s">
        <v>264</v>
      </c>
      <c r="D334" s="20" t="s">
        <v>215</v>
      </c>
      <c r="E334" s="20" t="s">
        <v>889</v>
      </c>
      <c r="F334" s="32"/>
      <c r="G334" s="467">
        <f t="shared" si="27"/>
        <v>490.2</v>
      </c>
      <c r="H334" s="467">
        <f t="shared" si="27"/>
        <v>509.8</v>
      </c>
      <c r="I334" s="204"/>
    </row>
    <row r="335" spans="1:9" ht="31.5" x14ac:dyDescent="0.25">
      <c r="A335" s="466" t="s">
        <v>131</v>
      </c>
      <c r="B335" s="16">
        <v>903</v>
      </c>
      <c r="C335" s="20" t="s">
        <v>264</v>
      </c>
      <c r="D335" s="20" t="s">
        <v>215</v>
      </c>
      <c r="E335" s="20" t="s">
        <v>889</v>
      </c>
      <c r="F335" s="32" t="s">
        <v>132</v>
      </c>
      <c r="G335" s="467">
        <f t="shared" si="27"/>
        <v>490.2</v>
      </c>
      <c r="H335" s="467">
        <f t="shared" si="27"/>
        <v>509.8</v>
      </c>
      <c r="I335" s="204"/>
    </row>
    <row r="336" spans="1:9" ht="31.5" x14ac:dyDescent="0.25">
      <c r="A336" s="466" t="s">
        <v>133</v>
      </c>
      <c r="B336" s="16">
        <v>903</v>
      </c>
      <c r="C336" s="20" t="s">
        <v>264</v>
      </c>
      <c r="D336" s="20" t="s">
        <v>215</v>
      </c>
      <c r="E336" s="20" t="s">
        <v>889</v>
      </c>
      <c r="F336" s="32" t="s">
        <v>134</v>
      </c>
      <c r="G336" s="467">
        <v>490.2</v>
      </c>
      <c r="H336" s="467">
        <v>509.8</v>
      </c>
      <c r="I336" s="204"/>
    </row>
    <row r="337" spans="1:9" ht="15.75" x14ac:dyDescent="0.25">
      <c r="A337" s="464" t="s">
        <v>466</v>
      </c>
      <c r="B337" s="19">
        <v>903</v>
      </c>
      <c r="C337" s="24" t="s">
        <v>264</v>
      </c>
      <c r="D337" s="24" t="s">
        <v>264</v>
      </c>
      <c r="E337" s="20"/>
      <c r="F337" s="20"/>
      <c r="G337" s="463">
        <f>G338</f>
        <v>760</v>
      </c>
      <c r="H337" s="463">
        <f>H338</f>
        <v>825</v>
      </c>
      <c r="I337" s="204"/>
    </row>
    <row r="338" spans="1:9" ht="47.25" x14ac:dyDescent="0.25">
      <c r="A338" s="464" t="s">
        <v>1377</v>
      </c>
      <c r="B338" s="19">
        <v>903</v>
      </c>
      <c r="C338" s="24" t="s">
        <v>264</v>
      </c>
      <c r="D338" s="24" t="s">
        <v>264</v>
      </c>
      <c r="E338" s="24" t="s">
        <v>344</v>
      </c>
      <c r="F338" s="24"/>
      <c r="G338" s="463">
        <f>G339</f>
        <v>760</v>
      </c>
      <c r="H338" s="463">
        <f>H339</f>
        <v>825</v>
      </c>
      <c r="I338" s="204"/>
    </row>
    <row r="339" spans="1:9" ht="31.5" x14ac:dyDescent="0.25">
      <c r="A339" s="464" t="s">
        <v>345</v>
      </c>
      <c r="B339" s="19">
        <v>903</v>
      </c>
      <c r="C339" s="24" t="s">
        <v>264</v>
      </c>
      <c r="D339" s="24" t="s">
        <v>264</v>
      </c>
      <c r="E339" s="24" t="s">
        <v>346</v>
      </c>
      <c r="F339" s="24"/>
      <c r="G339" s="463">
        <f>G340+G347+G353</f>
        <v>760</v>
      </c>
      <c r="H339" s="463">
        <f>H340+H347+H353</f>
        <v>825</v>
      </c>
      <c r="I339" s="204"/>
    </row>
    <row r="340" spans="1:9" ht="47.25" x14ac:dyDescent="0.25">
      <c r="A340" s="210" t="s">
        <v>1031</v>
      </c>
      <c r="B340" s="19">
        <v>903</v>
      </c>
      <c r="C340" s="24" t="s">
        <v>264</v>
      </c>
      <c r="D340" s="24" t="s">
        <v>264</v>
      </c>
      <c r="E340" s="24" t="s">
        <v>892</v>
      </c>
      <c r="F340" s="24"/>
      <c r="G340" s="463">
        <f>G341+G344</f>
        <v>280</v>
      </c>
      <c r="H340" s="463">
        <f>H341+H344</f>
        <v>280</v>
      </c>
      <c r="I340" s="204"/>
    </row>
    <row r="341" spans="1:9" ht="31.5" x14ac:dyDescent="0.25">
      <c r="A341" s="98" t="s">
        <v>1037</v>
      </c>
      <c r="B341" s="16">
        <v>903</v>
      </c>
      <c r="C341" s="20" t="s">
        <v>264</v>
      </c>
      <c r="D341" s="20" t="s">
        <v>264</v>
      </c>
      <c r="E341" s="20" t="s">
        <v>893</v>
      </c>
      <c r="F341" s="20"/>
      <c r="G341" s="467">
        <f>G342</f>
        <v>280</v>
      </c>
      <c r="H341" s="467">
        <f>H342</f>
        <v>280</v>
      </c>
      <c r="I341" s="204"/>
    </row>
    <row r="342" spans="1:9" ht="78.75" x14ac:dyDescent="0.25">
      <c r="A342" s="466" t="s">
        <v>127</v>
      </c>
      <c r="B342" s="16">
        <v>903</v>
      </c>
      <c r="C342" s="20" t="s">
        <v>264</v>
      </c>
      <c r="D342" s="20" t="s">
        <v>264</v>
      </c>
      <c r="E342" s="20" t="s">
        <v>893</v>
      </c>
      <c r="F342" s="20" t="s">
        <v>128</v>
      </c>
      <c r="G342" s="467">
        <f>G343</f>
        <v>280</v>
      </c>
      <c r="H342" s="467">
        <f>H343</f>
        <v>280</v>
      </c>
      <c r="I342" s="204"/>
    </row>
    <row r="343" spans="1:9" ht="31.5" x14ac:dyDescent="0.25">
      <c r="A343" s="466" t="s">
        <v>342</v>
      </c>
      <c r="B343" s="16">
        <v>903</v>
      </c>
      <c r="C343" s="20" t="s">
        <v>264</v>
      </c>
      <c r="D343" s="20" t="s">
        <v>264</v>
      </c>
      <c r="E343" s="20" t="s">
        <v>893</v>
      </c>
      <c r="F343" s="20" t="s">
        <v>209</v>
      </c>
      <c r="G343" s="467">
        <f>280</f>
        <v>280</v>
      </c>
      <c r="H343" s="467">
        <f t="shared" si="23"/>
        <v>280</v>
      </c>
      <c r="I343" s="204"/>
    </row>
    <row r="344" spans="1:9" ht="31.5" hidden="1" x14ac:dyDescent="0.25">
      <c r="A344" s="466" t="s">
        <v>1032</v>
      </c>
      <c r="B344" s="16">
        <v>903</v>
      </c>
      <c r="C344" s="20" t="s">
        <v>264</v>
      </c>
      <c r="D344" s="20" t="s">
        <v>264</v>
      </c>
      <c r="E344" s="20" t="s">
        <v>1049</v>
      </c>
      <c r="F344" s="20"/>
      <c r="G344" s="467">
        <f>'Пр.4 ведом.21'!G375</f>
        <v>0</v>
      </c>
      <c r="H344" s="467">
        <f t="shared" si="23"/>
        <v>0</v>
      </c>
      <c r="I344" s="204"/>
    </row>
    <row r="345" spans="1:9" ht="31.5" hidden="1" x14ac:dyDescent="0.25">
      <c r="A345" s="466" t="s">
        <v>131</v>
      </c>
      <c r="B345" s="16">
        <v>903</v>
      </c>
      <c r="C345" s="20" t="s">
        <v>264</v>
      </c>
      <c r="D345" s="20" t="s">
        <v>264</v>
      </c>
      <c r="E345" s="20" t="s">
        <v>1049</v>
      </c>
      <c r="F345" s="20" t="s">
        <v>132</v>
      </c>
      <c r="G345" s="467">
        <f>'Пр.4 ведом.21'!G376</f>
        <v>0</v>
      </c>
      <c r="H345" s="467">
        <f t="shared" si="23"/>
        <v>0</v>
      </c>
      <c r="I345" s="204"/>
    </row>
    <row r="346" spans="1:9" ht="31.5" hidden="1" x14ac:dyDescent="0.25">
      <c r="A346" s="466" t="s">
        <v>133</v>
      </c>
      <c r="B346" s="16">
        <v>903</v>
      </c>
      <c r="C346" s="20" t="s">
        <v>264</v>
      </c>
      <c r="D346" s="20" t="s">
        <v>264</v>
      </c>
      <c r="E346" s="20" t="s">
        <v>1049</v>
      </c>
      <c r="F346" s="20" t="s">
        <v>134</v>
      </c>
      <c r="G346" s="467">
        <f>'Пр.4 ведом.21'!G377</f>
        <v>0</v>
      </c>
      <c r="H346" s="467">
        <f t="shared" si="23"/>
        <v>0</v>
      </c>
      <c r="I346" s="204"/>
    </row>
    <row r="347" spans="1:9" ht="63" x14ac:dyDescent="0.25">
      <c r="A347" s="464" t="s">
        <v>1033</v>
      </c>
      <c r="B347" s="19">
        <v>903</v>
      </c>
      <c r="C347" s="24" t="s">
        <v>264</v>
      </c>
      <c r="D347" s="24" t="s">
        <v>264</v>
      </c>
      <c r="E347" s="24" t="s">
        <v>894</v>
      </c>
      <c r="F347" s="24"/>
      <c r="G347" s="463">
        <f>G348</f>
        <v>455</v>
      </c>
      <c r="H347" s="463">
        <f>H348</f>
        <v>520</v>
      </c>
      <c r="I347" s="204"/>
    </row>
    <row r="348" spans="1:9" ht="15.75" x14ac:dyDescent="0.25">
      <c r="A348" s="466" t="s">
        <v>1034</v>
      </c>
      <c r="B348" s="16">
        <v>903</v>
      </c>
      <c r="C348" s="20" t="s">
        <v>264</v>
      </c>
      <c r="D348" s="20" t="s">
        <v>264</v>
      </c>
      <c r="E348" s="20" t="s">
        <v>901</v>
      </c>
      <c r="F348" s="20"/>
      <c r="G348" s="467">
        <f>G349+G351</f>
        <v>455</v>
      </c>
      <c r="H348" s="467">
        <f>H349+H351</f>
        <v>520</v>
      </c>
      <c r="I348" s="204"/>
    </row>
    <row r="349" spans="1:9" ht="78.75" x14ac:dyDescent="0.25">
      <c r="A349" s="466" t="s">
        <v>127</v>
      </c>
      <c r="B349" s="16">
        <v>903</v>
      </c>
      <c r="C349" s="20" t="s">
        <v>264</v>
      </c>
      <c r="D349" s="20" t="s">
        <v>264</v>
      </c>
      <c r="E349" s="20" t="s">
        <v>901</v>
      </c>
      <c r="F349" s="20" t="s">
        <v>128</v>
      </c>
      <c r="G349" s="467">
        <f>G350</f>
        <v>40</v>
      </c>
      <c r="H349" s="467">
        <f>H350</f>
        <v>40</v>
      </c>
      <c r="I349" s="204"/>
    </row>
    <row r="350" spans="1:9" ht="31.5" x14ac:dyDescent="0.25">
      <c r="A350" s="466" t="s">
        <v>342</v>
      </c>
      <c r="B350" s="16">
        <v>903</v>
      </c>
      <c r="C350" s="20" t="s">
        <v>264</v>
      </c>
      <c r="D350" s="20" t="s">
        <v>264</v>
      </c>
      <c r="E350" s="20" t="s">
        <v>901</v>
      </c>
      <c r="F350" s="20" t="s">
        <v>209</v>
      </c>
      <c r="G350" s="467">
        <f>40</f>
        <v>40</v>
      </c>
      <c r="H350" s="467">
        <f t="shared" si="23"/>
        <v>40</v>
      </c>
      <c r="I350" s="204"/>
    </row>
    <row r="351" spans="1:9" ht="31.5" x14ac:dyDescent="0.25">
      <c r="A351" s="466" t="s">
        <v>131</v>
      </c>
      <c r="B351" s="16">
        <v>903</v>
      </c>
      <c r="C351" s="20" t="s">
        <v>264</v>
      </c>
      <c r="D351" s="20" t="s">
        <v>264</v>
      </c>
      <c r="E351" s="20" t="s">
        <v>901</v>
      </c>
      <c r="F351" s="20" t="s">
        <v>132</v>
      </c>
      <c r="G351" s="467">
        <f>G352</f>
        <v>415</v>
      </c>
      <c r="H351" s="467">
        <f>H352</f>
        <v>480</v>
      </c>
      <c r="I351" s="204"/>
    </row>
    <row r="352" spans="1:9" ht="31.5" x14ac:dyDescent="0.25">
      <c r="A352" s="466" t="s">
        <v>133</v>
      </c>
      <c r="B352" s="16">
        <v>903</v>
      </c>
      <c r="C352" s="20" t="s">
        <v>264</v>
      </c>
      <c r="D352" s="20" t="s">
        <v>264</v>
      </c>
      <c r="E352" s="20" t="s">
        <v>901</v>
      </c>
      <c r="F352" s="20" t="s">
        <v>134</v>
      </c>
      <c r="G352" s="467">
        <f>415</f>
        <v>415</v>
      </c>
      <c r="H352" s="467">
        <v>480</v>
      </c>
      <c r="I352" s="204"/>
    </row>
    <row r="353" spans="1:13" ht="31.5" x14ac:dyDescent="0.25">
      <c r="A353" s="464" t="s">
        <v>1039</v>
      </c>
      <c r="B353" s="19">
        <v>903</v>
      </c>
      <c r="C353" s="24" t="s">
        <v>264</v>
      </c>
      <c r="D353" s="24" t="s">
        <v>264</v>
      </c>
      <c r="E353" s="24" t="s">
        <v>1035</v>
      </c>
      <c r="F353" s="24"/>
      <c r="G353" s="463">
        <f t="shared" ref="G353:H355" si="28">G354</f>
        <v>25</v>
      </c>
      <c r="H353" s="463">
        <f t="shared" si="28"/>
        <v>25</v>
      </c>
      <c r="I353" s="204"/>
    </row>
    <row r="354" spans="1:13" ht="47.25" x14ac:dyDescent="0.25">
      <c r="A354" s="230" t="s">
        <v>1036</v>
      </c>
      <c r="B354" s="16">
        <v>903</v>
      </c>
      <c r="C354" s="20" t="s">
        <v>264</v>
      </c>
      <c r="D354" s="20" t="s">
        <v>264</v>
      </c>
      <c r="E354" s="20" t="s">
        <v>1050</v>
      </c>
      <c r="F354" s="20"/>
      <c r="G354" s="467">
        <f t="shared" si="28"/>
        <v>25</v>
      </c>
      <c r="H354" s="467">
        <f t="shared" si="28"/>
        <v>25</v>
      </c>
      <c r="I354" s="204"/>
    </row>
    <row r="355" spans="1:13" ht="31.5" x14ac:dyDescent="0.25">
      <c r="A355" s="466" t="s">
        <v>248</v>
      </c>
      <c r="B355" s="16">
        <v>903</v>
      </c>
      <c r="C355" s="20" t="s">
        <v>264</v>
      </c>
      <c r="D355" s="20" t="s">
        <v>264</v>
      </c>
      <c r="E355" s="20" t="s">
        <v>1050</v>
      </c>
      <c r="F355" s="20" t="s">
        <v>249</v>
      </c>
      <c r="G355" s="467">
        <f t="shared" si="28"/>
        <v>25</v>
      </c>
      <c r="H355" s="467">
        <f t="shared" si="28"/>
        <v>25</v>
      </c>
      <c r="I355" s="204"/>
    </row>
    <row r="356" spans="1:13" ht="31.5" x14ac:dyDescent="0.25">
      <c r="A356" s="466" t="s">
        <v>1201</v>
      </c>
      <c r="B356" s="16">
        <v>903</v>
      </c>
      <c r="C356" s="20" t="s">
        <v>264</v>
      </c>
      <c r="D356" s="20" t="s">
        <v>264</v>
      </c>
      <c r="E356" s="20" t="s">
        <v>1050</v>
      </c>
      <c r="F356" s="20" t="s">
        <v>1200</v>
      </c>
      <c r="G356" s="467">
        <f>25</f>
        <v>25</v>
      </c>
      <c r="H356" s="467">
        <f t="shared" si="23"/>
        <v>25</v>
      </c>
      <c r="I356" s="204"/>
    </row>
    <row r="357" spans="1:13" ht="15.75" x14ac:dyDescent="0.25">
      <c r="A357" s="464" t="s">
        <v>298</v>
      </c>
      <c r="B357" s="19">
        <v>903</v>
      </c>
      <c r="C357" s="24" t="s">
        <v>299</v>
      </c>
      <c r="D357" s="24"/>
      <c r="E357" s="24"/>
      <c r="F357" s="24"/>
      <c r="G357" s="463">
        <f>G358+G411</f>
        <v>76411.28</v>
      </c>
      <c r="H357" s="463">
        <f>H358+H411</f>
        <v>78971.679999999993</v>
      </c>
      <c r="I357" s="204"/>
    </row>
    <row r="358" spans="1:13" ht="15.75" x14ac:dyDescent="0.25">
      <c r="A358" s="464" t="s">
        <v>300</v>
      </c>
      <c r="B358" s="19">
        <v>903</v>
      </c>
      <c r="C358" s="24" t="s">
        <v>299</v>
      </c>
      <c r="D358" s="24" t="s">
        <v>118</v>
      </c>
      <c r="E358" s="24"/>
      <c r="F358" s="24"/>
      <c r="G358" s="463">
        <f>G359+G406+G401</f>
        <v>57844.87999999999</v>
      </c>
      <c r="H358" s="463">
        <f>H359+H406+H401</f>
        <v>60376.279999999992</v>
      </c>
      <c r="I358" s="204"/>
    </row>
    <row r="359" spans="1:13" ht="39.200000000000003" customHeight="1" x14ac:dyDescent="0.25">
      <c r="A359" s="464" t="s">
        <v>1378</v>
      </c>
      <c r="B359" s="19">
        <v>903</v>
      </c>
      <c r="C359" s="24" t="s">
        <v>299</v>
      </c>
      <c r="D359" s="24" t="s">
        <v>118</v>
      </c>
      <c r="E359" s="24" t="s">
        <v>267</v>
      </c>
      <c r="F359" s="24"/>
      <c r="G359" s="463">
        <f>G360+G368+G374+G378+G385+G393+G389+G397</f>
        <v>56956.179999999993</v>
      </c>
      <c r="H359" s="463">
        <f>H360+H368+H374+H378+H385+H393+H389+H397</f>
        <v>59462.37999999999</v>
      </c>
      <c r="I359" s="204"/>
    </row>
    <row r="360" spans="1:13" ht="33.75" customHeight="1" x14ac:dyDescent="0.25">
      <c r="A360" s="464" t="s">
        <v>895</v>
      </c>
      <c r="B360" s="19">
        <v>903</v>
      </c>
      <c r="C360" s="24" t="s">
        <v>299</v>
      </c>
      <c r="D360" s="24" t="s">
        <v>118</v>
      </c>
      <c r="E360" s="24" t="s">
        <v>1208</v>
      </c>
      <c r="F360" s="24"/>
      <c r="G360" s="463">
        <f>G361</f>
        <v>51840.479999999996</v>
      </c>
      <c r="H360" s="463">
        <f>H361</f>
        <v>51840.479999999996</v>
      </c>
      <c r="I360" s="204"/>
    </row>
    <row r="361" spans="1:13" ht="15.75" x14ac:dyDescent="0.25">
      <c r="A361" s="466" t="s">
        <v>800</v>
      </c>
      <c r="B361" s="16">
        <v>903</v>
      </c>
      <c r="C361" s="20" t="s">
        <v>299</v>
      </c>
      <c r="D361" s="20" t="s">
        <v>118</v>
      </c>
      <c r="E361" s="20" t="s">
        <v>1209</v>
      </c>
      <c r="F361" s="20"/>
      <c r="G361" s="467">
        <f>G362+G364+G366</f>
        <v>51840.479999999996</v>
      </c>
      <c r="H361" s="467">
        <f>H362+H364+H366</f>
        <v>51840.479999999996</v>
      </c>
      <c r="I361" s="204"/>
      <c r="M361">
        <v>51840.58</v>
      </c>
    </row>
    <row r="362" spans="1:13" ht="78.75" x14ac:dyDescent="0.25">
      <c r="A362" s="466" t="s">
        <v>127</v>
      </c>
      <c r="B362" s="16">
        <v>903</v>
      </c>
      <c r="C362" s="20" t="s">
        <v>299</v>
      </c>
      <c r="D362" s="20" t="s">
        <v>118</v>
      </c>
      <c r="E362" s="20" t="s">
        <v>1209</v>
      </c>
      <c r="F362" s="20" t="s">
        <v>128</v>
      </c>
      <c r="G362" s="467">
        <f>G363</f>
        <v>43271.28</v>
      </c>
      <c r="H362" s="467">
        <f>H363</f>
        <v>43271.28</v>
      </c>
      <c r="I362" s="204"/>
    </row>
    <row r="363" spans="1:13" ht="15.75" x14ac:dyDescent="0.25">
      <c r="A363" s="466" t="s">
        <v>208</v>
      </c>
      <c r="B363" s="16">
        <v>903</v>
      </c>
      <c r="C363" s="20" t="s">
        <v>299</v>
      </c>
      <c r="D363" s="20" t="s">
        <v>118</v>
      </c>
      <c r="E363" s="20" t="s">
        <v>1209</v>
      </c>
      <c r="F363" s="20" t="s">
        <v>209</v>
      </c>
      <c r="G363" s="467">
        <v>43271.28</v>
      </c>
      <c r="H363" s="467">
        <f t="shared" si="23"/>
        <v>43271.28</v>
      </c>
      <c r="I363" s="204"/>
    </row>
    <row r="364" spans="1:13" ht="31.5" x14ac:dyDescent="0.25">
      <c r="A364" s="466" t="s">
        <v>131</v>
      </c>
      <c r="B364" s="16">
        <v>903</v>
      </c>
      <c r="C364" s="20" t="s">
        <v>299</v>
      </c>
      <c r="D364" s="20" t="s">
        <v>118</v>
      </c>
      <c r="E364" s="20" t="s">
        <v>1209</v>
      </c>
      <c r="F364" s="20" t="s">
        <v>132</v>
      </c>
      <c r="G364" s="467">
        <f>G365</f>
        <v>8506.2000000000007</v>
      </c>
      <c r="H364" s="467">
        <f>H365</f>
        <v>8506.2000000000007</v>
      </c>
      <c r="I364" s="204"/>
    </row>
    <row r="365" spans="1:13" ht="29.85" customHeight="1" x14ac:dyDescent="0.25">
      <c r="A365" s="466" t="s">
        <v>133</v>
      </c>
      <c r="B365" s="16">
        <v>903</v>
      </c>
      <c r="C365" s="20" t="s">
        <v>299</v>
      </c>
      <c r="D365" s="20" t="s">
        <v>118</v>
      </c>
      <c r="E365" s="20" t="s">
        <v>1209</v>
      </c>
      <c r="F365" s="20" t="s">
        <v>134</v>
      </c>
      <c r="G365" s="467">
        <v>8506.2000000000007</v>
      </c>
      <c r="H365" s="467">
        <f t="shared" si="23"/>
        <v>8506.2000000000007</v>
      </c>
      <c r="I365" s="204"/>
    </row>
    <row r="366" spans="1:13" ht="15.75" x14ac:dyDescent="0.25">
      <c r="A366" s="466" t="s">
        <v>135</v>
      </c>
      <c r="B366" s="16">
        <v>903</v>
      </c>
      <c r="C366" s="20" t="s">
        <v>299</v>
      </c>
      <c r="D366" s="20" t="s">
        <v>118</v>
      </c>
      <c r="E366" s="20" t="s">
        <v>1209</v>
      </c>
      <c r="F366" s="20" t="s">
        <v>145</v>
      </c>
      <c r="G366" s="467">
        <f>G367</f>
        <v>63</v>
      </c>
      <c r="H366" s="467">
        <f>H367</f>
        <v>63</v>
      </c>
      <c r="I366" s="204"/>
    </row>
    <row r="367" spans="1:13" ht="15.75" x14ac:dyDescent="0.25">
      <c r="A367" s="466" t="s">
        <v>568</v>
      </c>
      <c r="B367" s="16">
        <v>903</v>
      </c>
      <c r="C367" s="20" t="s">
        <v>299</v>
      </c>
      <c r="D367" s="20" t="s">
        <v>118</v>
      </c>
      <c r="E367" s="20" t="s">
        <v>1209</v>
      </c>
      <c r="F367" s="20" t="s">
        <v>138</v>
      </c>
      <c r="G367" s="467">
        <v>63</v>
      </c>
      <c r="H367" s="467">
        <f t="shared" ref="H367:H377" si="29">G367</f>
        <v>63</v>
      </c>
      <c r="I367" s="204"/>
    </row>
    <row r="368" spans="1:13" ht="31.5" x14ac:dyDescent="0.25">
      <c r="A368" s="216" t="s">
        <v>1308</v>
      </c>
      <c r="B368" s="19">
        <v>903</v>
      </c>
      <c r="C368" s="24" t="s">
        <v>299</v>
      </c>
      <c r="D368" s="24" t="s">
        <v>118</v>
      </c>
      <c r="E368" s="24" t="s">
        <v>1210</v>
      </c>
      <c r="F368" s="24"/>
      <c r="G368" s="463">
        <f>G369</f>
        <v>1380</v>
      </c>
      <c r="H368" s="463">
        <f>H369</f>
        <v>1380</v>
      </c>
      <c r="I368" s="204"/>
    </row>
    <row r="369" spans="1:9" ht="31.5" x14ac:dyDescent="0.25">
      <c r="A369" s="31" t="s">
        <v>816</v>
      </c>
      <c r="B369" s="16">
        <v>903</v>
      </c>
      <c r="C369" s="20" t="s">
        <v>299</v>
      </c>
      <c r="D369" s="20" t="s">
        <v>118</v>
      </c>
      <c r="E369" s="20" t="s">
        <v>1212</v>
      </c>
      <c r="F369" s="20"/>
      <c r="G369" s="467">
        <f>G370+G372</f>
        <v>1380</v>
      </c>
      <c r="H369" s="467">
        <f>H370+H372</f>
        <v>1380</v>
      </c>
      <c r="I369" s="204"/>
    </row>
    <row r="370" spans="1:9" ht="78.75" x14ac:dyDescent="0.25">
      <c r="A370" s="466" t="s">
        <v>127</v>
      </c>
      <c r="B370" s="16">
        <v>903</v>
      </c>
      <c r="C370" s="20" t="s">
        <v>299</v>
      </c>
      <c r="D370" s="20" t="s">
        <v>118</v>
      </c>
      <c r="E370" s="20" t="s">
        <v>896</v>
      </c>
      <c r="F370" s="20" t="s">
        <v>128</v>
      </c>
      <c r="G370" s="467">
        <f>G371</f>
        <v>0</v>
      </c>
      <c r="H370" s="467">
        <f>H371</f>
        <v>0</v>
      </c>
      <c r="I370" s="204"/>
    </row>
    <row r="371" spans="1:9" ht="15.75" x14ac:dyDescent="0.25">
      <c r="A371" s="466" t="s">
        <v>208</v>
      </c>
      <c r="B371" s="16">
        <v>903</v>
      </c>
      <c r="C371" s="20" t="s">
        <v>299</v>
      </c>
      <c r="D371" s="20" t="s">
        <v>118</v>
      </c>
      <c r="E371" s="20" t="s">
        <v>896</v>
      </c>
      <c r="F371" s="20" t="s">
        <v>209</v>
      </c>
      <c r="G371" s="467">
        <v>0</v>
      </c>
      <c r="H371" s="467">
        <v>0</v>
      </c>
      <c r="I371" s="204"/>
    </row>
    <row r="372" spans="1:9" ht="31.5" x14ac:dyDescent="0.25">
      <c r="A372" s="466" t="s">
        <v>131</v>
      </c>
      <c r="B372" s="16">
        <v>903</v>
      </c>
      <c r="C372" s="20" t="s">
        <v>299</v>
      </c>
      <c r="D372" s="20" t="s">
        <v>118</v>
      </c>
      <c r="E372" s="20" t="s">
        <v>1212</v>
      </c>
      <c r="F372" s="20" t="s">
        <v>132</v>
      </c>
      <c r="G372" s="467">
        <f>G373</f>
        <v>1380</v>
      </c>
      <c r="H372" s="467">
        <f>H373</f>
        <v>1380</v>
      </c>
      <c r="I372" s="204"/>
    </row>
    <row r="373" spans="1:9" ht="31.9" customHeight="1" x14ac:dyDescent="0.25">
      <c r="A373" s="466" t="s">
        <v>133</v>
      </c>
      <c r="B373" s="16">
        <v>903</v>
      </c>
      <c r="C373" s="20" t="s">
        <v>299</v>
      </c>
      <c r="D373" s="20" t="s">
        <v>118</v>
      </c>
      <c r="E373" s="20" t="s">
        <v>1212</v>
      </c>
      <c r="F373" s="20" t="s">
        <v>134</v>
      </c>
      <c r="G373" s="467">
        <f>380+1000</f>
        <v>1380</v>
      </c>
      <c r="H373" s="467">
        <f t="shared" si="29"/>
        <v>1380</v>
      </c>
      <c r="I373" s="204"/>
    </row>
    <row r="374" spans="1:9" ht="31.5" x14ac:dyDescent="0.25">
      <c r="A374" s="464" t="s">
        <v>947</v>
      </c>
      <c r="B374" s="19">
        <v>903</v>
      </c>
      <c r="C374" s="24" t="s">
        <v>299</v>
      </c>
      <c r="D374" s="24" t="s">
        <v>118</v>
      </c>
      <c r="E374" s="24" t="s">
        <v>1213</v>
      </c>
      <c r="F374" s="24"/>
      <c r="G374" s="44">
        <f t="shared" ref="G374:H376" si="30">G375</f>
        <v>875</v>
      </c>
      <c r="H374" s="44">
        <f t="shared" si="30"/>
        <v>875</v>
      </c>
      <c r="I374" s="204"/>
    </row>
    <row r="375" spans="1:9" ht="47.25" x14ac:dyDescent="0.25">
      <c r="A375" s="466" t="s">
        <v>839</v>
      </c>
      <c r="B375" s="16">
        <v>903</v>
      </c>
      <c r="C375" s="20" t="s">
        <v>299</v>
      </c>
      <c r="D375" s="20" t="s">
        <v>118</v>
      </c>
      <c r="E375" s="20" t="s">
        <v>1214</v>
      </c>
      <c r="F375" s="20"/>
      <c r="G375" s="467">
        <f t="shared" si="30"/>
        <v>875</v>
      </c>
      <c r="H375" s="467">
        <f t="shared" si="30"/>
        <v>875</v>
      </c>
      <c r="I375" s="204"/>
    </row>
    <row r="376" spans="1:9" ht="78.75" x14ac:dyDescent="0.25">
      <c r="A376" s="466" t="s">
        <v>127</v>
      </c>
      <c r="B376" s="16">
        <v>903</v>
      </c>
      <c r="C376" s="20" t="s">
        <v>299</v>
      </c>
      <c r="D376" s="20" t="s">
        <v>118</v>
      </c>
      <c r="E376" s="20" t="s">
        <v>1214</v>
      </c>
      <c r="F376" s="20" t="s">
        <v>128</v>
      </c>
      <c r="G376" s="467">
        <f t="shared" si="30"/>
        <v>875</v>
      </c>
      <c r="H376" s="467">
        <f t="shared" si="30"/>
        <v>875</v>
      </c>
      <c r="I376" s="204"/>
    </row>
    <row r="377" spans="1:9" ht="31.5" x14ac:dyDescent="0.25">
      <c r="A377" s="466" t="s">
        <v>129</v>
      </c>
      <c r="B377" s="16">
        <v>903</v>
      </c>
      <c r="C377" s="20" t="s">
        <v>299</v>
      </c>
      <c r="D377" s="20" t="s">
        <v>118</v>
      </c>
      <c r="E377" s="20" t="s">
        <v>1214</v>
      </c>
      <c r="F377" s="20" t="s">
        <v>209</v>
      </c>
      <c r="G377" s="467">
        <v>875</v>
      </c>
      <c r="H377" s="467">
        <f t="shared" si="29"/>
        <v>875</v>
      </c>
      <c r="I377" s="204"/>
    </row>
    <row r="378" spans="1:9" ht="47.25" x14ac:dyDescent="0.25">
      <c r="A378" s="217" t="s">
        <v>900</v>
      </c>
      <c r="B378" s="19">
        <v>903</v>
      </c>
      <c r="C378" s="24" t="s">
        <v>299</v>
      </c>
      <c r="D378" s="24" t="s">
        <v>118</v>
      </c>
      <c r="E378" s="24" t="s">
        <v>1215</v>
      </c>
      <c r="F378" s="24"/>
      <c r="G378" s="463">
        <f>G379+G382</f>
        <v>2442</v>
      </c>
      <c r="H378" s="463">
        <f>H379+H382</f>
        <v>2442</v>
      </c>
      <c r="I378" s="204"/>
    </row>
    <row r="379" spans="1:9" s="203" customFormat="1" ht="94.5" x14ac:dyDescent="0.25">
      <c r="A379" s="31" t="s">
        <v>293</v>
      </c>
      <c r="B379" s="16">
        <v>903</v>
      </c>
      <c r="C379" s="20" t="s">
        <v>299</v>
      </c>
      <c r="D379" s="20" t="s">
        <v>118</v>
      </c>
      <c r="E379" s="20" t="s">
        <v>1414</v>
      </c>
      <c r="F379" s="20"/>
      <c r="G379" s="467">
        <f t="shared" ref="G379:H380" si="31">G380</f>
        <v>2100.6</v>
      </c>
      <c r="H379" s="467">
        <f t="shared" si="31"/>
        <v>2100.6</v>
      </c>
      <c r="I379" s="204"/>
    </row>
    <row r="380" spans="1:9" s="203" customFormat="1" ht="78.75" x14ac:dyDescent="0.25">
      <c r="A380" s="466" t="s">
        <v>127</v>
      </c>
      <c r="B380" s="16">
        <v>903</v>
      </c>
      <c r="C380" s="20" t="s">
        <v>299</v>
      </c>
      <c r="D380" s="20" t="s">
        <v>118</v>
      </c>
      <c r="E380" s="20" t="s">
        <v>1414</v>
      </c>
      <c r="F380" s="20" t="s">
        <v>128</v>
      </c>
      <c r="G380" s="467">
        <f t="shared" si="31"/>
        <v>2100.6</v>
      </c>
      <c r="H380" s="467">
        <f t="shared" si="31"/>
        <v>2100.6</v>
      </c>
      <c r="I380" s="204"/>
    </row>
    <row r="381" spans="1:9" s="203" customFormat="1" ht="15.75" x14ac:dyDescent="0.25">
      <c r="A381" s="466" t="s">
        <v>208</v>
      </c>
      <c r="B381" s="16">
        <v>903</v>
      </c>
      <c r="C381" s="20" t="s">
        <v>299</v>
      </c>
      <c r="D381" s="20" t="s">
        <v>118</v>
      </c>
      <c r="E381" s="20" t="s">
        <v>1414</v>
      </c>
      <c r="F381" s="20" t="s">
        <v>209</v>
      </c>
      <c r="G381" s="467">
        <v>2100.6</v>
      </c>
      <c r="H381" s="467">
        <f>G381</f>
        <v>2100.6</v>
      </c>
      <c r="I381" s="204"/>
    </row>
    <row r="382" spans="1:9" s="203" customFormat="1" ht="78.75" x14ac:dyDescent="0.25">
      <c r="A382" s="466" t="s">
        <v>331</v>
      </c>
      <c r="B382" s="16">
        <v>903</v>
      </c>
      <c r="C382" s="20" t="s">
        <v>299</v>
      </c>
      <c r="D382" s="20" t="s">
        <v>118</v>
      </c>
      <c r="E382" s="20" t="s">
        <v>1296</v>
      </c>
      <c r="F382" s="20"/>
      <c r="G382" s="467">
        <f>G383</f>
        <v>341.4</v>
      </c>
      <c r="H382" s="467">
        <f>H383</f>
        <v>341.4</v>
      </c>
      <c r="I382" s="204"/>
    </row>
    <row r="383" spans="1:9" s="203" customFormat="1" ht="78.75" x14ac:dyDescent="0.25">
      <c r="A383" s="466" t="s">
        <v>127</v>
      </c>
      <c r="B383" s="16">
        <v>903</v>
      </c>
      <c r="C383" s="20" t="s">
        <v>299</v>
      </c>
      <c r="D383" s="20" t="s">
        <v>118</v>
      </c>
      <c r="E383" s="20" t="s">
        <v>1296</v>
      </c>
      <c r="F383" s="20" t="s">
        <v>128</v>
      </c>
      <c r="G383" s="467">
        <f>G384</f>
        <v>341.4</v>
      </c>
      <c r="H383" s="467">
        <f>H384</f>
        <v>341.4</v>
      </c>
      <c r="I383" s="204"/>
    </row>
    <row r="384" spans="1:9" s="203" customFormat="1" ht="15.75" x14ac:dyDescent="0.25">
      <c r="A384" s="466" t="s">
        <v>208</v>
      </c>
      <c r="B384" s="16">
        <v>903</v>
      </c>
      <c r="C384" s="20" t="s">
        <v>299</v>
      </c>
      <c r="D384" s="20" t="s">
        <v>118</v>
      </c>
      <c r="E384" s="20" t="s">
        <v>1296</v>
      </c>
      <c r="F384" s="20" t="s">
        <v>209</v>
      </c>
      <c r="G384" s="467">
        <v>341.4</v>
      </c>
      <c r="H384" s="467">
        <f>G384</f>
        <v>341.4</v>
      </c>
      <c r="I384" s="204"/>
    </row>
    <row r="385" spans="1:13" s="203" customFormat="1" ht="31.5" x14ac:dyDescent="0.25">
      <c r="A385" s="464" t="s">
        <v>902</v>
      </c>
      <c r="B385" s="19">
        <v>903</v>
      </c>
      <c r="C385" s="24" t="s">
        <v>299</v>
      </c>
      <c r="D385" s="24" t="s">
        <v>118</v>
      </c>
      <c r="E385" s="24" t="s">
        <v>1220</v>
      </c>
      <c r="F385" s="24"/>
      <c r="G385" s="463">
        <f t="shared" ref="G385:H387" si="32">G386</f>
        <v>50</v>
      </c>
      <c r="H385" s="463">
        <f t="shared" si="32"/>
        <v>50</v>
      </c>
      <c r="I385" s="204"/>
    </row>
    <row r="386" spans="1:13" s="203" customFormat="1" ht="31.5" x14ac:dyDescent="0.25">
      <c r="A386" s="466" t="s">
        <v>821</v>
      </c>
      <c r="B386" s="16">
        <v>903</v>
      </c>
      <c r="C386" s="20" t="s">
        <v>299</v>
      </c>
      <c r="D386" s="20" t="s">
        <v>118</v>
      </c>
      <c r="E386" s="20" t="s">
        <v>1221</v>
      </c>
      <c r="F386" s="20"/>
      <c r="G386" s="467">
        <f t="shared" si="32"/>
        <v>50</v>
      </c>
      <c r="H386" s="467">
        <f t="shared" si="32"/>
        <v>50</v>
      </c>
      <c r="I386" s="204"/>
    </row>
    <row r="387" spans="1:13" s="203" customFormat="1" ht="31.5" x14ac:dyDescent="0.25">
      <c r="A387" s="466" t="s">
        <v>131</v>
      </c>
      <c r="B387" s="16">
        <v>903</v>
      </c>
      <c r="C387" s="20" t="s">
        <v>299</v>
      </c>
      <c r="D387" s="20" t="s">
        <v>118</v>
      </c>
      <c r="E387" s="20" t="s">
        <v>1221</v>
      </c>
      <c r="F387" s="20" t="s">
        <v>132</v>
      </c>
      <c r="G387" s="467">
        <f t="shared" si="32"/>
        <v>50</v>
      </c>
      <c r="H387" s="467">
        <f t="shared" si="32"/>
        <v>50</v>
      </c>
      <c r="I387" s="204"/>
    </row>
    <row r="388" spans="1:13" s="203" customFormat="1" ht="31.5" x14ac:dyDescent="0.25">
      <c r="A388" s="466" t="s">
        <v>133</v>
      </c>
      <c r="B388" s="16">
        <v>903</v>
      </c>
      <c r="C388" s="20" t="s">
        <v>299</v>
      </c>
      <c r="D388" s="20" t="s">
        <v>118</v>
      </c>
      <c r="E388" s="20" t="s">
        <v>1221</v>
      </c>
      <c r="F388" s="20" t="s">
        <v>134</v>
      </c>
      <c r="G388" s="467">
        <v>50</v>
      </c>
      <c r="H388" s="467">
        <v>50</v>
      </c>
      <c r="I388" s="204"/>
    </row>
    <row r="389" spans="1:13" s="203" customFormat="1" ht="31.5" x14ac:dyDescent="0.25">
      <c r="A389" s="464" t="s">
        <v>1010</v>
      </c>
      <c r="B389" s="19">
        <v>903</v>
      </c>
      <c r="C389" s="24" t="s">
        <v>299</v>
      </c>
      <c r="D389" s="24" t="s">
        <v>118</v>
      </c>
      <c r="E389" s="24" t="s">
        <v>1222</v>
      </c>
      <c r="F389" s="24"/>
      <c r="G389" s="463">
        <f t="shared" ref="G389:H391" si="33">G390</f>
        <v>68.7</v>
      </c>
      <c r="H389" s="463">
        <f t="shared" si="33"/>
        <v>68.7</v>
      </c>
      <c r="I389" s="204"/>
    </row>
    <row r="390" spans="1:13" s="203" customFormat="1" ht="31.5" x14ac:dyDescent="0.25">
      <c r="A390" s="466" t="s">
        <v>1497</v>
      </c>
      <c r="B390" s="16">
        <v>903</v>
      </c>
      <c r="C390" s="20" t="s">
        <v>299</v>
      </c>
      <c r="D390" s="20" t="s">
        <v>118</v>
      </c>
      <c r="E390" s="20" t="s">
        <v>1223</v>
      </c>
      <c r="F390" s="20"/>
      <c r="G390" s="467">
        <f t="shared" si="33"/>
        <v>68.7</v>
      </c>
      <c r="H390" s="467">
        <f t="shared" si="33"/>
        <v>68.7</v>
      </c>
      <c r="I390" s="204"/>
    </row>
    <row r="391" spans="1:13" s="203" customFormat="1" ht="31.5" x14ac:dyDescent="0.25">
      <c r="A391" s="466" t="s">
        <v>131</v>
      </c>
      <c r="B391" s="16">
        <v>903</v>
      </c>
      <c r="C391" s="20" t="s">
        <v>299</v>
      </c>
      <c r="D391" s="20" t="s">
        <v>118</v>
      </c>
      <c r="E391" s="20" t="s">
        <v>1223</v>
      </c>
      <c r="F391" s="20" t="s">
        <v>132</v>
      </c>
      <c r="G391" s="467">
        <f t="shared" si="33"/>
        <v>68.7</v>
      </c>
      <c r="H391" s="467">
        <f t="shared" si="33"/>
        <v>68.7</v>
      </c>
      <c r="I391" s="204"/>
    </row>
    <row r="392" spans="1:13" s="203" customFormat="1" ht="31.5" x14ac:dyDescent="0.25">
      <c r="A392" s="466" t="s">
        <v>133</v>
      </c>
      <c r="B392" s="16">
        <v>903</v>
      </c>
      <c r="C392" s="20" t="s">
        <v>299</v>
      </c>
      <c r="D392" s="20" t="s">
        <v>118</v>
      </c>
      <c r="E392" s="20" t="s">
        <v>1223</v>
      </c>
      <c r="F392" s="20" t="s">
        <v>134</v>
      </c>
      <c r="G392" s="467">
        <f>3.5+65.2</f>
        <v>68.7</v>
      </c>
      <c r="H392" s="467">
        <f t="shared" ref="H392" si="34">G392</f>
        <v>68.7</v>
      </c>
      <c r="I392" s="204"/>
    </row>
    <row r="393" spans="1:13" s="203" customFormat="1" ht="31.5" x14ac:dyDescent="0.25">
      <c r="A393" s="210" t="s">
        <v>1184</v>
      </c>
      <c r="B393" s="19">
        <v>903</v>
      </c>
      <c r="C393" s="24" t="s">
        <v>299</v>
      </c>
      <c r="D393" s="24" t="s">
        <v>118</v>
      </c>
      <c r="E393" s="24" t="s">
        <v>1218</v>
      </c>
      <c r="F393" s="24"/>
      <c r="G393" s="463">
        <f t="shared" ref="G393:H395" si="35">G394</f>
        <v>300</v>
      </c>
      <c r="H393" s="463">
        <f t="shared" si="35"/>
        <v>2806.2</v>
      </c>
      <c r="I393" s="204"/>
    </row>
    <row r="394" spans="1:13" s="203" customFormat="1" ht="15.75" x14ac:dyDescent="0.25">
      <c r="A394" s="98" t="s">
        <v>1191</v>
      </c>
      <c r="B394" s="16">
        <v>903</v>
      </c>
      <c r="C394" s="20" t="s">
        <v>299</v>
      </c>
      <c r="D394" s="20" t="s">
        <v>118</v>
      </c>
      <c r="E394" s="20" t="s">
        <v>1219</v>
      </c>
      <c r="F394" s="20"/>
      <c r="G394" s="467">
        <f t="shared" si="35"/>
        <v>300</v>
      </c>
      <c r="H394" s="467">
        <f t="shared" si="35"/>
        <v>2806.2</v>
      </c>
      <c r="I394" s="204"/>
    </row>
    <row r="395" spans="1:13" s="203" customFormat="1" ht="31.5" x14ac:dyDescent="0.25">
      <c r="A395" s="466" t="s">
        <v>131</v>
      </c>
      <c r="B395" s="16">
        <v>903</v>
      </c>
      <c r="C395" s="20" t="s">
        <v>299</v>
      </c>
      <c r="D395" s="20" t="s">
        <v>118</v>
      </c>
      <c r="E395" s="20" t="s">
        <v>1219</v>
      </c>
      <c r="F395" s="20" t="s">
        <v>132</v>
      </c>
      <c r="G395" s="467">
        <f>G396</f>
        <v>300</v>
      </c>
      <c r="H395" s="467">
        <f t="shared" si="35"/>
        <v>2806.2</v>
      </c>
      <c r="I395" s="204"/>
    </row>
    <row r="396" spans="1:13" s="203" customFormat="1" ht="31.5" x14ac:dyDescent="0.25">
      <c r="A396" s="466" t="s">
        <v>133</v>
      </c>
      <c r="B396" s="16">
        <v>903</v>
      </c>
      <c r="C396" s="20" t="s">
        <v>299</v>
      </c>
      <c r="D396" s="20" t="s">
        <v>118</v>
      </c>
      <c r="E396" s="20" t="s">
        <v>1219</v>
      </c>
      <c r="F396" s="20" t="s">
        <v>134</v>
      </c>
      <c r="G396" s="467">
        <f>300</f>
        <v>300</v>
      </c>
      <c r="H396" s="467">
        <f>1500+1306.2</f>
        <v>2806.2</v>
      </c>
      <c r="I396" s="204"/>
      <c r="M396" s="203" t="s">
        <v>1801</v>
      </c>
    </row>
    <row r="397" spans="1:13" s="203" customFormat="1" ht="31.5" hidden="1" x14ac:dyDescent="0.25">
      <c r="A397" s="346" t="s">
        <v>1340</v>
      </c>
      <c r="B397" s="19">
        <v>903</v>
      </c>
      <c r="C397" s="24" t="s">
        <v>299</v>
      </c>
      <c r="D397" s="24" t="s">
        <v>118</v>
      </c>
      <c r="E397" s="24"/>
      <c r="F397" s="24"/>
      <c r="G397" s="463">
        <f t="shared" ref="G397:H399" si="36">G398</f>
        <v>0</v>
      </c>
      <c r="H397" s="463">
        <f t="shared" si="36"/>
        <v>0</v>
      </c>
      <c r="I397" s="204"/>
    </row>
    <row r="398" spans="1:13" s="203" customFormat="1" ht="15.75" hidden="1" x14ac:dyDescent="0.25">
      <c r="A398" s="466"/>
      <c r="B398" s="16">
        <v>903</v>
      </c>
      <c r="C398" s="20" t="s">
        <v>299</v>
      </c>
      <c r="D398" s="20" t="s">
        <v>118</v>
      </c>
      <c r="E398" s="20"/>
      <c r="F398" s="20"/>
      <c r="G398" s="467">
        <f t="shared" si="36"/>
        <v>0</v>
      </c>
      <c r="H398" s="467">
        <f t="shared" si="36"/>
        <v>0</v>
      </c>
      <c r="I398" s="204"/>
    </row>
    <row r="399" spans="1:13" s="203" customFormat="1" ht="31.5" hidden="1" x14ac:dyDescent="0.25">
      <c r="A399" s="466" t="s">
        <v>131</v>
      </c>
      <c r="B399" s="16">
        <v>903</v>
      </c>
      <c r="C399" s="20" t="s">
        <v>299</v>
      </c>
      <c r="D399" s="20" t="s">
        <v>118</v>
      </c>
      <c r="E399" s="20"/>
      <c r="F399" s="20" t="s">
        <v>132</v>
      </c>
      <c r="G399" s="467">
        <f t="shared" si="36"/>
        <v>0</v>
      </c>
      <c r="H399" s="467">
        <f t="shared" si="36"/>
        <v>0</v>
      </c>
      <c r="I399" s="204"/>
    </row>
    <row r="400" spans="1:13" s="203" customFormat="1" ht="31.5" hidden="1" x14ac:dyDescent="0.25">
      <c r="A400" s="466" t="s">
        <v>133</v>
      </c>
      <c r="B400" s="16">
        <v>903</v>
      </c>
      <c r="C400" s="20" t="s">
        <v>299</v>
      </c>
      <c r="D400" s="20" t="s">
        <v>118</v>
      </c>
      <c r="E400" s="20"/>
      <c r="F400" s="20" t="s">
        <v>134</v>
      </c>
      <c r="G400" s="467">
        <v>0</v>
      </c>
      <c r="H400" s="467">
        <v>0</v>
      </c>
      <c r="I400" s="204"/>
    </row>
    <row r="401" spans="1:9" ht="63" x14ac:dyDescent="0.25">
      <c r="A401" s="34" t="s">
        <v>781</v>
      </c>
      <c r="B401" s="19">
        <v>903</v>
      </c>
      <c r="C401" s="24" t="s">
        <v>299</v>
      </c>
      <c r="D401" s="24" t="s">
        <v>118</v>
      </c>
      <c r="E401" s="24" t="s">
        <v>324</v>
      </c>
      <c r="F401" s="24"/>
      <c r="G401" s="463">
        <f>G403</f>
        <v>10</v>
      </c>
      <c r="H401" s="463">
        <f>H403</f>
        <v>0</v>
      </c>
      <c r="I401" s="204"/>
    </row>
    <row r="402" spans="1:9" ht="63" x14ac:dyDescent="0.25">
      <c r="A402" s="34" t="s">
        <v>1025</v>
      </c>
      <c r="B402" s="19">
        <v>903</v>
      </c>
      <c r="C402" s="24" t="s">
        <v>299</v>
      </c>
      <c r="D402" s="24" t="s">
        <v>118</v>
      </c>
      <c r="E402" s="24" t="s">
        <v>934</v>
      </c>
      <c r="F402" s="24"/>
      <c r="G402" s="463">
        <f>G405</f>
        <v>10</v>
      </c>
      <c r="H402" s="463">
        <f>H405</f>
        <v>0</v>
      </c>
      <c r="I402" s="204"/>
    </row>
    <row r="403" spans="1:9" ht="47.25" x14ac:dyDescent="0.25">
      <c r="A403" s="31" t="s">
        <v>1083</v>
      </c>
      <c r="B403" s="16">
        <v>903</v>
      </c>
      <c r="C403" s="20" t="s">
        <v>299</v>
      </c>
      <c r="D403" s="20" t="s">
        <v>118</v>
      </c>
      <c r="E403" s="20" t="s">
        <v>1026</v>
      </c>
      <c r="F403" s="20"/>
      <c r="G403" s="467">
        <f>G404</f>
        <v>10</v>
      </c>
      <c r="H403" s="467">
        <f>H404</f>
        <v>0</v>
      </c>
      <c r="I403" s="204"/>
    </row>
    <row r="404" spans="1:9" ht="31.5" x14ac:dyDescent="0.25">
      <c r="A404" s="466" t="s">
        <v>131</v>
      </c>
      <c r="B404" s="16">
        <v>903</v>
      </c>
      <c r="C404" s="20" t="s">
        <v>299</v>
      </c>
      <c r="D404" s="20" t="s">
        <v>118</v>
      </c>
      <c r="E404" s="20" t="s">
        <v>1026</v>
      </c>
      <c r="F404" s="20" t="s">
        <v>132</v>
      </c>
      <c r="G404" s="467">
        <f>G405</f>
        <v>10</v>
      </c>
      <c r="H404" s="467">
        <f>H405</f>
        <v>0</v>
      </c>
      <c r="I404" s="204"/>
    </row>
    <row r="405" spans="1:9" ht="31.5" x14ac:dyDescent="0.25">
      <c r="A405" s="466" t="s">
        <v>133</v>
      </c>
      <c r="B405" s="16">
        <v>903</v>
      </c>
      <c r="C405" s="20" t="s">
        <v>299</v>
      </c>
      <c r="D405" s="20" t="s">
        <v>118</v>
      </c>
      <c r="E405" s="20" t="s">
        <v>1026</v>
      </c>
      <c r="F405" s="20" t="s">
        <v>134</v>
      </c>
      <c r="G405" s="467">
        <v>10</v>
      </c>
      <c r="H405" s="467">
        <v>0</v>
      </c>
      <c r="I405" s="204"/>
    </row>
    <row r="406" spans="1:9" ht="47.25" x14ac:dyDescent="0.25">
      <c r="A406" s="470" t="s">
        <v>1361</v>
      </c>
      <c r="B406" s="19">
        <v>903</v>
      </c>
      <c r="C406" s="24" t="s">
        <v>299</v>
      </c>
      <c r="D406" s="24" t="s">
        <v>118</v>
      </c>
      <c r="E406" s="24" t="s">
        <v>705</v>
      </c>
      <c r="F406" s="221"/>
      <c r="G406" s="463">
        <f t="shared" ref="G406:H409" si="37">G407</f>
        <v>878.7</v>
      </c>
      <c r="H406" s="463">
        <f t="shared" si="37"/>
        <v>913.9</v>
      </c>
      <c r="I406" s="204"/>
    </row>
    <row r="407" spans="1:9" ht="47.25" x14ac:dyDescent="0.25">
      <c r="A407" s="470" t="s">
        <v>890</v>
      </c>
      <c r="B407" s="19">
        <v>903</v>
      </c>
      <c r="C407" s="24" t="s">
        <v>299</v>
      </c>
      <c r="D407" s="24" t="s">
        <v>118</v>
      </c>
      <c r="E407" s="24" t="s">
        <v>888</v>
      </c>
      <c r="F407" s="221"/>
      <c r="G407" s="463">
        <f t="shared" si="37"/>
        <v>878.7</v>
      </c>
      <c r="H407" s="463">
        <f t="shared" si="37"/>
        <v>913.9</v>
      </c>
      <c r="I407" s="204"/>
    </row>
    <row r="408" spans="1:9" ht="41.25" customHeight="1" x14ac:dyDescent="0.25">
      <c r="A408" s="98" t="s">
        <v>1022</v>
      </c>
      <c r="B408" s="16">
        <v>903</v>
      </c>
      <c r="C408" s="20" t="s">
        <v>299</v>
      </c>
      <c r="D408" s="20" t="s">
        <v>118</v>
      </c>
      <c r="E408" s="20" t="s">
        <v>889</v>
      </c>
      <c r="F408" s="32"/>
      <c r="G408" s="467">
        <f t="shared" si="37"/>
        <v>878.7</v>
      </c>
      <c r="H408" s="467">
        <f t="shared" si="37"/>
        <v>913.9</v>
      </c>
      <c r="I408" s="204"/>
    </row>
    <row r="409" spans="1:9" ht="31.5" x14ac:dyDescent="0.25">
      <c r="A409" s="466" t="s">
        <v>131</v>
      </c>
      <c r="B409" s="16">
        <v>903</v>
      </c>
      <c r="C409" s="20" t="s">
        <v>299</v>
      </c>
      <c r="D409" s="20" t="s">
        <v>118</v>
      </c>
      <c r="E409" s="20" t="s">
        <v>889</v>
      </c>
      <c r="F409" s="32" t="s">
        <v>132</v>
      </c>
      <c r="G409" s="467">
        <f t="shared" si="37"/>
        <v>878.7</v>
      </c>
      <c r="H409" s="467">
        <f t="shared" si="37"/>
        <v>913.9</v>
      </c>
      <c r="I409" s="204"/>
    </row>
    <row r="410" spans="1:9" ht="31.5" x14ac:dyDescent="0.25">
      <c r="A410" s="466" t="s">
        <v>133</v>
      </c>
      <c r="B410" s="16">
        <v>903</v>
      </c>
      <c r="C410" s="20" t="s">
        <v>299</v>
      </c>
      <c r="D410" s="20" t="s">
        <v>118</v>
      </c>
      <c r="E410" s="20" t="s">
        <v>889</v>
      </c>
      <c r="F410" s="32" t="s">
        <v>134</v>
      </c>
      <c r="G410" s="467">
        <v>878.7</v>
      </c>
      <c r="H410" s="467">
        <v>913.9</v>
      </c>
      <c r="I410" s="204"/>
    </row>
    <row r="411" spans="1:9" ht="31.5" x14ac:dyDescent="0.25">
      <c r="A411" s="464" t="s">
        <v>333</v>
      </c>
      <c r="B411" s="19">
        <v>903</v>
      </c>
      <c r="C411" s="24" t="s">
        <v>299</v>
      </c>
      <c r="D411" s="24" t="s">
        <v>150</v>
      </c>
      <c r="E411" s="24"/>
      <c r="F411" s="24"/>
      <c r="G411" s="463">
        <f>G412+G422+G434+G440</f>
        <v>18566.400000000001</v>
      </c>
      <c r="H411" s="463">
        <f>H412+H422+H434+H440</f>
        <v>18595.400000000001</v>
      </c>
      <c r="I411" s="204"/>
    </row>
    <row r="412" spans="1:9" ht="31.5" x14ac:dyDescent="0.25">
      <c r="A412" s="464" t="s">
        <v>917</v>
      </c>
      <c r="B412" s="19">
        <v>903</v>
      </c>
      <c r="C412" s="24" t="s">
        <v>299</v>
      </c>
      <c r="D412" s="24" t="s">
        <v>150</v>
      </c>
      <c r="E412" s="24" t="s">
        <v>858</v>
      </c>
      <c r="F412" s="24"/>
      <c r="G412" s="463">
        <f>G413</f>
        <v>7291.6</v>
      </c>
      <c r="H412" s="463">
        <f>H413</f>
        <v>7291.6</v>
      </c>
      <c r="I412" s="204"/>
    </row>
    <row r="413" spans="1:9" ht="15.75" x14ac:dyDescent="0.25">
      <c r="A413" s="464" t="s">
        <v>918</v>
      </c>
      <c r="B413" s="19">
        <v>903</v>
      </c>
      <c r="C413" s="24" t="s">
        <v>299</v>
      </c>
      <c r="D413" s="24" t="s">
        <v>150</v>
      </c>
      <c r="E413" s="24" t="s">
        <v>859</v>
      </c>
      <c r="F413" s="24"/>
      <c r="G413" s="463">
        <f>G414+G419</f>
        <v>7291.6</v>
      </c>
      <c r="H413" s="463">
        <f>H414+H419</f>
        <v>7291.6</v>
      </c>
      <c r="I413" s="204"/>
    </row>
    <row r="414" spans="1:9" ht="31.5" x14ac:dyDescent="0.25">
      <c r="A414" s="466" t="s">
        <v>897</v>
      </c>
      <c r="B414" s="16">
        <v>903</v>
      </c>
      <c r="C414" s="20" t="s">
        <v>299</v>
      </c>
      <c r="D414" s="20" t="s">
        <v>150</v>
      </c>
      <c r="E414" s="20" t="s">
        <v>860</v>
      </c>
      <c r="F414" s="20"/>
      <c r="G414" s="467">
        <f>G415</f>
        <v>7015.6</v>
      </c>
      <c r="H414" s="467">
        <f>H415</f>
        <v>7015.6</v>
      </c>
      <c r="I414" s="204"/>
    </row>
    <row r="415" spans="1:9" ht="78.75" x14ac:dyDescent="0.25">
      <c r="A415" s="466" t="s">
        <v>127</v>
      </c>
      <c r="B415" s="16">
        <v>903</v>
      </c>
      <c r="C415" s="20" t="s">
        <v>299</v>
      </c>
      <c r="D415" s="20" t="s">
        <v>150</v>
      </c>
      <c r="E415" s="20" t="s">
        <v>860</v>
      </c>
      <c r="F415" s="20" t="s">
        <v>128</v>
      </c>
      <c r="G415" s="467">
        <f>G416</f>
        <v>7015.6</v>
      </c>
      <c r="H415" s="467">
        <f>H416</f>
        <v>7015.6</v>
      </c>
      <c r="I415" s="204"/>
    </row>
    <row r="416" spans="1:9" ht="31.5" x14ac:dyDescent="0.25">
      <c r="A416" s="466" t="s">
        <v>129</v>
      </c>
      <c r="B416" s="16">
        <v>903</v>
      </c>
      <c r="C416" s="20" t="s">
        <v>299</v>
      </c>
      <c r="D416" s="20" t="s">
        <v>150</v>
      </c>
      <c r="E416" s="20" t="s">
        <v>860</v>
      </c>
      <c r="F416" s="20" t="s">
        <v>130</v>
      </c>
      <c r="G416" s="467">
        <v>7015.6</v>
      </c>
      <c r="H416" s="467">
        <f t="shared" ref="H416:H499" si="38">G416</f>
        <v>7015.6</v>
      </c>
      <c r="I416" s="204"/>
    </row>
    <row r="417" spans="1:9" ht="31.5" hidden="1" x14ac:dyDescent="0.25">
      <c r="A417" s="466" t="s">
        <v>131</v>
      </c>
      <c r="B417" s="16">
        <v>903</v>
      </c>
      <c r="C417" s="20" t="s">
        <v>299</v>
      </c>
      <c r="D417" s="20" t="s">
        <v>150</v>
      </c>
      <c r="E417" s="20" t="s">
        <v>860</v>
      </c>
      <c r="F417" s="20" t="s">
        <v>132</v>
      </c>
      <c r="G417" s="467">
        <f>'Пр.4 ведом.21'!G463</f>
        <v>0</v>
      </c>
      <c r="H417" s="467">
        <f t="shared" si="38"/>
        <v>0</v>
      </c>
      <c r="I417" s="204"/>
    </row>
    <row r="418" spans="1:9" ht="31.5" hidden="1" x14ac:dyDescent="0.25">
      <c r="A418" s="466" t="s">
        <v>133</v>
      </c>
      <c r="B418" s="16">
        <v>903</v>
      </c>
      <c r="C418" s="20" t="s">
        <v>299</v>
      </c>
      <c r="D418" s="20" t="s">
        <v>150</v>
      </c>
      <c r="E418" s="20" t="s">
        <v>860</v>
      </c>
      <c r="F418" s="20" t="s">
        <v>134</v>
      </c>
      <c r="G418" s="467">
        <f>'Пр.4 ведом.21'!G464</f>
        <v>0</v>
      </c>
      <c r="H418" s="467">
        <f t="shared" si="38"/>
        <v>0</v>
      </c>
      <c r="I418" s="204"/>
    </row>
    <row r="419" spans="1:9" ht="47.25" x14ac:dyDescent="0.25">
      <c r="A419" s="466" t="s">
        <v>839</v>
      </c>
      <c r="B419" s="16">
        <v>903</v>
      </c>
      <c r="C419" s="20" t="s">
        <v>299</v>
      </c>
      <c r="D419" s="20" t="s">
        <v>150</v>
      </c>
      <c r="E419" s="20" t="s">
        <v>862</v>
      </c>
      <c r="F419" s="20"/>
      <c r="G419" s="467">
        <f>G420</f>
        <v>276</v>
      </c>
      <c r="H419" s="467">
        <f>H420</f>
        <v>276</v>
      </c>
      <c r="I419" s="204"/>
    </row>
    <row r="420" spans="1:9" ht="78.75" x14ac:dyDescent="0.25">
      <c r="A420" s="466" t="s">
        <v>127</v>
      </c>
      <c r="B420" s="16">
        <v>903</v>
      </c>
      <c r="C420" s="20" t="s">
        <v>299</v>
      </c>
      <c r="D420" s="20" t="s">
        <v>150</v>
      </c>
      <c r="E420" s="20" t="s">
        <v>862</v>
      </c>
      <c r="F420" s="20" t="s">
        <v>128</v>
      </c>
      <c r="G420" s="467">
        <f>G421</f>
        <v>276</v>
      </c>
      <c r="H420" s="467">
        <f>H421</f>
        <v>276</v>
      </c>
      <c r="I420" s="204"/>
    </row>
    <row r="421" spans="1:9" ht="31.5" x14ac:dyDescent="0.25">
      <c r="A421" s="466" t="s">
        <v>129</v>
      </c>
      <c r="B421" s="16">
        <v>903</v>
      </c>
      <c r="C421" s="20" t="s">
        <v>299</v>
      </c>
      <c r="D421" s="20" t="s">
        <v>150</v>
      </c>
      <c r="E421" s="20" t="s">
        <v>862</v>
      </c>
      <c r="F421" s="20" t="s">
        <v>130</v>
      </c>
      <c r="G421" s="467">
        <v>276</v>
      </c>
      <c r="H421" s="467">
        <f t="shared" si="38"/>
        <v>276</v>
      </c>
      <c r="I421" s="204"/>
    </row>
    <row r="422" spans="1:9" ht="15.75" x14ac:dyDescent="0.25">
      <c r="A422" s="464" t="s">
        <v>926</v>
      </c>
      <c r="B422" s="19">
        <v>903</v>
      </c>
      <c r="C422" s="24" t="s">
        <v>299</v>
      </c>
      <c r="D422" s="24" t="s">
        <v>150</v>
      </c>
      <c r="E422" s="24" t="s">
        <v>866</v>
      </c>
      <c r="F422" s="24"/>
      <c r="G422" s="463">
        <f>G423</f>
        <v>11014.8</v>
      </c>
      <c r="H422" s="463">
        <f>H423</f>
        <v>11014.8</v>
      </c>
      <c r="I422" s="204"/>
    </row>
    <row r="423" spans="1:9" ht="31.5" x14ac:dyDescent="0.25">
      <c r="A423" s="464" t="s">
        <v>929</v>
      </c>
      <c r="B423" s="19">
        <v>903</v>
      </c>
      <c r="C423" s="24" t="s">
        <v>299</v>
      </c>
      <c r="D423" s="24" t="s">
        <v>150</v>
      </c>
      <c r="E423" s="24" t="s">
        <v>914</v>
      </c>
      <c r="F423" s="24"/>
      <c r="G423" s="463">
        <f>G424+G431</f>
        <v>11014.8</v>
      </c>
      <c r="H423" s="463">
        <f>H424+H431</f>
        <v>11014.8</v>
      </c>
      <c r="I423" s="204"/>
    </row>
    <row r="424" spans="1:9" ht="31.5" x14ac:dyDescent="0.25">
      <c r="A424" s="466" t="s">
        <v>903</v>
      </c>
      <c r="B424" s="16">
        <v>903</v>
      </c>
      <c r="C424" s="20" t="s">
        <v>299</v>
      </c>
      <c r="D424" s="20" t="s">
        <v>150</v>
      </c>
      <c r="E424" s="20" t="s">
        <v>915</v>
      </c>
      <c r="F424" s="20"/>
      <c r="G424" s="467">
        <f>G425+G427+G429</f>
        <v>10804.8</v>
      </c>
      <c r="H424" s="467">
        <f>H425+H427+H429</f>
        <v>10804.8</v>
      </c>
      <c r="I424" s="204"/>
    </row>
    <row r="425" spans="1:9" ht="78.75" x14ac:dyDescent="0.25">
      <c r="A425" s="466" t="s">
        <v>127</v>
      </c>
      <c r="B425" s="16">
        <v>903</v>
      </c>
      <c r="C425" s="20" t="s">
        <v>299</v>
      </c>
      <c r="D425" s="20" t="s">
        <v>150</v>
      </c>
      <c r="E425" s="20" t="s">
        <v>915</v>
      </c>
      <c r="F425" s="20" t="s">
        <v>128</v>
      </c>
      <c r="G425" s="467">
        <f>G426</f>
        <v>8853.7999999999993</v>
      </c>
      <c r="H425" s="467">
        <f>H426</f>
        <v>8853.7999999999993</v>
      </c>
      <c r="I425" s="204"/>
    </row>
    <row r="426" spans="1:9" ht="24.75" customHeight="1" x14ac:dyDescent="0.25">
      <c r="A426" s="466" t="s">
        <v>342</v>
      </c>
      <c r="B426" s="16">
        <v>903</v>
      </c>
      <c r="C426" s="20" t="s">
        <v>299</v>
      </c>
      <c r="D426" s="20" t="s">
        <v>150</v>
      </c>
      <c r="E426" s="20" t="s">
        <v>915</v>
      </c>
      <c r="F426" s="20" t="s">
        <v>209</v>
      </c>
      <c r="G426" s="467">
        <v>8853.7999999999993</v>
      </c>
      <c r="H426" s="467">
        <f t="shared" si="38"/>
        <v>8853.7999999999993</v>
      </c>
      <c r="I426" s="204"/>
    </row>
    <row r="427" spans="1:9" ht="31.5" x14ac:dyDescent="0.25">
      <c r="A427" s="466" t="s">
        <v>131</v>
      </c>
      <c r="B427" s="16">
        <v>903</v>
      </c>
      <c r="C427" s="20" t="s">
        <v>299</v>
      </c>
      <c r="D427" s="20" t="s">
        <v>150</v>
      </c>
      <c r="E427" s="20" t="s">
        <v>915</v>
      </c>
      <c r="F427" s="20" t="s">
        <v>132</v>
      </c>
      <c r="G427" s="467">
        <f>G428</f>
        <v>1937</v>
      </c>
      <c r="H427" s="467">
        <f>H428</f>
        <v>1937</v>
      </c>
      <c r="I427" s="204"/>
    </row>
    <row r="428" spans="1:9" ht="31.5" x14ac:dyDescent="0.25">
      <c r="A428" s="466" t="s">
        <v>133</v>
      </c>
      <c r="B428" s="16">
        <v>903</v>
      </c>
      <c r="C428" s="20" t="s">
        <v>299</v>
      </c>
      <c r="D428" s="20" t="s">
        <v>150</v>
      </c>
      <c r="E428" s="20" t="s">
        <v>915</v>
      </c>
      <c r="F428" s="20" t="s">
        <v>134</v>
      </c>
      <c r="G428" s="467">
        <f>1937</f>
        <v>1937</v>
      </c>
      <c r="H428" s="467">
        <f t="shared" si="38"/>
        <v>1937</v>
      </c>
      <c r="I428" s="204"/>
    </row>
    <row r="429" spans="1:9" ht="15.75" x14ac:dyDescent="0.25">
      <c r="A429" s="466" t="s">
        <v>135</v>
      </c>
      <c r="B429" s="16">
        <v>903</v>
      </c>
      <c r="C429" s="20" t="s">
        <v>299</v>
      </c>
      <c r="D429" s="20" t="s">
        <v>150</v>
      </c>
      <c r="E429" s="20" t="s">
        <v>915</v>
      </c>
      <c r="F429" s="20" t="s">
        <v>145</v>
      </c>
      <c r="G429" s="467">
        <f>G430</f>
        <v>14</v>
      </c>
      <c r="H429" s="467">
        <f>H430</f>
        <v>14</v>
      </c>
      <c r="I429" s="204"/>
    </row>
    <row r="430" spans="1:9" ht="15.75" x14ac:dyDescent="0.25">
      <c r="A430" s="466" t="s">
        <v>568</v>
      </c>
      <c r="B430" s="16">
        <v>903</v>
      </c>
      <c r="C430" s="20" t="s">
        <v>299</v>
      </c>
      <c r="D430" s="20" t="s">
        <v>150</v>
      </c>
      <c r="E430" s="20" t="s">
        <v>915</v>
      </c>
      <c r="F430" s="20" t="s">
        <v>138</v>
      </c>
      <c r="G430" s="467">
        <f>14</f>
        <v>14</v>
      </c>
      <c r="H430" s="467">
        <f t="shared" si="38"/>
        <v>14</v>
      </c>
      <c r="I430" s="204"/>
    </row>
    <row r="431" spans="1:9" ht="47.25" x14ac:dyDescent="0.25">
      <c r="A431" s="466" t="s">
        <v>839</v>
      </c>
      <c r="B431" s="16">
        <v>903</v>
      </c>
      <c r="C431" s="20" t="s">
        <v>299</v>
      </c>
      <c r="D431" s="20" t="s">
        <v>150</v>
      </c>
      <c r="E431" s="20" t="s">
        <v>916</v>
      </c>
      <c r="F431" s="20"/>
      <c r="G431" s="467">
        <f>G432</f>
        <v>210</v>
      </c>
      <c r="H431" s="467">
        <f>H432</f>
        <v>210</v>
      </c>
      <c r="I431" s="204"/>
    </row>
    <row r="432" spans="1:9" ht="78.75" x14ac:dyDescent="0.25">
      <c r="A432" s="466" t="s">
        <v>127</v>
      </c>
      <c r="B432" s="16">
        <v>903</v>
      </c>
      <c r="C432" s="20" t="s">
        <v>299</v>
      </c>
      <c r="D432" s="20" t="s">
        <v>150</v>
      </c>
      <c r="E432" s="20" t="s">
        <v>916</v>
      </c>
      <c r="F432" s="20" t="s">
        <v>128</v>
      </c>
      <c r="G432" s="467">
        <f>G433</f>
        <v>210</v>
      </c>
      <c r="H432" s="467">
        <f>H433</f>
        <v>210</v>
      </c>
      <c r="I432" s="204"/>
    </row>
    <row r="433" spans="1:9" ht="25.5" customHeight="1" x14ac:dyDescent="0.25">
      <c r="A433" s="466" t="s">
        <v>342</v>
      </c>
      <c r="B433" s="16">
        <v>903</v>
      </c>
      <c r="C433" s="20" t="s">
        <v>299</v>
      </c>
      <c r="D433" s="20" t="s">
        <v>150</v>
      </c>
      <c r="E433" s="20" t="s">
        <v>916</v>
      </c>
      <c r="F433" s="20" t="s">
        <v>209</v>
      </c>
      <c r="G433" s="467">
        <f>210</f>
        <v>210</v>
      </c>
      <c r="H433" s="467">
        <f t="shared" si="38"/>
        <v>210</v>
      </c>
      <c r="I433" s="204"/>
    </row>
    <row r="434" spans="1:9" ht="47.25" x14ac:dyDescent="0.25">
      <c r="A434" s="464" t="s">
        <v>1377</v>
      </c>
      <c r="B434" s="19">
        <v>903</v>
      </c>
      <c r="C434" s="24" t="s">
        <v>299</v>
      </c>
      <c r="D434" s="24" t="s">
        <v>150</v>
      </c>
      <c r="E434" s="24" t="s">
        <v>344</v>
      </c>
      <c r="F434" s="24"/>
      <c r="G434" s="463">
        <f>G435</f>
        <v>260</v>
      </c>
      <c r="H434" s="463">
        <f>H435</f>
        <v>285</v>
      </c>
      <c r="I434" s="204"/>
    </row>
    <row r="435" spans="1:9" ht="33.950000000000003" customHeight="1" x14ac:dyDescent="0.25">
      <c r="A435" s="464" t="s">
        <v>1364</v>
      </c>
      <c r="B435" s="19">
        <v>903</v>
      </c>
      <c r="C435" s="24" t="s">
        <v>299</v>
      </c>
      <c r="D435" s="24" t="s">
        <v>150</v>
      </c>
      <c r="E435" s="24" t="s">
        <v>362</v>
      </c>
      <c r="F435" s="24"/>
      <c r="G435" s="463">
        <f t="shared" ref="G435:H436" si="39">G436</f>
        <v>260</v>
      </c>
      <c r="H435" s="463">
        <f t="shared" si="39"/>
        <v>285</v>
      </c>
      <c r="I435" s="204"/>
    </row>
    <row r="436" spans="1:9" ht="31.5" x14ac:dyDescent="0.25">
      <c r="A436" s="464" t="s">
        <v>997</v>
      </c>
      <c r="B436" s="19">
        <v>903</v>
      </c>
      <c r="C436" s="24" t="s">
        <v>299</v>
      </c>
      <c r="D436" s="24" t="s">
        <v>150</v>
      </c>
      <c r="E436" s="24" t="s">
        <v>1226</v>
      </c>
      <c r="F436" s="24"/>
      <c r="G436" s="463">
        <f t="shared" si="39"/>
        <v>260</v>
      </c>
      <c r="H436" s="463">
        <f t="shared" si="39"/>
        <v>285</v>
      </c>
      <c r="I436" s="204"/>
    </row>
    <row r="437" spans="1:9" ht="31.5" x14ac:dyDescent="0.25">
      <c r="A437" s="466" t="s">
        <v>996</v>
      </c>
      <c r="B437" s="16">
        <v>903</v>
      </c>
      <c r="C437" s="20" t="s">
        <v>299</v>
      </c>
      <c r="D437" s="20" t="s">
        <v>150</v>
      </c>
      <c r="E437" s="20" t="s">
        <v>1227</v>
      </c>
      <c r="F437" s="20"/>
      <c r="G437" s="467">
        <f>G438</f>
        <v>260</v>
      </c>
      <c r="H437" s="467">
        <f>H438</f>
        <v>285</v>
      </c>
      <c r="I437" s="204"/>
    </row>
    <row r="438" spans="1:9" ht="31.5" x14ac:dyDescent="0.25">
      <c r="A438" s="466" t="s">
        <v>131</v>
      </c>
      <c r="B438" s="16">
        <v>903</v>
      </c>
      <c r="C438" s="20" t="s">
        <v>299</v>
      </c>
      <c r="D438" s="20" t="s">
        <v>150</v>
      </c>
      <c r="E438" s="20" t="s">
        <v>1227</v>
      </c>
      <c r="F438" s="20" t="s">
        <v>132</v>
      </c>
      <c r="G438" s="467">
        <f>G439</f>
        <v>260</v>
      </c>
      <c r="H438" s="467">
        <f>H439</f>
        <v>285</v>
      </c>
      <c r="I438" s="204"/>
    </row>
    <row r="439" spans="1:9" ht="37.35" customHeight="1" x14ac:dyDescent="0.25">
      <c r="A439" s="466" t="s">
        <v>133</v>
      </c>
      <c r="B439" s="16">
        <v>903</v>
      </c>
      <c r="C439" s="20" t="s">
        <v>299</v>
      </c>
      <c r="D439" s="20" t="s">
        <v>150</v>
      </c>
      <c r="E439" s="20" t="s">
        <v>1227</v>
      </c>
      <c r="F439" s="20" t="s">
        <v>134</v>
      </c>
      <c r="G439" s="467">
        <f>260</f>
        <v>260</v>
      </c>
      <c r="H439" s="467">
        <v>285</v>
      </c>
      <c r="I439" s="204"/>
    </row>
    <row r="440" spans="1:9" s="203" customFormat="1" ht="51" customHeight="1" x14ac:dyDescent="0.25">
      <c r="A440" s="34" t="s">
        <v>1447</v>
      </c>
      <c r="B440" s="19">
        <v>903</v>
      </c>
      <c r="C440" s="24" t="s">
        <v>299</v>
      </c>
      <c r="D440" s="24" t="s">
        <v>150</v>
      </c>
      <c r="E440" s="24" t="s">
        <v>324</v>
      </c>
      <c r="F440" s="24"/>
      <c r="G440" s="463">
        <f>G442</f>
        <v>0</v>
      </c>
      <c r="H440" s="463">
        <f>H441</f>
        <v>4</v>
      </c>
      <c r="I440" s="204"/>
    </row>
    <row r="441" spans="1:9" s="203" customFormat="1" ht="59.1" customHeight="1" x14ac:dyDescent="0.25">
      <c r="A441" s="34" t="s">
        <v>1025</v>
      </c>
      <c r="B441" s="19">
        <v>903</v>
      </c>
      <c r="C441" s="24" t="s">
        <v>299</v>
      </c>
      <c r="D441" s="24" t="s">
        <v>150</v>
      </c>
      <c r="E441" s="24" t="s">
        <v>934</v>
      </c>
      <c r="F441" s="24"/>
      <c r="G441" s="463">
        <f>G444</f>
        <v>0</v>
      </c>
      <c r="H441" s="463">
        <f>H442</f>
        <v>4</v>
      </c>
      <c r="I441" s="204"/>
    </row>
    <row r="442" spans="1:9" s="203" customFormat="1" ht="53.1" customHeight="1" x14ac:dyDescent="0.25">
      <c r="A442" s="31" t="s">
        <v>1083</v>
      </c>
      <c r="B442" s="16">
        <v>903</v>
      </c>
      <c r="C442" s="20" t="s">
        <v>299</v>
      </c>
      <c r="D442" s="20" t="s">
        <v>150</v>
      </c>
      <c r="E442" s="20" t="s">
        <v>1026</v>
      </c>
      <c r="F442" s="20"/>
      <c r="G442" s="467">
        <f>G443</f>
        <v>0</v>
      </c>
      <c r="H442" s="467">
        <f>H443</f>
        <v>4</v>
      </c>
      <c r="I442" s="204"/>
    </row>
    <row r="443" spans="1:9" s="203" customFormat="1" ht="37.35" customHeight="1" x14ac:dyDescent="0.25">
      <c r="A443" s="466" t="s">
        <v>131</v>
      </c>
      <c r="B443" s="16">
        <v>903</v>
      </c>
      <c r="C443" s="20" t="s">
        <v>299</v>
      </c>
      <c r="D443" s="20" t="s">
        <v>150</v>
      </c>
      <c r="E443" s="20" t="s">
        <v>1026</v>
      </c>
      <c r="F443" s="20" t="s">
        <v>132</v>
      </c>
      <c r="G443" s="467">
        <f>G444</f>
        <v>0</v>
      </c>
      <c r="H443" s="467">
        <f>H444</f>
        <v>4</v>
      </c>
      <c r="I443" s="204"/>
    </row>
    <row r="444" spans="1:9" s="203" customFormat="1" ht="37.35" customHeight="1" x14ac:dyDescent="0.25">
      <c r="A444" s="466" t="s">
        <v>133</v>
      </c>
      <c r="B444" s="16">
        <v>903</v>
      </c>
      <c r="C444" s="20" t="s">
        <v>299</v>
      </c>
      <c r="D444" s="20" t="s">
        <v>150</v>
      </c>
      <c r="E444" s="20" t="s">
        <v>1026</v>
      </c>
      <c r="F444" s="20" t="s">
        <v>134</v>
      </c>
      <c r="G444" s="467">
        <v>0</v>
      </c>
      <c r="H444" s="467">
        <v>4</v>
      </c>
      <c r="I444" s="204"/>
    </row>
    <row r="445" spans="1:9" ht="15.75" x14ac:dyDescent="0.25">
      <c r="A445" s="464" t="s">
        <v>243</v>
      </c>
      <c r="B445" s="19">
        <v>903</v>
      </c>
      <c r="C445" s="24" t="s">
        <v>244</v>
      </c>
      <c r="D445" s="24"/>
      <c r="E445" s="24"/>
      <c r="F445" s="24"/>
      <c r="G445" s="463">
        <f>G446</f>
        <v>2001.6100000000001</v>
      </c>
      <c r="H445" s="463">
        <f>H446</f>
        <v>2026.1100000000001</v>
      </c>
      <c r="I445" s="204"/>
    </row>
    <row r="446" spans="1:9" ht="15.75" x14ac:dyDescent="0.25">
      <c r="A446" s="464" t="s">
        <v>252</v>
      </c>
      <c r="B446" s="19">
        <v>903</v>
      </c>
      <c r="C446" s="24" t="s">
        <v>244</v>
      </c>
      <c r="D446" s="24" t="s">
        <v>215</v>
      </c>
      <c r="E446" s="24"/>
      <c r="F446" s="24"/>
      <c r="G446" s="463">
        <f>G447</f>
        <v>2001.6100000000001</v>
      </c>
      <c r="H446" s="463">
        <f>H447</f>
        <v>2026.1100000000001</v>
      </c>
      <c r="I446" s="204"/>
    </row>
    <row r="447" spans="1:9" ht="47.25" x14ac:dyDescent="0.25">
      <c r="A447" s="464" t="s">
        <v>1377</v>
      </c>
      <c r="B447" s="19">
        <v>903</v>
      </c>
      <c r="C447" s="24" t="s">
        <v>244</v>
      </c>
      <c r="D447" s="24" t="s">
        <v>215</v>
      </c>
      <c r="E447" s="24" t="s">
        <v>344</v>
      </c>
      <c r="F447" s="24"/>
      <c r="G447" s="463">
        <f>G448+G453</f>
        <v>2001.6100000000001</v>
      </c>
      <c r="H447" s="463">
        <f>H448+H453</f>
        <v>2026.1100000000001</v>
      </c>
      <c r="I447" s="204"/>
    </row>
    <row r="448" spans="1:9" ht="31.5" x14ac:dyDescent="0.25">
      <c r="A448" s="464" t="s">
        <v>352</v>
      </c>
      <c r="B448" s="19">
        <v>903</v>
      </c>
      <c r="C448" s="24" t="s">
        <v>244</v>
      </c>
      <c r="D448" s="24" t="s">
        <v>215</v>
      </c>
      <c r="E448" s="24" t="s">
        <v>353</v>
      </c>
      <c r="F448" s="24"/>
      <c r="G448" s="463">
        <f t="shared" ref="G448:H451" si="40">G449</f>
        <v>294.61</v>
      </c>
      <c r="H448" s="463">
        <f t="shared" si="40"/>
        <v>289.11</v>
      </c>
      <c r="I448" s="204"/>
    </row>
    <row r="449" spans="1:13" ht="31.5" x14ac:dyDescent="0.25">
      <c r="A449" s="464" t="s">
        <v>905</v>
      </c>
      <c r="B449" s="19">
        <v>903</v>
      </c>
      <c r="C449" s="24" t="s">
        <v>244</v>
      </c>
      <c r="D449" s="24" t="s">
        <v>215</v>
      </c>
      <c r="E449" s="24" t="s">
        <v>904</v>
      </c>
      <c r="F449" s="24"/>
      <c r="G449" s="463">
        <f t="shared" si="40"/>
        <v>294.61</v>
      </c>
      <c r="H449" s="463">
        <f t="shared" si="40"/>
        <v>289.11</v>
      </c>
      <c r="I449" s="204"/>
    </row>
    <row r="450" spans="1:13" ht="31.5" x14ac:dyDescent="0.25">
      <c r="A450" s="466" t="s">
        <v>824</v>
      </c>
      <c r="B450" s="16">
        <v>903</v>
      </c>
      <c r="C450" s="20" t="s">
        <v>244</v>
      </c>
      <c r="D450" s="20" t="s">
        <v>215</v>
      </c>
      <c r="E450" s="20" t="s">
        <v>906</v>
      </c>
      <c r="F450" s="20"/>
      <c r="G450" s="467">
        <f t="shared" si="40"/>
        <v>294.61</v>
      </c>
      <c r="H450" s="467">
        <f t="shared" si="40"/>
        <v>289.11</v>
      </c>
      <c r="I450" s="204"/>
    </row>
    <row r="451" spans="1:13" ht="21.2" customHeight="1" x14ac:dyDescent="0.25">
      <c r="A451" s="466" t="s">
        <v>248</v>
      </c>
      <c r="B451" s="16">
        <v>903</v>
      </c>
      <c r="C451" s="20" t="s">
        <v>244</v>
      </c>
      <c r="D451" s="20" t="s">
        <v>215</v>
      </c>
      <c r="E451" s="20" t="s">
        <v>906</v>
      </c>
      <c r="F451" s="20" t="s">
        <v>249</v>
      </c>
      <c r="G451" s="467">
        <f>G452</f>
        <v>294.61</v>
      </c>
      <c r="H451" s="467">
        <f t="shared" si="40"/>
        <v>289.11</v>
      </c>
      <c r="I451" s="204"/>
    </row>
    <row r="452" spans="1:13" ht="31.5" x14ac:dyDescent="0.25">
      <c r="A452" s="466" t="s">
        <v>250</v>
      </c>
      <c r="B452" s="16">
        <v>903</v>
      </c>
      <c r="C452" s="20" t="s">
        <v>244</v>
      </c>
      <c r="D452" s="20" t="s">
        <v>215</v>
      </c>
      <c r="E452" s="20" t="s">
        <v>906</v>
      </c>
      <c r="F452" s="20" t="s">
        <v>251</v>
      </c>
      <c r="G452" s="467">
        <f>267.8+26.81</f>
        <v>294.61</v>
      </c>
      <c r="H452" s="467">
        <f>262.8+26.31</f>
        <v>289.11</v>
      </c>
      <c r="I452" s="204"/>
      <c r="L452">
        <v>26.81</v>
      </c>
      <c r="M452">
        <v>26.31</v>
      </c>
    </row>
    <row r="453" spans="1:13" ht="31.5" x14ac:dyDescent="0.25">
      <c r="A453" s="464" t="s">
        <v>355</v>
      </c>
      <c r="B453" s="19">
        <v>903</v>
      </c>
      <c r="C453" s="19">
        <v>10</v>
      </c>
      <c r="D453" s="24" t="s">
        <v>215</v>
      </c>
      <c r="E453" s="24" t="s">
        <v>362</v>
      </c>
      <c r="F453" s="24"/>
      <c r="G453" s="463">
        <f>G455+G458+G464</f>
        <v>1707</v>
      </c>
      <c r="H453" s="463">
        <f>H455+H458+H464</f>
        <v>1737</v>
      </c>
      <c r="I453" s="204"/>
    </row>
    <row r="454" spans="1:13" ht="31.5" x14ac:dyDescent="0.25">
      <c r="A454" s="464" t="s">
        <v>1040</v>
      </c>
      <c r="B454" s="19">
        <v>903</v>
      </c>
      <c r="C454" s="19">
        <v>10</v>
      </c>
      <c r="D454" s="24" t="s">
        <v>215</v>
      </c>
      <c r="E454" s="24" t="s">
        <v>913</v>
      </c>
      <c r="F454" s="24"/>
      <c r="G454" s="463">
        <f t="shared" ref="G454:H456" si="41">G455</f>
        <v>630</v>
      </c>
      <c r="H454" s="463">
        <f t="shared" si="41"/>
        <v>630</v>
      </c>
      <c r="I454" s="204"/>
    </row>
    <row r="455" spans="1:13" ht="47.25" x14ac:dyDescent="0.25">
      <c r="A455" s="98" t="s">
        <v>1041</v>
      </c>
      <c r="B455" s="16">
        <v>903</v>
      </c>
      <c r="C455" s="20" t="s">
        <v>244</v>
      </c>
      <c r="D455" s="20" t="s">
        <v>215</v>
      </c>
      <c r="E455" s="20" t="s">
        <v>1229</v>
      </c>
      <c r="F455" s="20"/>
      <c r="G455" s="467">
        <f t="shared" si="41"/>
        <v>630</v>
      </c>
      <c r="H455" s="467">
        <f t="shared" si="41"/>
        <v>630</v>
      </c>
      <c r="I455" s="204"/>
    </row>
    <row r="456" spans="1:13" ht="22.7" customHeight="1" x14ac:dyDescent="0.25">
      <c r="A456" s="466" t="s">
        <v>248</v>
      </c>
      <c r="B456" s="16">
        <v>903</v>
      </c>
      <c r="C456" s="20" t="s">
        <v>244</v>
      </c>
      <c r="D456" s="20" t="s">
        <v>215</v>
      </c>
      <c r="E456" s="20" t="s">
        <v>1229</v>
      </c>
      <c r="F456" s="20" t="s">
        <v>249</v>
      </c>
      <c r="G456" s="467">
        <f t="shared" si="41"/>
        <v>630</v>
      </c>
      <c r="H456" s="467">
        <f t="shared" si="41"/>
        <v>630</v>
      </c>
      <c r="I456" s="204"/>
    </row>
    <row r="457" spans="1:13" ht="31.5" x14ac:dyDescent="0.25">
      <c r="A457" s="466" t="s">
        <v>348</v>
      </c>
      <c r="B457" s="16">
        <v>903</v>
      </c>
      <c r="C457" s="20" t="s">
        <v>244</v>
      </c>
      <c r="D457" s="20" t="s">
        <v>215</v>
      </c>
      <c r="E457" s="20" t="s">
        <v>1229</v>
      </c>
      <c r="F457" s="20" t="s">
        <v>349</v>
      </c>
      <c r="G457" s="467">
        <v>630</v>
      </c>
      <c r="H457" s="467">
        <f t="shared" si="38"/>
        <v>630</v>
      </c>
      <c r="I457" s="204"/>
    </row>
    <row r="458" spans="1:13" ht="31.5" x14ac:dyDescent="0.25">
      <c r="A458" s="464" t="s">
        <v>1233</v>
      </c>
      <c r="B458" s="19">
        <v>903</v>
      </c>
      <c r="C458" s="19">
        <v>10</v>
      </c>
      <c r="D458" s="24" t="s">
        <v>215</v>
      </c>
      <c r="E458" s="24" t="s">
        <v>1231</v>
      </c>
      <c r="F458" s="24"/>
      <c r="G458" s="463">
        <f>G459+G462</f>
        <v>657</v>
      </c>
      <c r="H458" s="463">
        <f>H459+H462</f>
        <v>657</v>
      </c>
      <c r="I458" s="204"/>
    </row>
    <row r="459" spans="1:13" ht="31.5" x14ac:dyDescent="0.25">
      <c r="A459" s="466" t="s">
        <v>1230</v>
      </c>
      <c r="B459" s="16">
        <v>903</v>
      </c>
      <c r="C459" s="20" t="s">
        <v>244</v>
      </c>
      <c r="D459" s="20" t="s">
        <v>215</v>
      </c>
      <c r="E459" s="20" t="s">
        <v>1232</v>
      </c>
      <c r="F459" s="20"/>
      <c r="G459" s="467">
        <f>G460</f>
        <v>400</v>
      </c>
      <c r="H459" s="467">
        <f>H460</f>
        <v>400</v>
      </c>
      <c r="I459" s="204"/>
    </row>
    <row r="460" spans="1:13" ht="31.5" x14ac:dyDescent="0.25">
      <c r="A460" s="466" t="s">
        <v>131</v>
      </c>
      <c r="B460" s="16">
        <v>903</v>
      </c>
      <c r="C460" s="20" t="s">
        <v>244</v>
      </c>
      <c r="D460" s="20" t="s">
        <v>215</v>
      </c>
      <c r="E460" s="20" t="s">
        <v>1232</v>
      </c>
      <c r="F460" s="20" t="s">
        <v>132</v>
      </c>
      <c r="G460" s="467">
        <f>G461</f>
        <v>400</v>
      </c>
      <c r="H460" s="467">
        <f>H461</f>
        <v>400</v>
      </c>
      <c r="I460" s="204"/>
    </row>
    <row r="461" spans="1:13" ht="31.5" x14ac:dyDescent="0.25">
      <c r="A461" s="466" t="s">
        <v>133</v>
      </c>
      <c r="B461" s="16">
        <v>903</v>
      </c>
      <c r="C461" s="20" t="s">
        <v>244</v>
      </c>
      <c r="D461" s="20" t="s">
        <v>215</v>
      </c>
      <c r="E461" s="20" t="s">
        <v>1232</v>
      </c>
      <c r="F461" s="20" t="s">
        <v>134</v>
      </c>
      <c r="G461" s="467">
        <v>400</v>
      </c>
      <c r="H461" s="467">
        <f t="shared" si="38"/>
        <v>400</v>
      </c>
      <c r="I461" s="204"/>
    </row>
    <row r="462" spans="1:13" s="203" customFormat="1" ht="31.5" x14ac:dyDescent="0.25">
      <c r="A462" s="466" t="s">
        <v>248</v>
      </c>
      <c r="B462" s="16">
        <v>903</v>
      </c>
      <c r="C462" s="20" t="s">
        <v>244</v>
      </c>
      <c r="D462" s="20" t="s">
        <v>215</v>
      </c>
      <c r="E462" s="20" t="s">
        <v>1232</v>
      </c>
      <c r="F462" s="20" t="s">
        <v>249</v>
      </c>
      <c r="G462" s="467">
        <f>G463</f>
        <v>257</v>
      </c>
      <c r="H462" s="467">
        <f>H463</f>
        <v>257</v>
      </c>
      <c r="I462" s="204"/>
    </row>
    <row r="463" spans="1:13" s="203" customFormat="1" ht="31.5" x14ac:dyDescent="0.25">
      <c r="A463" s="466" t="s">
        <v>348</v>
      </c>
      <c r="B463" s="16">
        <v>903</v>
      </c>
      <c r="C463" s="20" t="s">
        <v>244</v>
      </c>
      <c r="D463" s="20" t="s">
        <v>215</v>
      </c>
      <c r="E463" s="20" t="s">
        <v>1232</v>
      </c>
      <c r="F463" s="20" t="s">
        <v>349</v>
      </c>
      <c r="G463" s="467">
        <v>257</v>
      </c>
      <c r="H463" s="467">
        <f t="shared" si="38"/>
        <v>257</v>
      </c>
      <c r="I463" s="204"/>
    </row>
    <row r="464" spans="1:13" ht="31.5" x14ac:dyDescent="0.25">
      <c r="A464" s="464" t="s">
        <v>997</v>
      </c>
      <c r="B464" s="19">
        <v>903</v>
      </c>
      <c r="C464" s="19">
        <v>10</v>
      </c>
      <c r="D464" s="24" t="s">
        <v>215</v>
      </c>
      <c r="E464" s="24" t="s">
        <v>1226</v>
      </c>
      <c r="F464" s="24"/>
      <c r="G464" s="463">
        <f>G465</f>
        <v>420</v>
      </c>
      <c r="H464" s="463">
        <f t="shared" ref="H464:H466" si="42">H465</f>
        <v>450</v>
      </c>
      <c r="I464" s="204"/>
    </row>
    <row r="465" spans="1:9" ht="15.75" x14ac:dyDescent="0.25">
      <c r="A465" s="466" t="s">
        <v>1038</v>
      </c>
      <c r="B465" s="16">
        <v>903</v>
      </c>
      <c r="C465" s="20" t="s">
        <v>244</v>
      </c>
      <c r="D465" s="20" t="s">
        <v>215</v>
      </c>
      <c r="E465" s="20" t="s">
        <v>1228</v>
      </c>
      <c r="F465" s="20"/>
      <c r="G465" s="467">
        <f>G466</f>
        <v>420</v>
      </c>
      <c r="H465" s="467">
        <f t="shared" si="42"/>
        <v>450</v>
      </c>
      <c r="I465" s="204"/>
    </row>
    <row r="466" spans="1:9" ht="17.45" customHeight="1" x14ac:dyDescent="0.25">
      <c r="A466" s="466" t="s">
        <v>248</v>
      </c>
      <c r="B466" s="16">
        <v>903</v>
      </c>
      <c r="C466" s="20" t="s">
        <v>244</v>
      </c>
      <c r="D466" s="20" t="s">
        <v>215</v>
      </c>
      <c r="E466" s="20" t="s">
        <v>1228</v>
      </c>
      <c r="F466" s="20" t="s">
        <v>249</v>
      </c>
      <c r="G466" s="467">
        <f>G467</f>
        <v>420</v>
      </c>
      <c r="H466" s="467">
        <f t="shared" si="42"/>
        <v>450</v>
      </c>
      <c r="I466" s="204"/>
    </row>
    <row r="467" spans="1:9" ht="31.5" x14ac:dyDescent="0.25">
      <c r="A467" s="466" t="s">
        <v>348</v>
      </c>
      <c r="B467" s="16">
        <v>903</v>
      </c>
      <c r="C467" s="20" t="s">
        <v>244</v>
      </c>
      <c r="D467" s="20" t="s">
        <v>215</v>
      </c>
      <c r="E467" s="20" t="s">
        <v>1228</v>
      </c>
      <c r="F467" s="20" t="s">
        <v>349</v>
      </c>
      <c r="G467" s="467">
        <v>420</v>
      </c>
      <c r="H467" s="467">
        <v>450</v>
      </c>
      <c r="I467" s="204"/>
    </row>
    <row r="468" spans="1:9" s="203" customFormat="1" ht="15.75" x14ac:dyDescent="0.25">
      <c r="A468" s="464" t="s">
        <v>582</v>
      </c>
      <c r="B468" s="19">
        <v>903</v>
      </c>
      <c r="C468" s="24" t="s">
        <v>238</v>
      </c>
      <c r="D468" s="20"/>
      <c r="E468" s="20"/>
      <c r="F468" s="20"/>
      <c r="G468" s="463">
        <f>G469</f>
        <v>5873.2</v>
      </c>
      <c r="H468" s="463">
        <f>H469</f>
        <v>5876.2</v>
      </c>
      <c r="I468" s="204"/>
    </row>
    <row r="469" spans="1:9" s="203" customFormat="1" ht="15.75" x14ac:dyDescent="0.25">
      <c r="A469" s="464" t="s">
        <v>583</v>
      </c>
      <c r="B469" s="19">
        <v>903</v>
      </c>
      <c r="C469" s="24" t="s">
        <v>238</v>
      </c>
      <c r="D469" s="24" t="s">
        <v>213</v>
      </c>
      <c r="E469" s="24"/>
      <c r="F469" s="24"/>
      <c r="G469" s="463">
        <f>G470+G483</f>
        <v>5873.2</v>
      </c>
      <c r="H469" s="463">
        <f>H470+H483</f>
        <v>5876.2</v>
      </c>
      <c r="I469" s="204"/>
    </row>
    <row r="470" spans="1:9" s="203" customFormat="1" ht="31.5" x14ac:dyDescent="0.25">
      <c r="A470" s="464" t="s">
        <v>1362</v>
      </c>
      <c r="B470" s="19">
        <v>903</v>
      </c>
      <c r="C470" s="24" t="s">
        <v>238</v>
      </c>
      <c r="D470" s="24" t="s">
        <v>213</v>
      </c>
      <c r="E470" s="24" t="s">
        <v>267</v>
      </c>
      <c r="F470" s="24"/>
      <c r="G470" s="463">
        <f>G471+G479</f>
        <v>5798.3</v>
      </c>
      <c r="H470" s="463">
        <f>H471+H479</f>
        <v>5798.3</v>
      </c>
      <c r="I470" s="204"/>
    </row>
    <row r="471" spans="1:9" s="203" customFormat="1" ht="31.5" x14ac:dyDescent="0.25">
      <c r="A471" s="464" t="s">
        <v>1305</v>
      </c>
      <c r="B471" s="19">
        <v>903</v>
      </c>
      <c r="C471" s="24" t="s">
        <v>238</v>
      </c>
      <c r="D471" s="24" t="s">
        <v>213</v>
      </c>
      <c r="E471" s="24" t="s">
        <v>1208</v>
      </c>
      <c r="F471" s="24"/>
      <c r="G471" s="463">
        <f>G472</f>
        <v>5522.3</v>
      </c>
      <c r="H471" s="463">
        <f>H472</f>
        <v>5522.3</v>
      </c>
      <c r="I471" s="204"/>
    </row>
    <row r="472" spans="1:9" s="203" customFormat="1" ht="15.75" x14ac:dyDescent="0.25">
      <c r="A472" s="466" t="s">
        <v>801</v>
      </c>
      <c r="B472" s="16">
        <v>903</v>
      </c>
      <c r="C472" s="20" t="s">
        <v>238</v>
      </c>
      <c r="D472" s="20" t="s">
        <v>213</v>
      </c>
      <c r="E472" s="20" t="s">
        <v>1209</v>
      </c>
      <c r="F472" s="20"/>
      <c r="G472" s="467">
        <f>G473+G475+G477</f>
        <v>5522.3</v>
      </c>
      <c r="H472" s="467">
        <f>H473+H475+H477</f>
        <v>5522.3</v>
      </c>
      <c r="I472" s="204"/>
    </row>
    <row r="473" spans="1:9" s="203" customFormat="1" ht="78.75" x14ac:dyDescent="0.25">
      <c r="A473" s="466" t="s">
        <v>127</v>
      </c>
      <c r="B473" s="16">
        <v>903</v>
      </c>
      <c r="C473" s="20" t="s">
        <v>238</v>
      </c>
      <c r="D473" s="20" t="s">
        <v>213</v>
      </c>
      <c r="E473" s="20" t="s">
        <v>1209</v>
      </c>
      <c r="F473" s="20" t="s">
        <v>128</v>
      </c>
      <c r="G473" s="467">
        <f>G474</f>
        <v>4897.2</v>
      </c>
      <c r="H473" s="467">
        <f>H474</f>
        <v>4897.2</v>
      </c>
      <c r="I473" s="204"/>
    </row>
    <row r="474" spans="1:9" s="203" customFormat="1" ht="15.75" x14ac:dyDescent="0.25">
      <c r="A474" s="466" t="s">
        <v>208</v>
      </c>
      <c r="B474" s="16">
        <v>903</v>
      </c>
      <c r="C474" s="20" t="s">
        <v>238</v>
      </c>
      <c r="D474" s="20" t="s">
        <v>213</v>
      </c>
      <c r="E474" s="20" t="s">
        <v>1209</v>
      </c>
      <c r="F474" s="20" t="s">
        <v>209</v>
      </c>
      <c r="G474" s="27">
        <v>4897.2</v>
      </c>
      <c r="H474" s="27">
        <f>G474</f>
        <v>4897.2</v>
      </c>
      <c r="I474" s="204"/>
    </row>
    <row r="475" spans="1:9" s="203" customFormat="1" ht="31.5" x14ac:dyDescent="0.25">
      <c r="A475" s="466" t="s">
        <v>131</v>
      </c>
      <c r="B475" s="16">
        <v>903</v>
      </c>
      <c r="C475" s="20" t="s">
        <v>238</v>
      </c>
      <c r="D475" s="20" t="s">
        <v>213</v>
      </c>
      <c r="E475" s="20" t="s">
        <v>1209</v>
      </c>
      <c r="F475" s="20" t="s">
        <v>132</v>
      </c>
      <c r="G475" s="467">
        <f>G476</f>
        <v>595.1</v>
      </c>
      <c r="H475" s="467">
        <f>H476</f>
        <v>595.1</v>
      </c>
      <c r="I475" s="204"/>
    </row>
    <row r="476" spans="1:9" s="203" customFormat="1" ht="33.4" customHeight="1" x14ac:dyDescent="0.25">
      <c r="A476" s="466" t="s">
        <v>133</v>
      </c>
      <c r="B476" s="16">
        <v>903</v>
      </c>
      <c r="C476" s="20" t="s">
        <v>238</v>
      </c>
      <c r="D476" s="20" t="s">
        <v>213</v>
      </c>
      <c r="E476" s="20" t="s">
        <v>1209</v>
      </c>
      <c r="F476" s="20" t="s">
        <v>134</v>
      </c>
      <c r="G476" s="27">
        <v>595.1</v>
      </c>
      <c r="H476" s="27">
        <f>G476</f>
        <v>595.1</v>
      </c>
      <c r="I476" s="204"/>
    </row>
    <row r="477" spans="1:9" s="203" customFormat="1" ht="15.75" x14ac:dyDescent="0.25">
      <c r="A477" s="466" t="s">
        <v>135</v>
      </c>
      <c r="B477" s="16">
        <v>903</v>
      </c>
      <c r="C477" s="20" t="s">
        <v>238</v>
      </c>
      <c r="D477" s="20" t="s">
        <v>213</v>
      </c>
      <c r="E477" s="20" t="s">
        <v>1209</v>
      </c>
      <c r="F477" s="20" t="s">
        <v>145</v>
      </c>
      <c r="G477" s="467">
        <f>G478</f>
        <v>30</v>
      </c>
      <c r="H477" s="467">
        <f>H478</f>
        <v>30</v>
      </c>
      <c r="I477" s="204"/>
    </row>
    <row r="478" spans="1:9" s="203" customFormat="1" ht="15.75" x14ac:dyDescent="0.25">
      <c r="A478" s="466" t="s">
        <v>568</v>
      </c>
      <c r="B478" s="16">
        <v>903</v>
      </c>
      <c r="C478" s="20" t="s">
        <v>238</v>
      </c>
      <c r="D478" s="20" t="s">
        <v>213</v>
      </c>
      <c r="E478" s="20" t="s">
        <v>1209</v>
      </c>
      <c r="F478" s="20" t="s">
        <v>138</v>
      </c>
      <c r="G478" s="467">
        <v>30</v>
      </c>
      <c r="H478" s="467">
        <f>G478</f>
        <v>30</v>
      </c>
      <c r="I478" s="204"/>
    </row>
    <row r="479" spans="1:9" s="203" customFormat="1" ht="31.5" x14ac:dyDescent="0.25">
      <c r="A479" s="464" t="s">
        <v>947</v>
      </c>
      <c r="B479" s="19">
        <v>903</v>
      </c>
      <c r="C479" s="24" t="s">
        <v>238</v>
      </c>
      <c r="D479" s="24" t="s">
        <v>213</v>
      </c>
      <c r="E479" s="24" t="s">
        <v>1213</v>
      </c>
      <c r="F479" s="24"/>
      <c r="G479" s="463">
        <f t="shared" ref="G479:H481" si="43">G480</f>
        <v>276</v>
      </c>
      <c r="H479" s="463">
        <f t="shared" si="43"/>
        <v>276</v>
      </c>
      <c r="I479" s="204"/>
    </row>
    <row r="480" spans="1:9" s="203" customFormat="1" ht="47.25" x14ac:dyDescent="0.25">
      <c r="A480" s="466" t="s">
        <v>839</v>
      </c>
      <c r="B480" s="16">
        <v>903</v>
      </c>
      <c r="C480" s="20" t="s">
        <v>238</v>
      </c>
      <c r="D480" s="20" t="s">
        <v>213</v>
      </c>
      <c r="E480" s="20" t="s">
        <v>1214</v>
      </c>
      <c r="F480" s="20"/>
      <c r="G480" s="467">
        <f t="shared" si="43"/>
        <v>276</v>
      </c>
      <c r="H480" s="467">
        <f t="shared" si="43"/>
        <v>276</v>
      </c>
      <c r="I480" s="204"/>
    </row>
    <row r="481" spans="1:9" s="203" customFormat="1" ht="78.75" x14ac:dyDescent="0.25">
      <c r="A481" s="466" t="s">
        <v>127</v>
      </c>
      <c r="B481" s="16">
        <v>903</v>
      </c>
      <c r="C481" s="20" t="s">
        <v>238</v>
      </c>
      <c r="D481" s="20" t="s">
        <v>213</v>
      </c>
      <c r="E481" s="20" t="s">
        <v>1214</v>
      </c>
      <c r="F481" s="20" t="s">
        <v>128</v>
      </c>
      <c r="G481" s="467">
        <f t="shared" si="43"/>
        <v>276</v>
      </c>
      <c r="H481" s="467">
        <f t="shared" si="43"/>
        <v>276</v>
      </c>
      <c r="I481" s="204"/>
    </row>
    <row r="482" spans="1:9" s="203" customFormat="1" ht="15.75" x14ac:dyDescent="0.25">
      <c r="A482" s="466" t="s">
        <v>208</v>
      </c>
      <c r="B482" s="16">
        <v>903</v>
      </c>
      <c r="C482" s="20" t="s">
        <v>238</v>
      </c>
      <c r="D482" s="20" t="s">
        <v>213</v>
      </c>
      <c r="E482" s="20" t="s">
        <v>1214</v>
      </c>
      <c r="F482" s="20" t="s">
        <v>209</v>
      </c>
      <c r="G482" s="467">
        <v>276</v>
      </c>
      <c r="H482" s="467">
        <f>G482</f>
        <v>276</v>
      </c>
      <c r="I482" s="204"/>
    </row>
    <row r="483" spans="1:9" s="203" customFormat="1" ht="47.25" x14ac:dyDescent="0.25">
      <c r="A483" s="470" t="s">
        <v>1363</v>
      </c>
      <c r="B483" s="19">
        <v>903</v>
      </c>
      <c r="C483" s="24" t="s">
        <v>238</v>
      </c>
      <c r="D483" s="24" t="s">
        <v>213</v>
      </c>
      <c r="E483" s="24" t="s">
        <v>705</v>
      </c>
      <c r="F483" s="221"/>
      <c r="G483" s="463">
        <f>G485</f>
        <v>74.900000000000006</v>
      </c>
      <c r="H483" s="463">
        <f>H485</f>
        <v>77.900000000000006</v>
      </c>
      <c r="I483" s="204"/>
    </row>
    <row r="484" spans="1:9" s="203" customFormat="1" ht="47.25" x14ac:dyDescent="0.25">
      <c r="A484" s="470" t="s">
        <v>890</v>
      </c>
      <c r="B484" s="19">
        <v>903</v>
      </c>
      <c r="C484" s="24" t="s">
        <v>238</v>
      </c>
      <c r="D484" s="24" t="s">
        <v>213</v>
      </c>
      <c r="E484" s="24" t="s">
        <v>888</v>
      </c>
      <c r="F484" s="221"/>
      <c r="G484" s="463">
        <f t="shared" ref="G484:H486" si="44">G485</f>
        <v>74.900000000000006</v>
      </c>
      <c r="H484" s="463">
        <f t="shared" si="44"/>
        <v>77.900000000000006</v>
      </c>
      <c r="I484" s="204"/>
    </row>
    <row r="485" spans="1:9" s="203" customFormat="1" ht="29.25" customHeight="1" x14ac:dyDescent="0.25">
      <c r="A485" s="98" t="s">
        <v>1004</v>
      </c>
      <c r="B485" s="16">
        <v>903</v>
      </c>
      <c r="C485" s="20" t="s">
        <v>238</v>
      </c>
      <c r="D485" s="20" t="s">
        <v>213</v>
      </c>
      <c r="E485" s="20" t="s">
        <v>889</v>
      </c>
      <c r="F485" s="32"/>
      <c r="G485" s="467">
        <f t="shared" si="44"/>
        <v>74.900000000000006</v>
      </c>
      <c r="H485" s="467">
        <f t="shared" si="44"/>
        <v>77.900000000000006</v>
      </c>
      <c r="I485" s="204"/>
    </row>
    <row r="486" spans="1:9" s="203" customFormat="1" ht="31.5" x14ac:dyDescent="0.25">
      <c r="A486" s="466" t="s">
        <v>131</v>
      </c>
      <c r="B486" s="16">
        <v>903</v>
      </c>
      <c r="C486" s="20" t="s">
        <v>238</v>
      </c>
      <c r="D486" s="20" t="s">
        <v>213</v>
      </c>
      <c r="E486" s="20" t="s">
        <v>889</v>
      </c>
      <c r="F486" s="32" t="s">
        <v>132</v>
      </c>
      <c r="G486" s="467">
        <f t="shared" si="44"/>
        <v>74.900000000000006</v>
      </c>
      <c r="H486" s="467">
        <f t="shared" si="44"/>
        <v>77.900000000000006</v>
      </c>
      <c r="I486" s="204"/>
    </row>
    <row r="487" spans="1:9" s="203" customFormat="1" ht="30.6" customHeight="1" x14ac:dyDescent="0.25">
      <c r="A487" s="466" t="s">
        <v>133</v>
      </c>
      <c r="B487" s="16">
        <v>903</v>
      </c>
      <c r="C487" s="20" t="s">
        <v>238</v>
      </c>
      <c r="D487" s="20" t="s">
        <v>213</v>
      </c>
      <c r="E487" s="20" t="s">
        <v>889</v>
      </c>
      <c r="F487" s="32" t="s">
        <v>134</v>
      </c>
      <c r="G487" s="467">
        <v>74.900000000000006</v>
      </c>
      <c r="H487" s="467">
        <v>77.900000000000006</v>
      </c>
      <c r="I487" s="204"/>
    </row>
    <row r="488" spans="1:9" ht="47.25" x14ac:dyDescent="0.25">
      <c r="A488" s="461" t="s">
        <v>387</v>
      </c>
      <c r="B488" s="19">
        <v>905</v>
      </c>
      <c r="C488" s="20"/>
      <c r="D488" s="20"/>
      <c r="E488" s="20"/>
      <c r="F488" s="20"/>
      <c r="G488" s="463">
        <f>G489+G521+G531</f>
        <v>20108.5</v>
      </c>
      <c r="H488" s="463">
        <f>H489+H521+H531</f>
        <v>28442.600000000002</v>
      </c>
      <c r="I488" s="204"/>
    </row>
    <row r="489" spans="1:9" ht="15.75" x14ac:dyDescent="0.25">
      <c r="A489" s="464" t="s">
        <v>117</v>
      </c>
      <c r="B489" s="19">
        <v>905</v>
      </c>
      <c r="C489" s="24" t="s">
        <v>118</v>
      </c>
      <c r="D489" s="20"/>
      <c r="E489" s="20"/>
      <c r="F489" s="20"/>
      <c r="G489" s="463">
        <f>G490+G507</f>
        <v>17369</v>
      </c>
      <c r="H489" s="463">
        <f>H490+H507</f>
        <v>17369</v>
      </c>
      <c r="I489" s="204"/>
    </row>
    <row r="490" spans="1:9" ht="63" x14ac:dyDescent="0.25">
      <c r="A490" s="464" t="s">
        <v>149</v>
      </c>
      <c r="B490" s="19">
        <v>905</v>
      </c>
      <c r="C490" s="24" t="s">
        <v>118</v>
      </c>
      <c r="D490" s="24" t="s">
        <v>150</v>
      </c>
      <c r="E490" s="24"/>
      <c r="F490" s="24"/>
      <c r="G490" s="463">
        <f>G491</f>
        <v>12166.9</v>
      </c>
      <c r="H490" s="463">
        <f>H491</f>
        <v>12166.9</v>
      </c>
      <c r="I490" s="204"/>
    </row>
    <row r="491" spans="1:9" ht="31.5" x14ac:dyDescent="0.25">
      <c r="A491" s="464" t="s">
        <v>917</v>
      </c>
      <c r="B491" s="19">
        <v>905</v>
      </c>
      <c r="C491" s="24" t="s">
        <v>118</v>
      </c>
      <c r="D491" s="24" t="s">
        <v>150</v>
      </c>
      <c r="E491" s="24" t="s">
        <v>858</v>
      </c>
      <c r="F491" s="24"/>
      <c r="G491" s="463">
        <f>G492+G503</f>
        <v>12166.9</v>
      </c>
      <c r="H491" s="463">
        <f>H492+H503</f>
        <v>12166.9</v>
      </c>
      <c r="I491" s="204"/>
    </row>
    <row r="492" spans="1:9" ht="15.75" x14ac:dyDescent="0.25">
      <c r="A492" s="464" t="s">
        <v>918</v>
      </c>
      <c r="B492" s="19">
        <v>905</v>
      </c>
      <c r="C492" s="24" t="s">
        <v>118</v>
      </c>
      <c r="D492" s="24" t="s">
        <v>150</v>
      </c>
      <c r="E492" s="24" t="s">
        <v>859</v>
      </c>
      <c r="F492" s="24"/>
      <c r="G492" s="463">
        <f>G493+G500</f>
        <v>12144.6</v>
      </c>
      <c r="H492" s="463">
        <f>H493+H500</f>
        <v>12144.6</v>
      </c>
      <c r="I492" s="204"/>
    </row>
    <row r="493" spans="1:9" ht="31.5" x14ac:dyDescent="0.25">
      <c r="A493" s="466" t="s">
        <v>897</v>
      </c>
      <c r="B493" s="16">
        <v>905</v>
      </c>
      <c r="C493" s="20" t="s">
        <v>118</v>
      </c>
      <c r="D493" s="20" t="s">
        <v>150</v>
      </c>
      <c r="E493" s="20" t="s">
        <v>860</v>
      </c>
      <c r="F493" s="20"/>
      <c r="G493" s="467">
        <f>G494+G496+G498</f>
        <v>11682.6</v>
      </c>
      <c r="H493" s="467">
        <f>H494+H496+H498</f>
        <v>11682.6</v>
      </c>
      <c r="I493" s="204"/>
    </row>
    <row r="494" spans="1:9" ht="78.75" x14ac:dyDescent="0.25">
      <c r="A494" s="466" t="s">
        <v>127</v>
      </c>
      <c r="B494" s="16">
        <v>905</v>
      </c>
      <c r="C494" s="20" t="s">
        <v>118</v>
      </c>
      <c r="D494" s="20" t="s">
        <v>150</v>
      </c>
      <c r="E494" s="20" t="s">
        <v>860</v>
      </c>
      <c r="F494" s="20" t="s">
        <v>128</v>
      </c>
      <c r="G494" s="467">
        <f>G495</f>
        <v>11111.6</v>
      </c>
      <c r="H494" s="467">
        <f>H495</f>
        <v>11111.6</v>
      </c>
      <c r="I494" s="204"/>
    </row>
    <row r="495" spans="1:9" ht="31.5" x14ac:dyDescent="0.25">
      <c r="A495" s="466" t="s">
        <v>129</v>
      </c>
      <c r="B495" s="16">
        <v>905</v>
      </c>
      <c r="C495" s="20" t="s">
        <v>118</v>
      </c>
      <c r="D495" s="20" t="s">
        <v>150</v>
      </c>
      <c r="E495" s="20" t="s">
        <v>860</v>
      </c>
      <c r="F495" s="20" t="s">
        <v>130</v>
      </c>
      <c r="G495" s="467">
        <v>11111.6</v>
      </c>
      <c r="H495" s="467">
        <f t="shared" si="38"/>
        <v>11111.6</v>
      </c>
      <c r="I495" s="204"/>
    </row>
    <row r="496" spans="1:9" ht="31.5" x14ac:dyDescent="0.25">
      <c r="A496" s="466" t="s">
        <v>131</v>
      </c>
      <c r="B496" s="16">
        <v>905</v>
      </c>
      <c r="C496" s="20" t="s">
        <v>118</v>
      </c>
      <c r="D496" s="20" t="s">
        <v>150</v>
      </c>
      <c r="E496" s="20" t="s">
        <v>860</v>
      </c>
      <c r="F496" s="20" t="s">
        <v>132</v>
      </c>
      <c r="G496" s="467">
        <f>G497</f>
        <v>440</v>
      </c>
      <c r="H496" s="467">
        <f>H497</f>
        <v>440</v>
      </c>
      <c r="I496" s="204"/>
    </row>
    <row r="497" spans="1:9" ht="31.5" x14ac:dyDescent="0.25">
      <c r="A497" s="466" t="s">
        <v>133</v>
      </c>
      <c r="B497" s="16">
        <v>905</v>
      </c>
      <c r="C497" s="20" t="s">
        <v>118</v>
      </c>
      <c r="D497" s="20" t="s">
        <v>150</v>
      </c>
      <c r="E497" s="20" t="s">
        <v>860</v>
      </c>
      <c r="F497" s="20" t="s">
        <v>134</v>
      </c>
      <c r="G497" s="467">
        <f>440</f>
        <v>440</v>
      </c>
      <c r="H497" s="467">
        <f t="shared" si="38"/>
        <v>440</v>
      </c>
      <c r="I497" s="204"/>
    </row>
    <row r="498" spans="1:9" ht="15.75" x14ac:dyDescent="0.25">
      <c r="A498" s="466" t="s">
        <v>135</v>
      </c>
      <c r="B498" s="16">
        <v>905</v>
      </c>
      <c r="C498" s="20" t="s">
        <v>118</v>
      </c>
      <c r="D498" s="20" t="s">
        <v>150</v>
      </c>
      <c r="E498" s="20" t="s">
        <v>860</v>
      </c>
      <c r="F498" s="20" t="s">
        <v>145</v>
      </c>
      <c r="G498" s="467">
        <f>G499</f>
        <v>131</v>
      </c>
      <c r="H498" s="467">
        <f>H499</f>
        <v>131</v>
      </c>
      <c r="I498" s="204"/>
    </row>
    <row r="499" spans="1:9" ht="15.75" x14ac:dyDescent="0.25">
      <c r="A499" s="466" t="s">
        <v>568</v>
      </c>
      <c r="B499" s="16">
        <v>905</v>
      </c>
      <c r="C499" s="20" t="s">
        <v>118</v>
      </c>
      <c r="D499" s="20" t="s">
        <v>150</v>
      </c>
      <c r="E499" s="20" t="s">
        <v>860</v>
      </c>
      <c r="F499" s="20" t="s">
        <v>138</v>
      </c>
      <c r="G499" s="467">
        <f>131</f>
        <v>131</v>
      </c>
      <c r="H499" s="467">
        <f t="shared" si="38"/>
        <v>131</v>
      </c>
      <c r="I499" s="204"/>
    </row>
    <row r="500" spans="1:9" ht="47.25" x14ac:dyDescent="0.25">
      <c r="A500" s="466" t="s">
        <v>839</v>
      </c>
      <c r="B500" s="16">
        <v>905</v>
      </c>
      <c r="C500" s="20" t="s">
        <v>118</v>
      </c>
      <c r="D500" s="20" t="s">
        <v>150</v>
      </c>
      <c r="E500" s="20" t="s">
        <v>862</v>
      </c>
      <c r="F500" s="20"/>
      <c r="G500" s="467">
        <f>G501</f>
        <v>462</v>
      </c>
      <c r="H500" s="467">
        <f>H501</f>
        <v>462</v>
      </c>
      <c r="I500" s="204"/>
    </row>
    <row r="501" spans="1:9" ht="78.75" x14ac:dyDescent="0.25">
      <c r="A501" s="466" t="s">
        <v>127</v>
      </c>
      <c r="B501" s="16">
        <v>905</v>
      </c>
      <c r="C501" s="20" t="s">
        <v>118</v>
      </c>
      <c r="D501" s="20" t="s">
        <v>150</v>
      </c>
      <c r="E501" s="20" t="s">
        <v>862</v>
      </c>
      <c r="F501" s="20" t="s">
        <v>128</v>
      </c>
      <c r="G501" s="467">
        <f>G502</f>
        <v>462</v>
      </c>
      <c r="H501" s="467">
        <f>H502</f>
        <v>462</v>
      </c>
      <c r="I501" s="204"/>
    </row>
    <row r="502" spans="1:9" ht="31.5" x14ac:dyDescent="0.25">
      <c r="A502" s="466" t="s">
        <v>129</v>
      </c>
      <c r="B502" s="16">
        <v>905</v>
      </c>
      <c r="C502" s="20" t="s">
        <v>118</v>
      </c>
      <c r="D502" s="20" t="s">
        <v>150</v>
      </c>
      <c r="E502" s="20" t="s">
        <v>862</v>
      </c>
      <c r="F502" s="20" t="s">
        <v>130</v>
      </c>
      <c r="G502" s="467">
        <v>462</v>
      </c>
      <c r="H502" s="467">
        <f t="shared" ref="H502:H569" si="45">G502</f>
        <v>462</v>
      </c>
      <c r="I502" s="204"/>
    </row>
    <row r="503" spans="1:9" s="203" customFormat="1" ht="31.5" x14ac:dyDescent="0.25">
      <c r="A503" s="464" t="s">
        <v>885</v>
      </c>
      <c r="B503" s="19">
        <v>905</v>
      </c>
      <c r="C503" s="24" t="s">
        <v>118</v>
      </c>
      <c r="D503" s="24" t="s">
        <v>150</v>
      </c>
      <c r="E503" s="24" t="s">
        <v>863</v>
      </c>
      <c r="F503" s="24"/>
      <c r="G503" s="463">
        <f t="shared" ref="G503:H505" si="46">G504</f>
        <v>22.3</v>
      </c>
      <c r="H503" s="463">
        <f t="shared" si="46"/>
        <v>22.3</v>
      </c>
      <c r="I503" s="204"/>
    </row>
    <row r="504" spans="1:9" s="203" customFormat="1" ht="94.5" x14ac:dyDescent="0.25">
      <c r="A504" s="31" t="s">
        <v>1174</v>
      </c>
      <c r="B504" s="16">
        <v>905</v>
      </c>
      <c r="C504" s="20" t="s">
        <v>118</v>
      </c>
      <c r="D504" s="20" t="s">
        <v>150</v>
      </c>
      <c r="E504" s="20" t="s">
        <v>1173</v>
      </c>
      <c r="F504" s="20"/>
      <c r="G504" s="467">
        <f t="shared" si="46"/>
        <v>22.3</v>
      </c>
      <c r="H504" s="467">
        <f t="shared" si="46"/>
        <v>22.3</v>
      </c>
      <c r="I504" s="204"/>
    </row>
    <row r="505" spans="1:9" s="203" customFormat="1" ht="78.75" x14ac:dyDescent="0.25">
      <c r="A505" s="466" t="s">
        <v>127</v>
      </c>
      <c r="B505" s="16">
        <v>905</v>
      </c>
      <c r="C505" s="20" t="s">
        <v>118</v>
      </c>
      <c r="D505" s="20" t="s">
        <v>150</v>
      </c>
      <c r="E505" s="20" t="s">
        <v>1173</v>
      </c>
      <c r="F505" s="20" t="s">
        <v>128</v>
      </c>
      <c r="G505" s="467">
        <f>G506</f>
        <v>22.3</v>
      </c>
      <c r="H505" s="467">
        <f t="shared" si="46"/>
        <v>22.3</v>
      </c>
      <c r="I505" s="204"/>
    </row>
    <row r="506" spans="1:9" s="203" customFormat="1" ht="31.5" x14ac:dyDescent="0.25">
      <c r="A506" s="466" t="s">
        <v>129</v>
      </c>
      <c r="B506" s="16">
        <v>905</v>
      </c>
      <c r="C506" s="20" t="s">
        <v>118</v>
      </c>
      <c r="D506" s="20" t="s">
        <v>150</v>
      </c>
      <c r="E506" s="20" t="s">
        <v>1173</v>
      </c>
      <c r="F506" s="20" t="s">
        <v>130</v>
      </c>
      <c r="G506" s="467">
        <v>22.3</v>
      </c>
      <c r="H506" s="467">
        <v>22.3</v>
      </c>
      <c r="I506" s="204"/>
    </row>
    <row r="507" spans="1:9" ht="15.75" x14ac:dyDescent="0.25">
      <c r="A507" s="464" t="s">
        <v>139</v>
      </c>
      <c r="B507" s="19">
        <v>905</v>
      </c>
      <c r="C507" s="24" t="s">
        <v>118</v>
      </c>
      <c r="D507" s="24" t="s">
        <v>140</v>
      </c>
      <c r="E507" s="24"/>
      <c r="F507" s="24"/>
      <c r="G507" s="463">
        <f>G508+G516</f>
        <v>5202.1000000000004</v>
      </c>
      <c r="H507" s="463">
        <f>H508+H516</f>
        <v>5202.1000000000004</v>
      </c>
      <c r="I507" s="204"/>
    </row>
    <row r="508" spans="1:9" ht="15.75" x14ac:dyDescent="0.25">
      <c r="A508" s="464" t="s">
        <v>141</v>
      </c>
      <c r="B508" s="19">
        <v>905</v>
      </c>
      <c r="C508" s="24" t="s">
        <v>118</v>
      </c>
      <c r="D508" s="24" t="s">
        <v>140</v>
      </c>
      <c r="E508" s="24" t="s">
        <v>866</v>
      </c>
      <c r="F508" s="24"/>
      <c r="G508" s="463">
        <f>G509</f>
        <v>5202.1000000000004</v>
      </c>
      <c r="H508" s="463">
        <f>H509</f>
        <v>5202.1000000000004</v>
      </c>
      <c r="I508" s="204"/>
    </row>
    <row r="509" spans="1:9" ht="31.5" x14ac:dyDescent="0.25">
      <c r="A509" s="464" t="s">
        <v>870</v>
      </c>
      <c r="B509" s="19">
        <v>905</v>
      </c>
      <c r="C509" s="24" t="s">
        <v>118</v>
      </c>
      <c r="D509" s="24" t="s">
        <v>140</v>
      </c>
      <c r="E509" s="24" t="s">
        <v>865</v>
      </c>
      <c r="F509" s="24"/>
      <c r="G509" s="463">
        <f>G510+G513</f>
        <v>5202.1000000000004</v>
      </c>
      <c r="H509" s="463">
        <f>H510+H513</f>
        <v>5202.1000000000004</v>
      </c>
      <c r="I509" s="204"/>
    </row>
    <row r="510" spans="1:9" ht="47.25" x14ac:dyDescent="0.25">
      <c r="A510" s="466" t="s">
        <v>388</v>
      </c>
      <c r="B510" s="16">
        <v>905</v>
      </c>
      <c r="C510" s="20" t="s">
        <v>118</v>
      </c>
      <c r="D510" s="20" t="s">
        <v>140</v>
      </c>
      <c r="E510" s="20" t="s">
        <v>1011</v>
      </c>
      <c r="F510" s="20"/>
      <c r="G510" s="467">
        <f>G511</f>
        <v>5202.1000000000004</v>
      </c>
      <c r="H510" s="467">
        <f>H511</f>
        <v>5202.1000000000004</v>
      </c>
      <c r="I510" s="204"/>
    </row>
    <row r="511" spans="1:9" ht="31.5" x14ac:dyDescent="0.25">
      <c r="A511" s="466" t="s">
        <v>131</v>
      </c>
      <c r="B511" s="16">
        <v>905</v>
      </c>
      <c r="C511" s="20" t="s">
        <v>118</v>
      </c>
      <c r="D511" s="20" t="s">
        <v>140</v>
      </c>
      <c r="E511" s="20" t="s">
        <v>1011</v>
      </c>
      <c r="F511" s="20" t="s">
        <v>132</v>
      </c>
      <c r="G511" s="467">
        <f>G512</f>
        <v>5202.1000000000004</v>
      </c>
      <c r="H511" s="467">
        <f>H512</f>
        <v>5202.1000000000004</v>
      </c>
      <c r="I511" s="204"/>
    </row>
    <row r="512" spans="1:9" ht="35.450000000000003" customHeight="1" x14ac:dyDescent="0.25">
      <c r="A512" s="466" t="s">
        <v>133</v>
      </c>
      <c r="B512" s="16">
        <v>905</v>
      </c>
      <c r="C512" s="20" t="s">
        <v>118</v>
      </c>
      <c r="D512" s="20" t="s">
        <v>140</v>
      </c>
      <c r="E512" s="20" t="s">
        <v>1011</v>
      </c>
      <c r="F512" s="20" t="s">
        <v>134</v>
      </c>
      <c r="G512" s="467">
        <v>5202.1000000000004</v>
      </c>
      <c r="H512" s="467">
        <f t="shared" si="45"/>
        <v>5202.1000000000004</v>
      </c>
      <c r="I512" s="204"/>
    </row>
    <row r="513" spans="1:9" ht="31.5" hidden="1" x14ac:dyDescent="0.25">
      <c r="A513" s="466" t="s">
        <v>931</v>
      </c>
      <c r="B513" s="16">
        <v>905</v>
      </c>
      <c r="C513" s="20" t="s">
        <v>118</v>
      </c>
      <c r="D513" s="20" t="s">
        <v>140</v>
      </c>
      <c r="E513" s="20" t="s">
        <v>1012</v>
      </c>
      <c r="F513" s="20"/>
      <c r="G513" s="467">
        <f>'Пр.4 ведом.21'!G597</f>
        <v>0</v>
      </c>
      <c r="H513" s="467">
        <f t="shared" si="45"/>
        <v>0</v>
      </c>
      <c r="I513" s="204"/>
    </row>
    <row r="514" spans="1:9" ht="31.5" hidden="1" x14ac:dyDescent="0.25">
      <c r="A514" s="466" t="s">
        <v>131</v>
      </c>
      <c r="B514" s="16">
        <v>905</v>
      </c>
      <c r="C514" s="20" t="s">
        <v>118</v>
      </c>
      <c r="D514" s="20" t="s">
        <v>140</v>
      </c>
      <c r="E514" s="20" t="s">
        <v>1012</v>
      </c>
      <c r="F514" s="20" t="s">
        <v>132</v>
      </c>
      <c r="G514" s="467">
        <f>'Пр.4 ведом.21'!G598</f>
        <v>0</v>
      </c>
      <c r="H514" s="467">
        <f t="shared" si="45"/>
        <v>0</v>
      </c>
      <c r="I514" s="204"/>
    </row>
    <row r="515" spans="1:9" ht="31.5" hidden="1" x14ac:dyDescent="0.25">
      <c r="A515" s="466" t="s">
        <v>133</v>
      </c>
      <c r="B515" s="16">
        <v>905</v>
      </c>
      <c r="C515" s="20" t="s">
        <v>118</v>
      </c>
      <c r="D515" s="20" t="s">
        <v>140</v>
      </c>
      <c r="E515" s="20" t="s">
        <v>1012</v>
      </c>
      <c r="F515" s="20" t="s">
        <v>134</v>
      </c>
      <c r="G515" s="467">
        <f>'Пр.4 ведом.21'!G599</f>
        <v>0</v>
      </c>
      <c r="H515" s="467">
        <f t="shared" si="45"/>
        <v>0</v>
      </c>
      <c r="I515" s="204"/>
    </row>
    <row r="516" spans="1:9" ht="63" hidden="1" x14ac:dyDescent="0.25">
      <c r="A516" s="464" t="s">
        <v>1182</v>
      </c>
      <c r="B516" s="19">
        <v>905</v>
      </c>
      <c r="C516" s="24" t="s">
        <v>118</v>
      </c>
      <c r="D516" s="24" t="s">
        <v>140</v>
      </c>
      <c r="E516" s="24" t="s">
        <v>782</v>
      </c>
      <c r="F516" s="24"/>
      <c r="G516" s="463">
        <f t="shared" ref="G516:H519" si="47">G517</f>
        <v>0</v>
      </c>
      <c r="H516" s="463">
        <f t="shared" si="47"/>
        <v>0</v>
      </c>
      <c r="I516" s="204"/>
    </row>
    <row r="517" spans="1:9" ht="31.5" hidden="1" x14ac:dyDescent="0.25">
      <c r="A517" s="464" t="s">
        <v>930</v>
      </c>
      <c r="B517" s="19">
        <v>905</v>
      </c>
      <c r="C517" s="24" t="s">
        <v>118</v>
      </c>
      <c r="D517" s="24" t="s">
        <v>140</v>
      </c>
      <c r="E517" s="24" t="s">
        <v>1020</v>
      </c>
      <c r="F517" s="24"/>
      <c r="G517" s="463">
        <f t="shared" si="47"/>
        <v>0</v>
      </c>
      <c r="H517" s="463">
        <f t="shared" si="47"/>
        <v>0</v>
      </c>
      <c r="I517" s="204"/>
    </row>
    <row r="518" spans="1:9" ht="31.5" hidden="1" x14ac:dyDescent="0.25">
      <c r="A518" s="466" t="s">
        <v>790</v>
      </c>
      <c r="B518" s="16">
        <v>905</v>
      </c>
      <c r="C518" s="20" t="s">
        <v>118</v>
      </c>
      <c r="D518" s="20" t="s">
        <v>140</v>
      </c>
      <c r="E518" s="20" t="s">
        <v>1021</v>
      </c>
      <c r="F518" s="20"/>
      <c r="G518" s="467">
        <f t="shared" si="47"/>
        <v>0</v>
      </c>
      <c r="H518" s="467">
        <f t="shared" si="47"/>
        <v>0</v>
      </c>
      <c r="I518" s="204"/>
    </row>
    <row r="519" spans="1:9" ht="31.5" hidden="1" x14ac:dyDescent="0.25">
      <c r="A519" s="466" t="s">
        <v>131</v>
      </c>
      <c r="B519" s="16">
        <v>905</v>
      </c>
      <c r="C519" s="20" t="s">
        <v>118</v>
      </c>
      <c r="D519" s="20" t="s">
        <v>140</v>
      </c>
      <c r="E519" s="20" t="s">
        <v>1021</v>
      </c>
      <c r="F519" s="20" t="s">
        <v>132</v>
      </c>
      <c r="G519" s="467">
        <f t="shared" si="47"/>
        <v>0</v>
      </c>
      <c r="H519" s="467">
        <f t="shared" si="47"/>
        <v>0</v>
      </c>
      <c r="I519" s="204"/>
    </row>
    <row r="520" spans="1:9" ht="31.5" hidden="1" x14ac:dyDescent="0.25">
      <c r="A520" s="466" t="s">
        <v>133</v>
      </c>
      <c r="B520" s="16">
        <v>905</v>
      </c>
      <c r="C520" s="20" t="s">
        <v>118</v>
      </c>
      <c r="D520" s="20" t="s">
        <v>140</v>
      </c>
      <c r="E520" s="20" t="s">
        <v>1021</v>
      </c>
      <c r="F520" s="20" t="s">
        <v>134</v>
      </c>
      <c r="G520" s="467">
        <v>0</v>
      </c>
      <c r="H520" s="467">
        <v>0</v>
      </c>
      <c r="I520" s="204"/>
    </row>
    <row r="521" spans="1:9" ht="15.75" x14ac:dyDescent="0.25">
      <c r="A521" s="470" t="s">
        <v>390</v>
      </c>
      <c r="B521" s="19">
        <v>905</v>
      </c>
      <c r="C521" s="24" t="s">
        <v>234</v>
      </c>
      <c r="D521" s="24"/>
      <c r="E521" s="24"/>
      <c r="F521" s="24"/>
      <c r="G521" s="463">
        <f t="shared" ref="G521:H523" si="48">G522</f>
        <v>270.39999999999998</v>
      </c>
      <c r="H521" s="463">
        <f t="shared" si="48"/>
        <v>270.39999999999998</v>
      </c>
      <c r="I521" s="204"/>
    </row>
    <row r="522" spans="1:9" ht="15.75" x14ac:dyDescent="0.25">
      <c r="A522" s="470" t="s">
        <v>391</v>
      </c>
      <c r="B522" s="19">
        <v>905</v>
      </c>
      <c r="C522" s="24" t="s">
        <v>234</v>
      </c>
      <c r="D522" s="24" t="s">
        <v>118</v>
      </c>
      <c r="E522" s="24"/>
      <c r="F522" s="24"/>
      <c r="G522" s="463">
        <f t="shared" si="48"/>
        <v>270.39999999999998</v>
      </c>
      <c r="H522" s="463">
        <f t="shared" si="48"/>
        <v>270.39999999999998</v>
      </c>
      <c r="I522" s="204"/>
    </row>
    <row r="523" spans="1:9" ht="15.75" x14ac:dyDescent="0.25">
      <c r="A523" s="464" t="s">
        <v>141</v>
      </c>
      <c r="B523" s="19">
        <v>905</v>
      </c>
      <c r="C523" s="24" t="s">
        <v>234</v>
      </c>
      <c r="D523" s="24" t="s">
        <v>118</v>
      </c>
      <c r="E523" s="24" t="s">
        <v>866</v>
      </c>
      <c r="F523" s="24"/>
      <c r="G523" s="463">
        <f t="shared" si="48"/>
        <v>270.39999999999998</v>
      </c>
      <c r="H523" s="463">
        <f t="shared" si="48"/>
        <v>270.39999999999998</v>
      </c>
      <c r="I523" s="204"/>
    </row>
    <row r="524" spans="1:9" ht="31.5" x14ac:dyDescent="0.25">
      <c r="A524" s="464" t="s">
        <v>870</v>
      </c>
      <c r="B524" s="19">
        <v>905</v>
      </c>
      <c r="C524" s="24" t="s">
        <v>234</v>
      </c>
      <c r="D524" s="24" t="s">
        <v>118</v>
      </c>
      <c r="E524" s="24" t="s">
        <v>865</v>
      </c>
      <c r="F524" s="24"/>
      <c r="G524" s="463">
        <f>G525+G528</f>
        <v>270.39999999999998</v>
      </c>
      <c r="H524" s="463">
        <f>H525+H528</f>
        <v>270.39999999999998</v>
      </c>
      <c r="I524" s="204"/>
    </row>
    <row r="525" spans="1:9" ht="31.5" x14ac:dyDescent="0.25">
      <c r="A525" s="29" t="s">
        <v>398</v>
      </c>
      <c r="B525" s="16">
        <v>905</v>
      </c>
      <c r="C525" s="20" t="s">
        <v>234</v>
      </c>
      <c r="D525" s="20" t="s">
        <v>118</v>
      </c>
      <c r="E525" s="20" t="s">
        <v>961</v>
      </c>
      <c r="F525" s="20"/>
      <c r="G525" s="467">
        <f>G526</f>
        <v>270.39999999999998</v>
      </c>
      <c r="H525" s="467">
        <f>H526</f>
        <v>270.39999999999998</v>
      </c>
      <c r="I525" s="204"/>
    </row>
    <row r="526" spans="1:9" ht="31.5" x14ac:dyDescent="0.25">
      <c r="A526" s="466" t="s">
        <v>131</v>
      </c>
      <c r="B526" s="16">
        <v>905</v>
      </c>
      <c r="C526" s="20" t="s">
        <v>234</v>
      </c>
      <c r="D526" s="20" t="s">
        <v>118</v>
      </c>
      <c r="E526" s="20" t="s">
        <v>961</v>
      </c>
      <c r="F526" s="20" t="s">
        <v>132</v>
      </c>
      <c r="G526" s="467">
        <f>G527</f>
        <v>270.39999999999998</v>
      </c>
      <c r="H526" s="467">
        <f>H527</f>
        <v>270.39999999999998</v>
      </c>
      <c r="I526" s="204"/>
    </row>
    <row r="527" spans="1:9" ht="31.5" x14ac:dyDescent="0.25">
      <c r="A527" s="466" t="s">
        <v>133</v>
      </c>
      <c r="B527" s="16">
        <v>905</v>
      </c>
      <c r="C527" s="20" t="s">
        <v>234</v>
      </c>
      <c r="D527" s="20" t="s">
        <v>118</v>
      </c>
      <c r="E527" s="20" t="s">
        <v>961</v>
      </c>
      <c r="F527" s="20" t="s">
        <v>134</v>
      </c>
      <c r="G527" s="467">
        <f>270.4</f>
        <v>270.39999999999998</v>
      </c>
      <c r="H527" s="467">
        <f t="shared" si="45"/>
        <v>270.39999999999998</v>
      </c>
      <c r="I527" s="204"/>
    </row>
    <row r="528" spans="1:9" ht="31.5" hidden="1" x14ac:dyDescent="0.25">
      <c r="A528" s="29" t="s">
        <v>932</v>
      </c>
      <c r="B528" s="16">
        <v>905</v>
      </c>
      <c r="C528" s="20" t="s">
        <v>234</v>
      </c>
      <c r="D528" s="20" t="s">
        <v>118</v>
      </c>
      <c r="E528" s="20" t="s">
        <v>962</v>
      </c>
      <c r="F528" s="20"/>
      <c r="G528" s="467">
        <f>G529</f>
        <v>0</v>
      </c>
      <c r="H528" s="467">
        <f>H529</f>
        <v>0</v>
      </c>
      <c r="I528" s="204"/>
    </row>
    <row r="529" spans="1:15" ht="31.5" hidden="1" x14ac:dyDescent="0.25">
      <c r="A529" s="466" t="s">
        <v>131</v>
      </c>
      <c r="B529" s="16">
        <v>905</v>
      </c>
      <c r="C529" s="20" t="s">
        <v>234</v>
      </c>
      <c r="D529" s="20" t="s">
        <v>118</v>
      </c>
      <c r="E529" s="20" t="s">
        <v>962</v>
      </c>
      <c r="F529" s="20" t="s">
        <v>132</v>
      </c>
      <c r="G529" s="467">
        <f>G530</f>
        <v>0</v>
      </c>
      <c r="H529" s="467">
        <f>H530</f>
        <v>0</v>
      </c>
      <c r="I529" s="204"/>
    </row>
    <row r="530" spans="1:15" ht="31.5" hidden="1" x14ac:dyDescent="0.25">
      <c r="A530" s="466" t="s">
        <v>133</v>
      </c>
      <c r="B530" s="16">
        <v>905</v>
      </c>
      <c r="C530" s="20" t="s">
        <v>234</v>
      </c>
      <c r="D530" s="20" t="s">
        <v>118</v>
      </c>
      <c r="E530" s="20" t="s">
        <v>962</v>
      </c>
      <c r="F530" s="20" t="s">
        <v>134</v>
      </c>
      <c r="G530" s="467">
        <v>0</v>
      </c>
      <c r="H530" s="467">
        <v>0</v>
      </c>
      <c r="I530" s="204"/>
    </row>
    <row r="531" spans="1:15" s="203" customFormat="1" ht="15.75" x14ac:dyDescent="0.25">
      <c r="A531" s="464" t="s">
        <v>243</v>
      </c>
      <c r="B531" s="19">
        <v>905</v>
      </c>
      <c r="C531" s="24" t="s">
        <v>244</v>
      </c>
      <c r="D531" s="20"/>
      <c r="E531" s="20"/>
      <c r="F531" s="20"/>
      <c r="G531" s="463">
        <f t="shared" ref="G531:H535" si="49">G532</f>
        <v>2469.1</v>
      </c>
      <c r="H531" s="463">
        <f t="shared" si="49"/>
        <v>10803.2</v>
      </c>
      <c r="I531" s="204"/>
    </row>
    <row r="532" spans="1:15" s="203" customFormat="1" ht="15.75" x14ac:dyDescent="0.25">
      <c r="A532" s="464" t="s">
        <v>400</v>
      </c>
      <c r="B532" s="19">
        <v>905</v>
      </c>
      <c r="C532" s="24" t="s">
        <v>244</v>
      </c>
      <c r="D532" s="24" t="s">
        <v>150</v>
      </c>
      <c r="E532" s="20"/>
      <c r="F532" s="20"/>
      <c r="G532" s="463">
        <f t="shared" si="49"/>
        <v>2469.1</v>
      </c>
      <c r="H532" s="463">
        <f t="shared" si="49"/>
        <v>10803.2</v>
      </c>
      <c r="I532" s="204"/>
    </row>
    <row r="533" spans="1:15" s="203" customFormat="1" ht="31.5" x14ac:dyDescent="0.25">
      <c r="A533" s="464" t="s">
        <v>885</v>
      </c>
      <c r="B533" s="19">
        <v>905</v>
      </c>
      <c r="C533" s="24" t="s">
        <v>244</v>
      </c>
      <c r="D533" s="24" t="s">
        <v>150</v>
      </c>
      <c r="E533" s="24" t="s">
        <v>863</v>
      </c>
      <c r="F533" s="20"/>
      <c r="G533" s="463">
        <f t="shared" si="49"/>
        <v>2469.1</v>
      </c>
      <c r="H533" s="463">
        <f t="shared" si="49"/>
        <v>10803.2</v>
      </c>
      <c r="I533" s="204"/>
    </row>
    <row r="534" spans="1:15" s="203" customFormat="1" ht="47.25" x14ac:dyDescent="0.25">
      <c r="A534" s="466" t="s">
        <v>1176</v>
      </c>
      <c r="B534" s="16">
        <v>905</v>
      </c>
      <c r="C534" s="20" t="s">
        <v>244</v>
      </c>
      <c r="D534" s="20" t="s">
        <v>150</v>
      </c>
      <c r="E534" s="20" t="s">
        <v>1175</v>
      </c>
      <c r="F534" s="20"/>
      <c r="G534" s="467">
        <f t="shared" si="49"/>
        <v>2469.1</v>
      </c>
      <c r="H534" s="467">
        <f t="shared" si="49"/>
        <v>10803.2</v>
      </c>
      <c r="I534" s="204"/>
    </row>
    <row r="535" spans="1:15" s="203" customFormat="1" ht="31.5" x14ac:dyDescent="0.25">
      <c r="A535" s="466" t="s">
        <v>131</v>
      </c>
      <c r="B535" s="16">
        <v>905</v>
      </c>
      <c r="C535" s="20" t="s">
        <v>244</v>
      </c>
      <c r="D535" s="20" t="s">
        <v>150</v>
      </c>
      <c r="E535" s="20" t="s">
        <v>1175</v>
      </c>
      <c r="F535" s="20" t="s">
        <v>132</v>
      </c>
      <c r="G535" s="467">
        <f t="shared" si="49"/>
        <v>2469.1</v>
      </c>
      <c r="H535" s="467">
        <f t="shared" si="49"/>
        <v>10803.2</v>
      </c>
      <c r="I535" s="204"/>
    </row>
    <row r="536" spans="1:15" s="203" customFormat="1" ht="32.65" customHeight="1" x14ac:dyDescent="0.25">
      <c r="A536" s="466" t="s">
        <v>133</v>
      </c>
      <c r="B536" s="16">
        <v>905</v>
      </c>
      <c r="C536" s="20" t="s">
        <v>244</v>
      </c>
      <c r="D536" s="20" t="s">
        <v>150</v>
      </c>
      <c r="E536" s="20" t="s">
        <v>1175</v>
      </c>
      <c r="F536" s="20" t="s">
        <v>134</v>
      </c>
      <c r="G536" s="467">
        <v>2469.1</v>
      </c>
      <c r="H536" s="467">
        <v>10803.2</v>
      </c>
      <c r="I536" s="204"/>
    </row>
    <row r="537" spans="1:15" ht="31.5" x14ac:dyDescent="0.25">
      <c r="A537" s="461" t="s">
        <v>403</v>
      </c>
      <c r="B537" s="19">
        <v>906</v>
      </c>
      <c r="C537" s="24"/>
      <c r="D537" s="24"/>
      <c r="E537" s="24"/>
      <c r="F537" s="24"/>
      <c r="G537" s="463">
        <f>G548+G538</f>
        <v>346220.19999999995</v>
      </c>
      <c r="H537" s="463">
        <f>H548+H538</f>
        <v>369274.95</v>
      </c>
      <c r="I537" s="204"/>
      <c r="M537" s="22"/>
      <c r="O537" s="231"/>
    </row>
    <row r="538" spans="1:15" ht="15.75" hidden="1" x14ac:dyDescent="0.25">
      <c r="A538" s="464" t="s">
        <v>117</v>
      </c>
      <c r="B538" s="19">
        <v>906</v>
      </c>
      <c r="C538" s="24" t="s">
        <v>118</v>
      </c>
      <c r="D538" s="24"/>
      <c r="E538" s="24"/>
      <c r="F538" s="24"/>
      <c r="G538" s="463">
        <f t="shared" ref="G538:H541" si="50">G539</f>
        <v>0</v>
      </c>
      <c r="H538" s="463">
        <f t="shared" si="50"/>
        <v>0</v>
      </c>
      <c r="I538" s="204"/>
    </row>
    <row r="539" spans="1:15" ht="15.75" hidden="1" x14ac:dyDescent="0.25">
      <c r="A539" s="34" t="s">
        <v>139</v>
      </c>
      <c r="B539" s="19">
        <v>906</v>
      </c>
      <c r="C539" s="24" t="s">
        <v>118</v>
      </c>
      <c r="D539" s="24" t="s">
        <v>140</v>
      </c>
      <c r="E539" s="24"/>
      <c r="F539" s="24"/>
      <c r="G539" s="463">
        <f t="shared" si="50"/>
        <v>0</v>
      </c>
      <c r="H539" s="463">
        <f t="shared" si="50"/>
        <v>0</v>
      </c>
      <c r="I539" s="204"/>
    </row>
    <row r="540" spans="1:15" ht="47.25" hidden="1" x14ac:dyDescent="0.25">
      <c r="A540" s="464" t="s">
        <v>1366</v>
      </c>
      <c r="B540" s="19">
        <v>906</v>
      </c>
      <c r="C540" s="24" t="s">
        <v>118</v>
      </c>
      <c r="D540" s="24" t="s">
        <v>140</v>
      </c>
      <c r="E540" s="24" t="s">
        <v>335</v>
      </c>
      <c r="F540" s="24"/>
      <c r="G540" s="463">
        <f t="shared" si="50"/>
        <v>0</v>
      </c>
      <c r="H540" s="463">
        <f t="shared" si="50"/>
        <v>0</v>
      </c>
      <c r="I540" s="204"/>
    </row>
    <row r="541" spans="1:15" ht="31.5" hidden="1" x14ac:dyDescent="0.25">
      <c r="A541" s="212" t="s">
        <v>1052</v>
      </c>
      <c r="B541" s="19">
        <v>906</v>
      </c>
      <c r="C541" s="24" t="s">
        <v>118</v>
      </c>
      <c r="D541" s="24" t="s">
        <v>140</v>
      </c>
      <c r="E541" s="24" t="s">
        <v>1053</v>
      </c>
      <c r="F541" s="24"/>
      <c r="G541" s="463">
        <f t="shared" si="50"/>
        <v>0</v>
      </c>
      <c r="H541" s="463">
        <f t="shared" si="50"/>
        <v>0</v>
      </c>
      <c r="I541" s="204"/>
    </row>
    <row r="542" spans="1:15" ht="31.5" hidden="1" x14ac:dyDescent="0.25">
      <c r="A542" s="97" t="s">
        <v>336</v>
      </c>
      <c r="B542" s="16">
        <v>906</v>
      </c>
      <c r="C542" s="20" t="s">
        <v>118</v>
      </c>
      <c r="D542" s="20" t="s">
        <v>140</v>
      </c>
      <c r="E542" s="20" t="s">
        <v>1054</v>
      </c>
      <c r="F542" s="20"/>
      <c r="G542" s="467">
        <f>G543</f>
        <v>0</v>
      </c>
      <c r="H542" s="467">
        <f>H543</f>
        <v>0</v>
      </c>
      <c r="I542" s="204"/>
    </row>
    <row r="543" spans="1:15" ht="31.5" hidden="1" x14ac:dyDescent="0.25">
      <c r="A543" s="466" t="s">
        <v>131</v>
      </c>
      <c r="B543" s="16">
        <v>906</v>
      </c>
      <c r="C543" s="20" t="s">
        <v>118</v>
      </c>
      <c r="D543" s="20" t="s">
        <v>140</v>
      </c>
      <c r="E543" s="20" t="s">
        <v>1054</v>
      </c>
      <c r="F543" s="20" t="s">
        <v>132</v>
      </c>
      <c r="G543" s="467">
        <f>G544</f>
        <v>0</v>
      </c>
      <c r="H543" s="467">
        <f>H544</f>
        <v>0</v>
      </c>
      <c r="I543" s="204"/>
    </row>
    <row r="544" spans="1:15" ht="31.5" hidden="1" x14ac:dyDescent="0.25">
      <c r="A544" s="466" t="s">
        <v>133</v>
      </c>
      <c r="B544" s="16">
        <v>906</v>
      </c>
      <c r="C544" s="20" t="s">
        <v>118</v>
      </c>
      <c r="D544" s="20" t="s">
        <v>140</v>
      </c>
      <c r="E544" s="20" t="s">
        <v>1054</v>
      </c>
      <c r="F544" s="20" t="s">
        <v>134</v>
      </c>
      <c r="G544" s="467">
        <v>0</v>
      </c>
      <c r="H544" s="467">
        <v>0</v>
      </c>
      <c r="I544" s="204"/>
    </row>
    <row r="545" spans="1:9" ht="16.350000000000001" hidden="1" customHeight="1" x14ac:dyDescent="0.25">
      <c r="A545" s="31" t="s">
        <v>773</v>
      </c>
      <c r="B545" s="16">
        <v>906</v>
      </c>
      <c r="C545" s="20" t="s">
        <v>118</v>
      </c>
      <c r="D545" s="20" t="s">
        <v>140</v>
      </c>
      <c r="E545" s="20" t="s">
        <v>1076</v>
      </c>
      <c r="F545" s="20"/>
      <c r="G545" s="467" t="e">
        <f>'Пр.4 ведом.21'!#REF!</f>
        <v>#REF!</v>
      </c>
      <c r="H545" s="467" t="e">
        <f t="shared" si="45"/>
        <v>#REF!</v>
      </c>
      <c r="I545" s="204"/>
    </row>
    <row r="546" spans="1:9" ht="31.5" hidden="1" x14ac:dyDescent="0.25">
      <c r="A546" s="466" t="s">
        <v>131</v>
      </c>
      <c r="B546" s="16">
        <v>906</v>
      </c>
      <c r="C546" s="20" t="s">
        <v>118</v>
      </c>
      <c r="D546" s="20" t="s">
        <v>140</v>
      </c>
      <c r="E546" s="20" t="s">
        <v>1076</v>
      </c>
      <c r="F546" s="20" t="s">
        <v>132</v>
      </c>
      <c r="G546" s="467" t="e">
        <f>'Пр.4 ведом.21'!#REF!</f>
        <v>#REF!</v>
      </c>
      <c r="H546" s="467" t="e">
        <f t="shared" si="45"/>
        <v>#REF!</v>
      </c>
      <c r="I546" s="204"/>
    </row>
    <row r="547" spans="1:9" ht="31.5" hidden="1" x14ac:dyDescent="0.25">
      <c r="A547" s="466" t="s">
        <v>133</v>
      </c>
      <c r="B547" s="16">
        <v>906</v>
      </c>
      <c r="C547" s="20" t="s">
        <v>118</v>
      </c>
      <c r="D547" s="20" t="s">
        <v>140</v>
      </c>
      <c r="E547" s="20" t="s">
        <v>1076</v>
      </c>
      <c r="F547" s="20" t="s">
        <v>134</v>
      </c>
      <c r="G547" s="467" t="e">
        <f>'Пр.4 ведом.21'!#REF!</f>
        <v>#REF!</v>
      </c>
      <c r="H547" s="467" t="e">
        <f t="shared" si="45"/>
        <v>#REF!</v>
      </c>
      <c r="I547" s="204"/>
    </row>
    <row r="548" spans="1:9" ht="15.75" x14ac:dyDescent="0.25">
      <c r="A548" s="464" t="s">
        <v>263</v>
      </c>
      <c r="B548" s="19">
        <v>906</v>
      </c>
      <c r="C548" s="24" t="s">
        <v>264</v>
      </c>
      <c r="D548" s="24"/>
      <c r="E548" s="24"/>
      <c r="F548" s="24"/>
      <c r="G548" s="463">
        <f>G549+G609+G720+G729+G691</f>
        <v>346220.19999999995</v>
      </c>
      <c r="H548" s="463">
        <f>H549+H609+H720+H729+H691</f>
        <v>369274.95</v>
      </c>
      <c r="I548" s="204"/>
    </row>
    <row r="549" spans="1:9" ht="15.75" x14ac:dyDescent="0.25">
      <c r="A549" s="464" t="s">
        <v>404</v>
      </c>
      <c r="B549" s="19">
        <v>906</v>
      </c>
      <c r="C549" s="24" t="s">
        <v>264</v>
      </c>
      <c r="D549" s="24" t="s">
        <v>118</v>
      </c>
      <c r="E549" s="24"/>
      <c r="F549" s="24"/>
      <c r="G549" s="463">
        <f>G550+G599+G604</f>
        <v>102250.3</v>
      </c>
      <c r="H549" s="463">
        <f>H550+H599+H604</f>
        <v>105829.20000000001</v>
      </c>
      <c r="I549" s="204"/>
    </row>
    <row r="550" spans="1:9" ht="31.9" customHeight="1" x14ac:dyDescent="0.25">
      <c r="A550" s="464" t="s">
        <v>1369</v>
      </c>
      <c r="B550" s="19">
        <v>906</v>
      </c>
      <c r="C550" s="24" t="s">
        <v>264</v>
      </c>
      <c r="D550" s="24" t="s">
        <v>118</v>
      </c>
      <c r="E550" s="24" t="s">
        <v>406</v>
      </c>
      <c r="F550" s="24"/>
      <c r="G550" s="463">
        <f>G551+G555+G568+G578+G588+G592</f>
        <v>101599.40000000001</v>
      </c>
      <c r="H550" s="463">
        <f>H551+H555+H568+H578+H588+H592</f>
        <v>105210.40000000001</v>
      </c>
      <c r="I550" s="204"/>
    </row>
    <row r="551" spans="1:9" ht="31.5" x14ac:dyDescent="0.25">
      <c r="A551" s="464" t="s">
        <v>937</v>
      </c>
      <c r="B551" s="19">
        <v>906</v>
      </c>
      <c r="C551" s="24" t="s">
        <v>264</v>
      </c>
      <c r="D551" s="24" t="s">
        <v>118</v>
      </c>
      <c r="E551" s="24" t="s">
        <v>1235</v>
      </c>
      <c r="F551" s="24"/>
      <c r="G551" s="463">
        <f t="shared" ref="G551:H553" si="51">G552</f>
        <v>14795.6</v>
      </c>
      <c r="H551" s="463">
        <f t="shared" si="51"/>
        <v>14795.6</v>
      </c>
      <c r="I551" s="204"/>
    </row>
    <row r="552" spans="1:9" ht="43.5" customHeight="1" x14ac:dyDescent="0.25">
      <c r="A552" s="466" t="s">
        <v>1234</v>
      </c>
      <c r="B552" s="16">
        <v>906</v>
      </c>
      <c r="C552" s="20" t="s">
        <v>264</v>
      </c>
      <c r="D552" s="20" t="s">
        <v>118</v>
      </c>
      <c r="E552" s="20" t="s">
        <v>1236</v>
      </c>
      <c r="F552" s="20"/>
      <c r="G552" s="467">
        <f t="shared" si="51"/>
        <v>14795.6</v>
      </c>
      <c r="H552" s="467">
        <f t="shared" si="51"/>
        <v>14795.6</v>
      </c>
      <c r="I552" s="204"/>
    </row>
    <row r="553" spans="1:9" ht="31.5" x14ac:dyDescent="0.25">
      <c r="A553" s="466" t="s">
        <v>272</v>
      </c>
      <c r="B553" s="16">
        <v>906</v>
      </c>
      <c r="C553" s="20" t="s">
        <v>264</v>
      </c>
      <c r="D553" s="20" t="s">
        <v>118</v>
      </c>
      <c r="E553" s="20" t="s">
        <v>1236</v>
      </c>
      <c r="F553" s="20" t="s">
        <v>273</v>
      </c>
      <c r="G553" s="467">
        <f t="shared" si="51"/>
        <v>14795.6</v>
      </c>
      <c r="H553" s="467">
        <f t="shared" si="51"/>
        <v>14795.6</v>
      </c>
      <c r="I553" s="204"/>
    </row>
    <row r="554" spans="1:9" ht="15.75" x14ac:dyDescent="0.25">
      <c r="A554" s="466" t="s">
        <v>274</v>
      </c>
      <c r="B554" s="16">
        <v>906</v>
      </c>
      <c r="C554" s="20" t="s">
        <v>264</v>
      </c>
      <c r="D554" s="20" t="s">
        <v>118</v>
      </c>
      <c r="E554" s="20" t="s">
        <v>1236</v>
      </c>
      <c r="F554" s="20" t="s">
        <v>275</v>
      </c>
      <c r="G554" s="467">
        <v>14795.6</v>
      </c>
      <c r="H554" s="467">
        <f t="shared" si="45"/>
        <v>14795.6</v>
      </c>
      <c r="I554" s="204"/>
    </row>
    <row r="555" spans="1:9" ht="47.25" x14ac:dyDescent="0.25">
      <c r="A555" s="464" t="s">
        <v>900</v>
      </c>
      <c r="B555" s="19">
        <v>906</v>
      </c>
      <c r="C555" s="24" t="s">
        <v>264</v>
      </c>
      <c r="D555" s="24" t="s">
        <v>118</v>
      </c>
      <c r="E555" s="24" t="s">
        <v>1237</v>
      </c>
      <c r="F555" s="24"/>
      <c r="G555" s="44">
        <f>G559+G562+G565+G556</f>
        <v>75561.5</v>
      </c>
      <c r="H555" s="44">
        <f>H559+H562+H565+H556</f>
        <v>79924.100000000006</v>
      </c>
      <c r="I555" s="204"/>
    </row>
    <row r="556" spans="1:9" s="203" customFormat="1" ht="94.5" x14ac:dyDescent="0.25">
      <c r="A556" s="31" t="s">
        <v>293</v>
      </c>
      <c r="B556" s="16">
        <v>906</v>
      </c>
      <c r="C556" s="20" t="s">
        <v>264</v>
      </c>
      <c r="D556" s="20" t="s">
        <v>118</v>
      </c>
      <c r="E556" s="20" t="s">
        <v>1401</v>
      </c>
      <c r="F556" s="20"/>
      <c r="G556" s="467">
        <f>G557</f>
        <v>3230</v>
      </c>
      <c r="H556" s="467">
        <f>H557</f>
        <v>3230</v>
      </c>
      <c r="I556" s="204"/>
    </row>
    <row r="557" spans="1:9" s="203" customFormat="1" ht="31.5" x14ac:dyDescent="0.25">
      <c r="A557" s="466" t="s">
        <v>272</v>
      </c>
      <c r="B557" s="16">
        <v>906</v>
      </c>
      <c r="C557" s="20" t="s">
        <v>264</v>
      </c>
      <c r="D557" s="20" t="s">
        <v>118</v>
      </c>
      <c r="E557" s="20" t="s">
        <v>1401</v>
      </c>
      <c r="F557" s="20" t="s">
        <v>273</v>
      </c>
      <c r="G557" s="467">
        <f>G558</f>
        <v>3230</v>
      </c>
      <c r="H557" s="467">
        <f>H558</f>
        <v>3230</v>
      </c>
      <c r="I557" s="204"/>
    </row>
    <row r="558" spans="1:9" s="203" customFormat="1" ht="15.75" x14ac:dyDescent="0.25">
      <c r="A558" s="466" t="s">
        <v>274</v>
      </c>
      <c r="B558" s="16">
        <v>906</v>
      </c>
      <c r="C558" s="20" t="s">
        <v>264</v>
      </c>
      <c r="D558" s="20" t="s">
        <v>118</v>
      </c>
      <c r="E558" s="20" t="s">
        <v>1401</v>
      </c>
      <c r="F558" s="20" t="s">
        <v>275</v>
      </c>
      <c r="G558" s="467">
        <v>3230</v>
      </c>
      <c r="H558" s="467">
        <f>G558</f>
        <v>3230</v>
      </c>
      <c r="I558" s="204"/>
    </row>
    <row r="559" spans="1:9" ht="66.75" customHeight="1" x14ac:dyDescent="0.25">
      <c r="A559" s="31" t="s">
        <v>289</v>
      </c>
      <c r="B559" s="16">
        <v>906</v>
      </c>
      <c r="C559" s="20" t="s">
        <v>264</v>
      </c>
      <c r="D559" s="20" t="s">
        <v>118</v>
      </c>
      <c r="E559" s="20" t="s">
        <v>1238</v>
      </c>
      <c r="F559" s="20"/>
      <c r="G559" s="467">
        <f>G560</f>
        <v>589</v>
      </c>
      <c r="H559" s="467">
        <f>H560</f>
        <v>589</v>
      </c>
      <c r="I559" s="204"/>
    </row>
    <row r="560" spans="1:9" ht="31.5" x14ac:dyDescent="0.25">
      <c r="A560" s="466" t="s">
        <v>272</v>
      </c>
      <c r="B560" s="16">
        <v>906</v>
      </c>
      <c r="C560" s="20" t="s">
        <v>264</v>
      </c>
      <c r="D560" s="20" t="s">
        <v>118</v>
      </c>
      <c r="E560" s="20" t="s">
        <v>1238</v>
      </c>
      <c r="F560" s="20" t="s">
        <v>273</v>
      </c>
      <c r="G560" s="467">
        <f>G561</f>
        <v>589</v>
      </c>
      <c r="H560" s="467">
        <f>H561</f>
        <v>589</v>
      </c>
      <c r="I560" s="204"/>
    </row>
    <row r="561" spans="1:9" ht="15.75" x14ac:dyDescent="0.25">
      <c r="A561" s="466" t="s">
        <v>274</v>
      </c>
      <c r="B561" s="16">
        <v>906</v>
      </c>
      <c r="C561" s="20" t="s">
        <v>264</v>
      </c>
      <c r="D561" s="20" t="s">
        <v>118</v>
      </c>
      <c r="E561" s="20" t="s">
        <v>1238</v>
      </c>
      <c r="F561" s="20" t="s">
        <v>275</v>
      </c>
      <c r="G561" s="467">
        <v>589</v>
      </c>
      <c r="H561" s="467">
        <f t="shared" si="45"/>
        <v>589</v>
      </c>
      <c r="I561" s="204"/>
    </row>
    <row r="562" spans="1:9" ht="63" x14ac:dyDescent="0.25">
      <c r="A562" s="31" t="s">
        <v>291</v>
      </c>
      <c r="B562" s="16">
        <v>906</v>
      </c>
      <c r="C562" s="20" t="s">
        <v>264</v>
      </c>
      <c r="D562" s="20" t="s">
        <v>118</v>
      </c>
      <c r="E562" s="20" t="s">
        <v>1239</v>
      </c>
      <c r="F562" s="20"/>
      <c r="G562" s="467">
        <f>G563</f>
        <v>1629.3</v>
      </c>
      <c r="H562" s="467">
        <f>H563</f>
        <v>1629.3</v>
      </c>
      <c r="I562" s="204"/>
    </row>
    <row r="563" spans="1:9" ht="31.5" x14ac:dyDescent="0.25">
      <c r="A563" s="466" t="s">
        <v>272</v>
      </c>
      <c r="B563" s="16">
        <v>906</v>
      </c>
      <c r="C563" s="20" t="s">
        <v>264</v>
      </c>
      <c r="D563" s="20" t="s">
        <v>118</v>
      </c>
      <c r="E563" s="20" t="s">
        <v>1239</v>
      </c>
      <c r="F563" s="20" t="s">
        <v>273</v>
      </c>
      <c r="G563" s="467">
        <f>G564</f>
        <v>1629.3</v>
      </c>
      <c r="H563" s="467">
        <f>H564</f>
        <v>1629.3</v>
      </c>
      <c r="I563" s="204"/>
    </row>
    <row r="564" spans="1:9" ht="15.75" x14ac:dyDescent="0.25">
      <c r="A564" s="466" t="s">
        <v>274</v>
      </c>
      <c r="B564" s="16">
        <v>906</v>
      </c>
      <c r="C564" s="20" t="s">
        <v>264</v>
      </c>
      <c r="D564" s="20" t="s">
        <v>118</v>
      </c>
      <c r="E564" s="20" t="s">
        <v>1239</v>
      </c>
      <c r="F564" s="20" t="s">
        <v>275</v>
      </c>
      <c r="G564" s="467">
        <f>1629.3</f>
        <v>1629.3</v>
      </c>
      <c r="H564" s="467">
        <f t="shared" si="45"/>
        <v>1629.3</v>
      </c>
      <c r="I564" s="204"/>
    </row>
    <row r="565" spans="1:9" ht="94.5" x14ac:dyDescent="0.25">
      <c r="A565" s="31" t="s">
        <v>421</v>
      </c>
      <c r="B565" s="16">
        <v>906</v>
      </c>
      <c r="C565" s="20" t="s">
        <v>264</v>
      </c>
      <c r="D565" s="20" t="s">
        <v>118</v>
      </c>
      <c r="E565" s="20" t="s">
        <v>1240</v>
      </c>
      <c r="F565" s="20"/>
      <c r="G565" s="467">
        <f>G566</f>
        <v>70113.2</v>
      </c>
      <c r="H565" s="467">
        <f>H566</f>
        <v>74475.8</v>
      </c>
      <c r="I565" s="204"/>
    </row>
    <row r="566" spans="1:9" ht="31.5" x14ac:dyDescent="0.25">
      <c r="A566" s="466" t="s">
        <v>272</v>
      </c>
      <c r="B566" s="16">
        <v>906</v>
      </c>
      <c r="C566" s="20" t="s">
        <v>264</v>
      </c>
      <c r="D566" s="20" t="s">
        <v>118</v>
      </c>
      <c r="E566" s="20" t="s">
        <v>1240</v>
      </c>
      <c r="F566" s="20" t="s">
        <v>273</v>
      </c>
      <c r="G566" s="467">
        <f>G567</f>
        <v>70113.2</v>
      </c>
      <c r="H566" s="467">
        <f>H567</f>
        <v>74475.8</v>
      </c>
      <c r="I566" s="204"/>
    </row>
    <row r="567" spans="1:9" ht="15.75" x14ac:dyDescent="0.25">
      <c r="A567" s="466" t="s">
        <v>274</v>
      </c>
      <c r="B567" s="16">
        <v>906</v>
      </c>
      <c r="C567" s="20" t="s">
        <v>264</v>
      </c>
      <c r="D567" s="20" t="s">
        <v>118</v>
      </c>
      <c r="E567" s="20" t="s">
        <v>1240</v>
      </c>
      <c r="F567" s="20" t="s">
        <v>275</v>
      </c>
      <c r="G567" s="467">
        <v>70113.2</v>
      </c>
      <c r="H567" s="467">
        <v>74475.8</v>
      </c>
      <c r="I567" s="204"/>
    </row>
    <row r="568" spans="1:9" ht="31.5" x14ac:dyDescent="0.25">
      <c r="A568" s="464" t="s">
        <v>1297</v>
      </c>
      <c r="B568" s="19">
        <v>906</v>
      </c>
      <c r="C568" s="24" t="s">
        <v>264</v>
      </c>
      <c r="D568" s="24" t="s">
        <v>118</v>
      </c>
      <c r="E568" s="24" t="s">
        <v>1242</v>
      </c>
      <c r="F568" s="24"/>
      <c r="G568" s="463">
        <f>G569+G572+G575</f>
        <v>4430</v>
      </c>
      <c r="H568" s="463">
        <f>H569+H572+H575</f>
        <v>4430</v>
      </c>
      <c r="I568" s="204"/>
    </row>
    <row r="569" spans="1:9" ht="31.5" hidden="1" x14ac:dyDescent="0.25">
      <c r="A569" s="466" t="s">
        <v>278</v>
      </c>
      <c r="B569" s="16">
        <v>906</v>
      </c>
      <c r="C569" s="20" t="s">
        <v>264</v>
      </c>
      <c r="D569" s="20" t="s">
        <v>118</v>
      </c>
      <c r="E569" s="20" t="s">
        <v>1325</v>
      </c>
      <c r="F569" s="20"/>
      <c r="G569" s="467">
        <f>G570</f>
        <v>0</v>
      </c>
      <c r="H569" s="467">
        <f t="shared" si="45"/>
        <v>0</v>
      </c>
      <c r="I569" s="204"/>
    </row>
    <row r="570" spans="1:9" ht="31.5" hidden="1" x14ac:dyDescent="0.25">
      <c r="A570" s="466" t="s">
        <v>272</v>
      </c>
      <c r="B570" s="16">
        <v>906</v>
      </c>
      <c r="C570" s="20" t="s">
        <v>264</v>
      </c>
      <c r="D570" s="20" t="s">
        <v>118</v>
      </c>
      <c r="E570" s="20" t="s">
        <v>1325</v>
      </c>
      <c r="F570" s="20" t="s">
        <v>273</v>
      </c>
      <c r="G570" s="467">
        <f>G571</f>
        <v>0</v>
      </c>
      <c r="H570" s="467">
        <f t="shared" ref="H570:H630" si="52">G570</f>
        <v>0</v>
      </c>
      <c r="I570" s="204"/>
    </row>
    <row r="571" spans="1:9" ht="15.75" hidden="1" x14ac:dyDescent="0.25">
      <c r="A571" s="466" t="s">
        <v>274</v>
      </c>
      <c r="B571" s="16">
        <v>906</v>
      </c>
      <c r="C571" s="20" t="s">
        <v>264</v>
      </c>
      <c r="D571" s="20" t="s">
        <v>118</v>
      </c>
      <c r="E571" s="20" t="s">
        <v>1325</v>
      </c>
      <c r="F571" s="20" t="s">
        <v>275</v>
      </c>
      <c r="G571" s="467"/>
      <c r="H571" s="467"/>
      <c r="I571" s="204"/>
    </row>
    <row r="572" spans="1:9" ht="31.5" hidden="1" x14ac:dyDescent="0.25">
      <c r="A572" s="466" t="s">
        <v>280</v>
      </c>
      <c r="B572" s="16">
        <v>906</v>
      </c>
      <c r="C572" s="20" t="s">
        <v>264</v>
      </c>
      <c r="D572" s="20" t="s">
        <v>118</v>
      </c>
      <c r="E572" s="20" t="s">
        <v>1326</v>
      </c>
      <c r="F572" s="20"/>
      <c r="G572" s="467">
        <f>G573</f>
        <v>0</v>
      </c>
      <c r="H572" s="467">
        <f t="shared" si="52"/>
        <v>0</v>
      </c>
      <c r="I572" s="204"/>
    </row>
    <row r="573" spans="1:9" ht="31.5" hidden="1" x14ac:dyDescent="0.25">
      <c r="A573" s="466" t="s">
        <v>272</v>
      </c>
      <c r="B573" s="16">
        <v>906</v>
      </c>
      <c r="C573" s="20" t="s">
        <v>264</v>
      </c>
      <c r="D573" s="20" t="s">
        <v>118</v>
      </c>
      <c r="E573" s="20" t="s">
        <v>1326</v>
      </c>
      <c r="F573" s="20" t="s">
        <v>273</v>
      </c>
      <c r="G573" s="467">
        <f>G574</f>
        <v>0</v>
      </c>
      <c r="H573" s="467">
        <f t="shared" si="52"/>
        <v>0</v>
      </c>
      <c r="I573" s="204"/>
    </row>
    <row r="574" spans="1:9" ht="15.75" hidden="1" x14ac:dyDescent="0.25">
      <c r="A574" s="466" t="s">
        <v>274</v>
      </c>
      <c r="B574" s="16">
        <v>906</v>
      </c>
      <c r="C574" s="20" t="s">
        <v>264</v>
      </c>
      <c r="D574" s="20" t="s">
        <v>118</v>
      </c>
      <c r="E574" s="20" t="s">
        <v>1326</v>
      </c>
      <c r="F574" s="20" t="s">
        <v>275</v>
      </c>
      <c r="G574" s="467"/>
      <c r="H574" s="467"/>
      <c r="I574" s="204"/>
    </row>
    <row r="575" spans="1:9" ht="31.5" x14ac:dyDescent="0.25">
      <c r="A575" s="29" t="s">
        <v>415</v>
      </c>
      <c r="B575" s="16">
        <v>906</v>
      </c>
      <c r="C575" s="20" t="s">
        <v>264</v>
      </c>
      <c r="D575" s="20" t="s">
        <v>118</v>
      </c>
      <c r="E575" s="20" t="s">
        <v>1243</v>
      </c>
      <c r="F575" s="20"/>
      <c r="G575" s="467">
        <f>G576</f>
        <v>4430</v>
      </c>
      <c r="H575" s="467">
        <f>H576</f>
        <v>4430</v>
      </c>
      <c r="I575" s="204"/>
    </row>
    <row r="576" spans="1:9" ht="31.5" x14ac:dyDescent="0.25">
      <c r="A576" s="466" t="s">
        <v>272</v>
      </c>
      <c r="B576" s="16">
        <v>906</v>
      </c>
      <c r="C576" s="20" t="s">
        <v>264</v>
      </c>
      <c r="D576" s="20" t="s">
        <v>118</v>
      </c>
      <c r="E576" s="20" t="s">
        <v>1243</v>
      </c>
      <c r="F576" s="20" t="s">
        <v>273</v>
      </c>
      <c r="G576" s="467">
        <f>G577</f>
        <v>4430</v>
      </c>
      <c r="H576" s="467">
        <f>H577</f>
        <v>4430</v>
      </c>
      <c r="I576" s="204"/>
    </row>
    <row r="577" spans="1:9" ht="15.75" x14ac:dyDescent="0.25">
      <c r="A577" s="466" t="s">
        <v>274</v>
      </c>
      <c r="B577" s="16">
        <v>906</v>
      </c>
      <c r="C577" s="20" t="s">
        <v>264</v>
      </c>
      <c r="D577" s="20" t="s">
        <v>118</v>
      </c>
      <c r="E577" s="20" t="s">
        <v>1243</v>
      </c>
      <c r="F577" s="20" t="s">
        <v>275</v>
      </c>
      <c r="G577" s="467">
        <f>4430</f>
        <v>4430</v>
      </c>
      <c r="H577" s="467">
        <f t="shared" si="52"/>
        <v>4430</v>
      </c>
      <c r="I577" s="204"/>
    </row>
    <row r="578" spans="1:9" ht="31.5" x14ac:dyDescent="0.25">
      <c r="A578" s="218" t="s">
        <v>948</v>
      </c>
      <c r="B578" s="19">
        <v>906</v>
      </c>
      <c r="C578" s="24" t="s">
        <v>264</v>
      </c>
      <c r="D578" s="24" t="s">
        <v>118</v>
      </c>
      <c r="E578" s="24" t="s">
        <v>1245</v>
      </c>
      <c r="F578" s="24"/>
      <c r="G578" s="44">
        <f>G579+G582+G585</f>
        <v>4848</v>
      </c>
      <c r="H578" s="44">
        <f>H579+H582+H585</f>
        <v>4848</v>
      </c>
      <c r="I578" s="204"/>
    </row>
    <row r="579" spans="1:9" ht="31.5" hidden="1" x14ac:dyDescent="0.25">
      <c r="A579" s="466" t="s">
        <v>284</v>
      </c>
      <c r="B579" s="16">
        <v>906</v>
      </c>
      <c r="C579" s="20" t="s">
        <v>264</v>
      </c>
      <c r="D579" s="20" t="s">
        <v>118</v>
      </c>
      <c r="E579" s="20" t="s">
        <v>1263</v>
      </c>
      <c r="F579" s="20"/>
      <c r="G579" s="467">
        <f>'Пр.4 ведом.21'!G660</f>
        <v>0</v>
      </c>
      <c r="H579" s="467">
        <f t="shared" si="52"/>
        <v>0</v>
      </c>
      <c r="I579" s="204"/>
    </row>
    <row r="580" spans="1:9" ht="31.5" hidden="1" x14ac:dyDescent="0.25">
      <c r="A580" s="466" t="s">
        <v>272</v>
      </c>
      <c r="B580" s="16">
        <v>906</v>
      </c>
      <c r="C580" s="20" t="s">
        <v>264</v>
      </c>
      <c r="D580" s="20" t="s">
        <v>118</v>
      </c>
      <c r="E580" s="20" t="s">
        <v>1263</v>
      </c>
      <c r="F580" s="20" t="s">
        <v>273</v>
      </c>
      <c r="G580" s="467">
        <f>'Пр.4 ведом.21'!G661</f>
        <v>0</v>
      </c>
      <c r="H580" s="467">
        <f t="shared" si="52"/>
        <v>0</v>
      </c>
      <c r="I580" s="204"/>
    </row>
    <row r="581" spans="1:9" ht="15.75" hidden="1" x14ac:dyDescent="0.25">
      <c r="A581" s="466" t="s">
        <v>274</v>
      </c>
      <c r="B581" s="16">
        <v>906</v>
      </c>
      <c r="C581" s="20" t="s">
        <v>264</v>
      </c>
      <c r="D581" s="20" t="s">
        <v>118</v>
      </c>
      <c r="E581" s="20" t="s">
        <v>1263</v>
      </c>
      <c r="F581" s="20" t="s">
        <v>275</v>
      </c>
      <c r="G581" s="467">
        <f>'Пр.4 ведом.21'!G662</f>
        <v>0</v>
      </c>
      <c r="H581" s="467">
        <f t="shared" si="52"/>
        <v>0</v>
      </c>
      <c r="I581" s="204"/>
    </row>
    <row r="582" spans="1:9" ht="31.5" x14ac:dyDescent="0.25">
      <c r="A582" s="60" t="s">
        <v>764</v>
      </c>
      <c r="B582" s="16">
        <v>906</v>
      </c>
      <c r="C582" s="20" t="s">
        <v>264</v>
      </c>
      <c r="D582" s="20" t="s">
        <v>118</v>
      </c>
      <c r="E582" s="20" t="s">
        <v>1246</v>
      </c>
      <c r="F582" s="20"/>
      <c r="G582" s="467">
        <f>G583</f>
        <v>3088</v>
      </c>
      <c r="H582" s="467">
        <f>H583</f>
        <v>3088</v>
      </c>
      <c r="I582" s="204"/>
    </row>
    <row r="583" spans="1:9" ht="31.5" x14ac:dyDescent="0.25">
      <c r="A583" s="29" t="s">
        <v>272</v>
      </c>
      <c r="B583" s="16">
        <v>906</v>
      </c>
      <c r="C583" s="20" t="s">
        <v>264</v>
      </c>
      <c r="D583" s="20" t="s">
        <v>118</v>
      </c>
      <c r="E583" s="20" t="s">
        <v>1246</v>
      </c>
      <c r="F583" s="20" t="s">
        <v>273</v>
      </c>
      <c r="G583" s="467">
        <f>G584</f>
        <v>3088</v>
      </c>
      <c r="H583" s="467">
        <f>H584</f>
        <v>3088</v>
      </c>
      <c r="I583" s="204"/>
    </row>
    <row r="584" spans="1:9" ht="15.75" x14ac:dyDescent="0.25">
      <c r="A584" s="182" t="s">
        <v>274</v>
      </c>
      <c r="B584" s="16">
        <v>906</v>
      </c>
      <c r="C584" s="20" t="s">
        <v>264</v>
      </c>
      <c r="D584" s="20" t="s">
        <v>118</v>
      </c>
      <c r="E584" s="20" t="s">
        <v>1246</v>
      </c>
      <c r="F584" s="20" t="s">
        <v>275</v>
      </c>
      <c r="G584" s="467">
        <v>3088</v>
      </c>
      <c r="H584" s="467">
        <f t="shared" si="52"/>
        <v>3088</v>
      </c>
      <c r="I584" s="204"/>
    </row>
    <row r="585" spans="1:9" ht="47.25" x14ac:dyDescent="0.25">
      <c r="A585" s="60" t="s">
        <v>765</v>
      </c>
      <c r="B585" s="16">
        <v>906</v>
      </c>
      <c r="C585" s="20" t="s">
        <v>264</v>
      </c>
      <c r="D585" s="20" t="s">
        <v>118</v>
      </c>
      <c r="E585" s="20" t="s">
        <v>1247</v>
      </c>
      <c r="F585" s="20"/>
      <c r="G585" s="467">
        <f>G586</f>
        <v>1760</v>
      </c>
      <c r="H585" s="467">
        <f>H586</f>
        <v>1760</v>
      </c>
      <c r="I585" s="204"/>
    </row>
    <row r="586" spans="1:9" ht="31.5" x14ac:dyDescent="0.25">
      <c r="A586" s="29" t="s">
        <v>272</v>
      </c>
      <c r="B586" s="16">
        <v>906</v>
      </c>
      <c r="C586" s="20" t="s">
        <v>264</v>
      </c>
      <c r="D586" s="20" t="s">
        <v>118</v>
      </c>
      <c r="E586" s="20" t="s">
        <v>1247</v>
      </c>
      <c r="F586" s="20" t="s">
        <v>273</v>
      </c>
      <c r="G586" s="467">
        <f>G587</f>
        <v>1760</v>
      </c>
      <c r="H586" s="467">
        <f>H587</f>
        <v>1760</v>
      </c>
      <c r="I586" s="204"/>
    </row>
    <row r="587" spans="1:9" ht="15.75" x14ac:dyDescent="0.25">
      <c r="A587" s="182" t="s">
        <v>274</v>
      </c>
      <c r="B587" s="16">
        <v>906</v>
      </c>
      <c r="C587" s="20" t="s">
        <v>264</v>
      </c>
      <c r="D587" s="20" t="s">
        <v>118</v>
      </c>
      <c r="E587" s="20" t="s">
        <v>1247</v>
      </c>
      <c r="F587" s="20" t="s">
        <v>275</v>
      </c>
      <c r="G587" s="467">
        <f>1760</f>
        <v>1760</v>
      </c>
      <c r="H587" s="467">
        <f t="shared" si="52"/>
        <v>1760</v>
      </c>
      <c r="I587" s="204"/>
    </row>
    <row r="588" spans="1:9" ht="63" x14ac:dyDescent="0.25">
      <c r="A588" s="464" t="s">
        <v>933</v>
      </c>
      <c r="B588" s="19">
        <v>906</v>
      </c>
      <c r="C588" s="24" t="s">
        <v>264</v>
      </c>
      <c r="D588" s="24" t="s">
        <v>118</v>
      </c>
      <c r="E588" s="24" t="s">
        <v>1248</v>
      </c>
      <c r="F588" s="24"/>
      <c r="G588" s="463">
        <f t="shared" ref="G588:H590" si="53">G589</f>
        <v>297.70000000000005</v>
      </c>
      <c r="H588" s="463">
        <f t="shared" si="53"/>
        <v>297.70000000000005</v>
      </c>
      <c r="I588" s="204"/>
    </row>
    <row r="589" spans="1:9" ht="115.5" customHeight="1" x14ac:dyDescent="0.25">
      <c r="A589" s="466" t="s">
        <v>1523</v>
      </c>
      <c r="B589" s="16">
        <v>906</v>
      </c>
      <c r="C589" s="20" t="s">
        <v>264</v>
      </c>
      <c r="D589" s="20" t="s">
        <v>118</v>
      </c>
      <c r="E589" s="20" t="s">
        <v>1249</v>
      </c>
      <c r="F589" s="20"/>
      <c r="G589" s="467">
        <f t="shared" si="53"/>
        <v>297.70000000000005</v>
      </c>
      <c r="H589" s="467">
        <f t="shared" si="53"/>
        <v>297.70000000000005</v>
      </c>
      <c r="I589" s="204"/>
    </row>
    <row r="590" spans="1:9" ht="31.5" x14ac:dyDescent="0.25">
      <c r="A590" s="29" t="s">
        <v>272</v>
      </c>
      <c r="B590" s="16">
        <v>906</v>
      </c>
      <c r="C590" s="20" t="s">
        <v>264</v>
      </c>
      <c r="D590" s="20" t="s">
        <v>118</v>
      </c>
      <c r="E590" s="20" t="s">
        <v>1249</v>
      </c>
      <c r="F590" s="20" t="s">
        <v>273</v>
      </c>
      <c r="G590" s="467">
        <f t="shared" si="53"/>
        <v>297.70000000000005</v>
      </c>
      <c r="H590" s="467">
        <f t="shared" si="53"/>
        <v>297.70000000000005</v>
      </c>
      <c r="I590" s="204"/>
    </row>
    <row r="591" spans="1:9" ht="15.75" x14ac:dyDescent="0.25">
      <c r="A591" s="182" t="s">
        <v>274</v>
      </c>
      <c r="B591" s="16">
        <v>906</v>
      </c>
      <c r="C591" s="20" t="s">
        <v>264</v>
      </c>
      <c r="D591" s="20" t="s">
        <v>118</v>
      </c>
      <c r="E591" s="20" t="s">
        <v>1249</v>
      </c>
      <c r="F591" s="20" t="s">
        <v>275</v>
      </c>
      <c r="G591" s="467">
        <f>124.4+173.3</f>
        <v>297.70000000000005</v>
      </c>
      <c r="H591" s="467">
        <f t="shared" si="52"/>
        <v>297.70000000000005</v>
      </c>
      <c r="I591" s="204"/>
    </row>
    <row r="592" spans="1:9" s="203" customFormat="1" ht="94.5" x14ac:dyDescent="0.25">
      <c r="A592" s="464" t="s">
        <v>1171</v>
      </c>
      <c r="B592" s="19">
        <v>906</v>
      </c>
      <c r="C592" s="24" t="s">
        <v>264</v>
      </c>
      <c r="D592" s="24" t="s">
        <v>118</v>
      </c>
      <c r="E592" s="24" t="s">
        <v>1251</v>
      </c>
      <c r="F592" s="24"/>
      <c r="G592" s="463">
        <f>G593+G596</f>
        <v>1666.6</v>
      </c>
      <c r="H592" s="463">
        <f>H593+H596</f>
        <v>915</v>
      </c>
      <c r="I592" s="204"/>
    </row>
    <row r="593" spans="1:9" s="203" customFormat="1" ht="94.5" hidden="1" x14ac:dyDescent="0.25">
      <c r="A593" s="149" t="s">
        <v>1190</v>
      </c>
      <c r="B593" s="16">
        <v>906</v>
      </c>
      <c r="C593" s="20" t="s">
        <v>264</v>
      </c>
      <c r="D593" s="20" t="s">
        <v>118</v>
      </c>
      <c r="E593" s="20" t="s">
        <v>1252</v>
      </c>
      <c r="F593" s="20"/>
      <c r="G593" s="467">
        <f>G594</f>
        <v>0</v>
      </c>
      <c r="H593" s="467">
        <f>H594</f>
        <v>0</v>
      </c>
      <c r="I593" s="204"/>
    </row>
    <row r="594" spans="1:9" s="203" customFormat="1" ht="31.5" hidden="1" x14ac:dyDescent="0.25">
      <c r="A594" s="466" t="s">
        <v>272</v>
      </c>
      <c r="B594" s="16">
        <v>906</v>
      </c>
      <c r="C594" s="20" t="s">
        <v>264</v>
      </c>
      <c r="D594" s="20" t="s">
        <v>118</v>
      </c>
      <c r="E594" s="20" t="s">
        <v>1252</v>
      </c>
      <c r="F594" s="20" t="s">
        <v>273</v>
      </c>
      <c r="G594" s="467">
        <f>G595</f>
        <v>0</v>
      </c>
      <c r="H594" s="467">
        <f>H595</f>
        <v>0</v>
      </c>
      <c r="I594" s="204"/>
    </row>
    <row r="595" spans="1:9" s="203" customFormat="1" ht="15.75" hidden="1" x14ac:dyDescent="0.25">
      <c r="A595" s="466" t="s">
        <v>274</v>
      </c>
      <c r="B595" s="16">
        <v>906</v>
      </c>
      <c r="C595" s="20" t="s">
        <v>264</v>
      </c>
      <c r="D595" s="20" t="s">
        <v>118</v>
      </c>
      <c r="E595" s="20" t="s">
        <v>1252</v>
      </c>
      <c r="F595" s="20" t="s">
        <v>275</v>
      </c>
      <c r="G595" s="467">
        <v>0</v>
      </c>
      <c r="H595" s="467">
        <v>0</v>
      </c>
      <c r="I595" s="204"/>
    </row>
    <row r="596" spans="1:9" s="203" customFormat="1" ht="96.4" customHeight="1" x14ac:dyDescent="0.25">
      <c r="A596" s="149" t="s">
        <v>1506</v>
      </c>
      <c r="B596" s="16">
        <v>906</v>
      </c>
      <c r="C596" s="20" t="s">
        <v>264</v>
      </c>
      <c r="D596" s="20" t="s">
        <v>118</v>
      </c>
      <c r="E596" s="20" t="s">
        <v>1252</v>
      </c>
      <c r="F596" s="20"/>
      <c r="G596" s="467">
        <f>G597</f>
        <v>1666.6</v>
      </c>
      <c r="H596" s="467">
        <f>H597</f>
        <v>915</v>
      </c>
      <c r="I596" s="204"/>
    </row>
    <row r="597" spans="1:9" s="203" customFormat="1" ht="31.5" x14ac:dyDescent="0.25">
      <c r="A597" s="466" t="s">
        <v>272</v>
      </c>
      <c r="B597" s="16">
        <v>906</v>
      </c>
      <c r="C597" s="20" t="s">
        <v>264</v>
      </c>
      <c r="D597" s="20" t="s">
        <v>118</v>
      </c>
      <c r="E597" s="20" t="s">
        <v>1252</v>
      </c>
      <c r="F597" s="20" t="s">
        <v>273</v>
      </c>
      <c r="G597" s="467">
        <f>G598</f>
        <v>1666.6</v>
      </c>
      <c r="H597" s="467">
        <f>H598</f>
        <v>915</v>
      </c>
      <c r="I597" s="204"/>
    </row>
    <row r="598" spans="1:9" s="203" customFormat="1" ht="15.75" x14ac:dyDescent="0.25">
      <c r="A598" s="466" t="s">
        <v>274</v>
      </c>
      <c r="B598" s="16">
        <v>906</v>
      </c>
      <c r="C598" s="20" t="s">
        <v>264</v>
      </c>
      <c r="D598" s="20" t="s">
        <v>118</v>
      </c>
      <c r="E598" s="20" t="s">
        <v>1252</v>
      </c>
      <c r="F598" s="20" t="s">
        <v>275</v>
      </c>
      <c r="G598" s="467">
        <f>1666.6</f>
        <v>1666.6</v>
      </c>
      <c r="H598" s="467">
        <v>915</v>
      </c>
      <c r="I598" s="204"/>
    </row>
    <row r="599" spans="1:9" s="203" customFormat="1" ht="47.25" x14ac:dyDescent="0.25">
      <c r="A599" s="34" t="s">
        <v>1368</v>
      </c>
      <c r="B599" s="19">
        <v>906</v>
      </c>
      <c r="C599" s="24" t="s">
        <v>264</v>
      </c>
      <c r="D599" s="24" t="s">
        <v>118</v>
      </c>
      <c r="E599" s="24" t="s">
        <v>324</v>
      </c>
      <c r="F599" s="24"/>
      <c r="G599" s="463">
        <f t="shared" ref="G599:H602" si="54">G600</f>
        <v>80</v>
      </c>
      <c r="H599" s="463">
        <f t="shared" si="54"/>
        <v>25</v>
      </c>
      <c r="I599" s="204"/>
    </row>
    <row r="600" spans="1:9" s="203" customFormat="1" ht="63" x14ac:dyDescent="0.25">
      <c r="A600" s="34" t="s">
        <v>1009</v>
      </c>
      <c r="B600" s="19">
        <v>906</v>
      </c>
      <c r="C600" s="24" t="s">
        <v>264</v>
      </c>
      <c r="D600" s="24" t="s">
        <v>118</v>
      </c>
      <c r="E600" s="24" t="s">
        <v>934</v>
      </c>
      <c r="F600" s="24"/>
      <c r="G600" s="463">
        <f t="shared" si="54"/>
        <v>80</v>
      </c>
      <c r="H600" s="463">
        <f t="shared" si="54"/>
        <v>25</v>
      </c>
      <c r="I600" s="204"/>
    </row>
    <row r="601" spans="1:9" s="203" customFormat="1" ht="47.25" x14ac:dyDescent="0.25">
      <c r="A601" s="31" t="s">
        <v>1084</v>
      </c>
      <c r="B601" s="16">
        <v>906</v>
      </c>
      <c r="C601" s="20" t="s">
        <v>264</v>
      </c>
      <c r="D601" s="20" t="s">
        <v>118</v>
      </c>
      <c r="E601" s="20" t="s">
        <v>935</v>
      </c>
      <c r="F601" s="20"/>
      <c r="G601" s="467">
        <f t="shared" si="54"/>
        <v>80</v>
      </c>
      <c r="H601" s="467">
        <f t="shared" si="54"/>
        <v>25</v>
      </c>
      <c r="I601" s="204"/>
    </row>
    <row r="602" spans="1:9" s="203" customFormat="1" ht="31.5" x14ac:dyDescent="0.25">
      <c r="A602" s="31" t="s">
        <v>272</v>
      </c>
      <c r="B602" s="16">
        <v>906</v>
      </c>
      <c r="C602" s="20" t="s">
        <v>264</v>
      </c>
      <c r="D602" s="20" t="s">
        <v>118</v>
      </c>
      <c r="E602" s="20" t="s">
        <v>935</v>
      </c>
      <c r="F602" s="20" t="s">
        <v>273</v>
      </c>
      <c r="G602" s="467">
        <f t="shared" si="54"/>
        <v>80</v>
      </c>
      <c r="H602" s="467">
        <f t="shared" si="54"/>
        <v>25</v>
      </c>
      <c r="I602" s="204"/>
    </row>
    <row r="603" spans="1:9" s="203" customFormat="1" ht="15.75" x14ac:dyDescent="0.25">
      <c r="A603" s="31" t="s">
        <v>274</v>
      </c>
      <c r="B603" s="16">
        <v>906</v>
      </c>
      <c r="C603" s="20" t="s">
        <v>264</v>
      </c>
      <c r="D603" s="20" t="s">
        <v>118</v>
      </c>
      <c r="E603" s="20" t="s">
        <v>935</v>
      </c>
      <c r="F603" s="20" t="s">
        <v>275</v>
      </c>
      <c r="G603" s="467">
        <v>80</v>
      </c>
      <c r="H603" s="467">
        <v>25</v>
      </c>
      <c r="I603" s="204"/>
    </row>
    <row r="604" spans="1:9" ht="47.25" x14ac:dyDescent="0.25">
      <c r="A604" s="470" t="s">
        <v>1363</v>
      </c>
      <c r="B604" s="19">
        <v>906</v>
      </c>
      <c r="C604" s="24" t="s">
        <v>264</v>
      </c>
      <c r="D604" s="24" t="s">
        <v>118</v>
      </c>
      <c r="E604" s="24" t="s">
        <v>705</v>
      </c>
      <c r="F604" s="221"/>
      <c r="G604" s="463">
        <f>G606</f>
        <v>570.9</v>
      </c>
      <c r="H604" s="463">
        <f>H606</f>
        <v>593.79999999999995</v>
      </c>
      <c r="I604" s="204"/>
    </row>
    <row r="605" spans="1:9" ht="47.25" x14ac:dyDescent="0.25">
      <c r="A605" s="470" t="s">
        <v>890</v>
      </c>
      <c r="B605" s="19">
        <v>906</v>
      </c>
      <c r="C605" s="24" t="s">
        <v>264</v>
      </c>
      <c r="D605" s="24" t="s">
        <v>118</v>
      </c>
      <c r="E605" s="24" t="s">
        <v>888</v>
      </c>
      <c r="F605" s="221"/>
      <c r="G605" s="463">
        <f t="shared" ref="G605:H607" si="55">G606</f>
        <v>570.9</v>
      </c>
      <c r="H605" s="463">
        <f t="shared" si="55"/>
        <v>593.79999999999995</v>
      </c>
      <c r="I605" s="204"/>
    </row>
    <row r="606" spans="1:9" ht="47.25" x14ac:dyDescent="0.25">
      <c r="A606" s="98" t="s">
        <v>780</v>
      </c>
      <c r="B606" s="16">
        <v>906</v>
      </c>
      <c r="C606" s="20" t="s">
        <v>264</v>
      </c>
      <c r="D606" s="20" t="s">
        <v>118</v>
      </c>
      <c r="E606" s="20" t="s">
        <v>936</v>
      </c>
      <c r="F606" s="32"/>
      <c r="G606" s="467">
        <f t="shared" si="55"/>
        <v>570.9</v>
      </c>
      <c r="H606" s="467">
        <f t="shared" si="55"/>
        <v>593.79999999999995</v>
      </c>
      <c r="I606" s="204"/>
    </row>
    <row r="607" spans="1:9" ht="31.5" x14ac:dyDescent="0.25">
      <c r="A607" s="29" t="s">
        <v>272</v>
      </c>
      <c r="B607" s="16">
        <v>906</v>
      </c>
      <c r="C607" s="20" t="s">
        <v>264</v>
      </c>
      <c r="D607" s="20" t="s">
        <v>118</v>
      </c>
      <c r="E607" s="20" t="s">
        <v>936</v>
      </c>
      <c r="F607" s="32" t="s">
        <v>273</v>
      </c>
      <c r="G607" s="467">
        <f t="shared" si="55"/>
        <v>570.9</v>
      </c>
      <c r="H607" s="467">
        <f t="shared" si="55"/>
        <v>593.79999999999995</v>
      </c>
      <c r="I607" s="204"/>
    </row>
    <row r="608" spans="1:9" ht="15.75" x14ac:dyDescent="0.25">
      <c r="A608" s="182" t="s">
        <v>274</v>
      </c>
      <c r="B608" s="16">
        <v>906</v>
      </c>
      <c r="C608" s="20" t="s">
        <v>264</v>
      </c>
      <c r="D608" s="20" t="s">
        <v>118</v>
      </c>
      <c r="E608" s="20" t="s">
        <v>936</v>
      </c>
      <c r="F608" s="32" t="s">
        <v>275</v>
      </c>
      <c r="G608" s="467">
        <v>570.9</v>
      </c>
      <c r="H608" s="467">
        <v>593.79999999999995</v>
      </c>
      <c r="I608" s="204"/>
    </row>
    <row r="609" spans="1:13" ht="15.75" x14ac:dyDescent="0.25">
      <c r="A609" s="464" t="s">
        <v>425</v>
      </c>
      <c r="B609" s="19">
        <v>906</v>
      </c>
      <c r="C609" s="24" t="s">
        <v>264</v>
      </c>
      <c r="D609" s="24" t="s">
        <v>213</v>
      </c>
      <c r="E609" s="24"/>
      <c r="F609" s="24"/>
      <c r="G609" s="463">
        <f>G610+G686+G681</f>
        <v>177341.49999999997</v>
      </c>
      <c r="H609" s="463">
        <f>H610+H686+H681</f>
        <v>196805.15000000002</v>
      </c>
      <c r="I609" s="204"/>
      <c r="M609" s="231"/>
    </row>
    <row r="610" spans="1:13" ht="31.5" x14ac:dyDescent="0.25">
      <c r="A610" s="464" t="s">
        <v>1367</v>
      </c>
      <c r="B610" s="19">
        <v>906</v>
      </c>
      <c r="C610" s="24" t="s">
        <v>264</v>
      </c>
      <c r="D610" s="24" t="s">
        <v>213</v>
      </c>
      <c r="E610" s="24" t="s">
        <v>406</v>
      </c>
      <c r="F610" s="24"/>
      <c r="G610" s="463">
        <f>G611+G615+G634+G647+G654+G658+G662+G673+G669+G677</f>
        <v>176410.99999999997</v>
      </c>
      <c r="H610" s="463">
        <f>H611+H615+H634+H647+H654+H658+H662+H673+H669+H677</f>
        <v>195829.85000000003</v>
      </c>
      <c r="I610" s="204"/>
    </row>
    <row r="611" spans="1:13" ht="31.5" x14ac:dyDescent="0.25">
      <c r="A611" s="464" t="s">
        <v>937</v>
      </c>
      <c r="B611" s="19">
        <v>906</v>
      </c>
      <c r="C611" s="24" t="s">
        <v>264</v>
      </c>
      <c r="D611" s="24" t="s">
        <v>213</v>
      </c>
      <c r="E611" s="24" t="s">
        <v>1235</v>
      </c>
      <c r="F611" s="24"/>
      <c r="G611" s="463">
        <f t="shared" ref="G611:H613" si="56">G612</f>
        <v>28690.799999999999</v>
      </c>
      <c r="H611" s="463">
        <f t="shared" si="56"/>
        <v>28690.799999999999</v>
      </c>
      <c r="I611" s="204"/>
    </row>
    <row r="612" spans="1:13" ht="47.25" x14ac:dyDescent="0.25">
      <c r="A612" s="466" t="s">
        <v>427</v>
      </c>
      <c r="B612" s="16">
        <v>906</v>
      </c>
      <c r="C612" s="20" t="s">
        <v>264</v>
      </c>
      <c r="D612" s="20" t="s">
        <v>213</v>
      </c>
      <c r="E612" s="20" t="s">
        <v>1254</v>
      </c>
      <c r="F612" s="20"/>
      <c r="G612" s="467">
        <f t="shared" si="56"/>
        <v>28690.799999999999</v>
      </c>
      <c r="H612" s="467">
        <f t="shared" si="56"/>
        <v>28690.799999999999</v>
      </c>
      <c r="I612" s="204"/>
    </row>
    <row r="613" spans="1:13" ht="31.5" x14ac:dyDescent="0.25">
      <c r="A613" s="466" t="s">
        <v>272</v>
      </c>
      <c r="B613" s="16">
        <v>906</v>
      </c>
      <c r="C613" s="20" t="s">
        <v>264</v>
      </c>
      <c r="D613" s="20" t="s">
        <v>213</v>
      </c>
      <c r="E613" s="20" t="s">
        <v>1254</v>
      </c>
      <c r="F613" s="20" t="s">
        <v>273</v>
      </c>
      <c r="G613" s="467">
        <f t="shared" si="56"/>
        <v>28690.799999999999</v>
      </c>
      <c r="H613" s="467">
        <f t="shared" si="56"/>
        <v>28690.799999999999</v>
      </c>
      <c r="I613" s="204"/>
    </row>
    <row r="614" spans="1:13" ht="15.75" x14ac:dyDescent="0.25">
      <c r="A614" s="466" t="s">
        <v>274</v>
      </c>
      <c r="B614" s="16">
        <v>906</v>
      </c>
      <c r="C614" s="20" t="s">
        <v>264</v>
      </c>
      <c r="D614" s="20" t="s">
        <v>213</v>
      </c>
      <c r="E614" s="20" t="s">
        <v>1254</v>
      </c>
      <c r="F614" s="20" t="s">
        <v>275</v>
      </c>
      <c r="G614" s="467">
        <v>28690.799999999999</v>
      </c>
      <c r="H614" s="467">
        <f t="shared" si="52"/>
        <v>28690.799999999999</v>
      </c>
      <c r="I614" s="204"/>
    </row>
    <row r="615" spans="1:13" ht="47.25" x14ac:dyDescent="0.25">
      <c r="A615" s="464" t="s">
        <v>900</v>
      </c>
      <c r="B615" s="19">
        <v>906</v>
      </c>
      <c r="C615" s="24" t="s">
        <v>264</v>
      </c>
      <c r="D615" s="24" t="s">
        <v>213</v>
      </c>
      <c r="E615" s="24" t="s">
        <v>1237</v>
      </c>
      <c r="F615" s="24"/>
      <c r="G615" s="44">
        <f>G622+G625+G628+G631+G619+G616</f>
        <v>131370.9</v>
      </c>
      <c r="H615" s="44">
        <f>H622+H625+H628+H631+H619+H616</f>
        <v>150534.80000000002</v>
      </c>
      <c r="I615" s="204"/>
      <c r="L615" s="231"/>
    </row>
    <row r="616" spans="1:13" s="203" customFormat="1" ht="63" x14ac:dyDescent="0.25">
      <c r="A616" s="466" t="s">
        <v>1403</v>
      </c>
      <c r="B616" s="16">
        <v>906</v>
      </c>
      <c r="C616" s="20" t="s">
        <v>264</v>
      </c>
      <c r="D616" s="20" t="s">
        <v>213</v>
      </c>
      <c r="E616" s="20" t="s">
        <v>1404</v>
      </c>
      <c r="F616" s="20"/>
      <c r="G616" s="27">
        <f>G617</f>
        <v>7226.1</v>
      </c>
      <c r="H616" s="27">
        <f>H617</f>
        <v>7226.1</v>
      </c>
      <c r="I616" s="204"/>
    </row>
    <row r="617" spans="1:13" s="203" customFormat="1" ht="31.5" x14ac:dyDescent="0.25">
      <c r="A617" s="466" t="s">
        <v>272</v>
      </c>
      <c r="B617" s="16">
        <v>906</v>
      </c>
      <c r="C617" s="20" t="s">
        <v>264</v>
      </c>
      <c r="D617" s="20" t="s">
        <v>213</v>
      </c>
      <c r="E617" s="20" t="s">
        <v>1404</v>
      </c>
      <c r="F617" s="20" t="s">
        <v>273</v>
      </c>
      <c r="G617" s="27">
        <f>G618</f>
        <v>7226.1</v>
      </c>
      <c r="H617" s="27">
        <f>H618</f>
        <v>7226.1</v>
      </c>
      <c r="I617" s="204"/>
    </row>
    <row r="618" spans="1:13" s="203" customFormat="1" ht="15.75" x14ac:dyDescent="0.25">
      <c r="A618" s="466" t="s">
        <v>274</v>
      </c>
      <c r="B618" s="16">
        <v>906</v>
      </c>
      <c r="C618" s="20" t="s">
        <v>264</v>
      </c>
      <c r="D618" s="20" t="s">
        <v>213</v>
      </c>
      <c r="E618" s="20" t="s">
        <v>1404</v>
      </c>
      <c r="F618" s="20" t="s">
        <v>275</v>
      </c>
      <c r="G618" s="27">
        <v>7226.1</v>
      </c>
      <c r="H618" s="27">
        <v>7226.1</v>
      </c>
      <c r="I618" s="204"/>
    </row>
    <row r="619" spans="1:13" s="203" customFormat="1" ht="94.5" x14ac:dyDescent="0.25">
      <c r="A619" s="31" t="s">
        <v>464</v>
      </c>
      <c r="B619" s="16">
        <v>906</v>
      </c>
      <c r="C619" s="20" t="s">
        <v>264</v>
      </c>
      <c r="D619" s="20" t="s">
        <v>213</v>
      </c>
      <c r="E619" s="20" t="s">
        <v>1401</v>
      </c>
      <c r="F619" s="20"/>
      <c r="G619" s="467">
        <f>G620</f>
        <v>4610</v>
      </c>
      <c r="H619" s="467">
        <f>H620</f>
        <v>4610</v>
      </c>
      <c r="I619" s="204"/>
    </row>
    <row r="620" spans="1:13" s="203" customFormat="1" ht="31.5" x14ac:dyDescent="0.25">
      <c r="A620" s="466" t="s">
        <v>272</v>
      </c>
      <c r="B620" s="16">
        <v>906</v>
      </c>
      <c r="C620" s="20" t="s">
        <v>264</v>
      </c>
      <c r="D620" s="20" t="s">
        <v>213</v>
      </c>
      <c r="E620" s="20" t="s">
        <v>1401</v>
      </c>
      <c r="F620" s="20" t="s">
        <v>273</v>
      </c>
      <c r="G620" s="467">
        <f>G621</f>
        <v>4610</v>
      </c>
      <c r="H620" s="467">
        <f>H621</f>
        <v>4610</v>
      </c>
      <c r="I620" s="204"/>
    </row>
    <row r="621" spans="1:13" s="203" customFormat="1" ht="15.75" x14ac:dyDescent="0.25">
      <c r="A621" s="466" t="s">
        <v>274</v>
      </c>
      <c r="B621" s="16">
        <v>906</v>
      </c>
      <c r="C621" s="20" t="s">
        <v>264</v>
      </c>
      <c r="D621" s="20" t="s">
        <v>213</v>
      </c>
      <c r="E621" s="20" t="s">
        <v>1401</v>
      </c>
      <c r="F621" s="20" t="s">
        <v>275</v>
      </c>
      <c r="G621" s="467">
        <v>4610</v>
      </c>
      <c r="H621" s="467">
        <f>G621</f>
        <v>4610</v>
      </c>
      <c r="I621" s="204"/>
    </row>
    <row r="622" spans="1:13" ht="78.75" x14ac:dyDescent="0.25">
      <c r="A622" s="31" t="s">
        <v>460</v>
      </c>
      <c r="B622" s="16">
        <v>906</v>
      </c>
      <c r="C622" s="20" t="s">
        <v>264</v>
      </c>
      <c r="D622" s="20" t="s">
        <v>213</v>
      </c>
      <c r="E622" s="20" t="s">
        <v>1255</v>
      </c>
      <c r="F622" s="20"/>
      <c r="G622" s="467">
        <f>G623</f>
        <v>115047.8</v>
      </c>
      <c r="H622" s="467">
        <f>H623</f>
        <v>134211.70000000001</v>
      </c>
      <c r="I622" s="204"/>
    </row>
    <row r="623" spans="1:13" ht="31.5" x14ac:dyDescent="0.25">
      <c r="A623" s="466" t="s">
        <v>272</v>
      </c>
      <c r="B623" s="16">
        <v>906</v>
      </c>
      <c r="C623" s="20" t="s">
        <v>264</v>
      </c>
      <c r="D623" s="20" t="s">
        <v>213</v>
      </c>
      <c r="E623" s="20" t="s">
        <v>1255</v>
      </c>
      <c r="F623" s="20" t="s">
        <v>273</v>
      </c>
      <c r="G623" s="467">
        <f>G624</f>
        <v>115047.8</v>
      </c>
      <c r="H623" s="467">
        <f>H624</f>
        <v>134211.70000000001</v>
      </c>
      <c r="I623" s="204"/>
    </row>
    <row r="624" spans="1:13" ht="15.75" x14ac:dyDescent="0.25">
      <c r="A624" s="466" t="s">
        <v>274</v>
      </c>
      <c r="B624" s="16">
        <v>906</v>
      </c>
      <c r="C624" s="20" t="s">
        <v>264</v>
      </c>
      <c r="D624" s="20" t="s">
        <v>213</v>
      </c>
      <c r="E624" s="20" t="s">
        <v>1255</v>
      </c>
      <c r="F624" s="20" t="s">
        <v>275</v>
      </c>
      <c r="G624" s="467">
        <v>115047.8</v>
      </c>
      <c r="H624" s="467">
        <v>134211.70000000001</v>
      </c>
      <c r="I624" s="204"/>
    </row>
    <row r="625" spans="1:9" ht="63" x14ac:dyDescent="0.25">
      <c r="A625" s="31" t="s">
        <v>289</v>
      </c>
      <c r="B625" s="16">
        <v>906</v>
      </c>
      <c r="C625" s="20" t="s">
        <v>264</v>
      </c>
      <c r="D625" s="20" t="s">
        <v>213</v>
      </c>
      <c r="E625" s="20" t="s">
        <v>1238</v>
      </c>
      <c r="F625" s="20"/>
      <c r="G625" s="467">
        <f>G626</f>
        <v>1311</v>
      </c>
      <c r="H625" s="467">
        <f>H626</f>
        <v>1311</v>
      </c>
      <c r="I625" s="204"/>
    </row>
    <row r="626" spans="1:9" ht="31.5" x14ac:dyDescent="0.25">
      <c r="A626" s="466" t="s">
        <v>272</v>
      </c>
      <c r="B626" s="16">
        <v>906</v>
      </c>
      <c r="C626" s="20" t="s">
        <v>264</v>
      </c>
      <c r="D626" s="20" t="s">
        <v>213</v>
      </c>
      <c r="E626" s="20" t="s">
        <v>1238</v>
      </c>
      <c r="F626" s="20" t="s">
        <v>273</v>
      </c>
      <c r="G626" s="467">
        <f>G627</f>
        <v>1311</v>
      </c>
      <c r="H626" s="467">
        <f>H627</f>
        <v>1311</v>
      </c>
      <c r="I626" s="204"/>
    </row>
    <row r="627" spans="1:9" ht="15.75" x14ac:dyDescent="0.25">
      <c r="A627" s="466" t="s">
        <v>274</v>
      </c>
      <c r="B627" s="16">
        <v>906</v>
      </c>
      <c r="C627" s="20" t="s">
        <v>264</v>
      </c>
      <c r="D627" s="20" t="s">
        <v>213</v>
      </c>
      <c r="E627" s="20" t="s">
        <v>1238</v>
      </c>
      <c r="F627" s="20" t="s">
        <v>275</v>
      </c>
      <c r="G627" s="467">
        <v>1311</v>
      </c>
      <c r="H627" s="467">
        <f t="shared" si="52"/>
        <v>1311</v>
      </c>
      <c r="I627" s="204"/>
    </row>
    <row r="628" spans="1:9" ht="63" x14ac:dyDescent="0.25">
      <c r="A628" s="31" t="s">
        <v>291</v>
      </c>
      <c r="B628" s="16">
        <v>906</v>
      </c>
      <c r="C628" s="20" t="s">
        <v>264</v>
      </c>
      <c r="D628" s="20" t="s">
        <v>213</v>
      </c>
      <c r="E628" s="20" t="s">
        <v>1239</v>
      </c>
      <c r="F628" s="20"/>
      <c r="G628" s="467">
        <f>G629</f>
        <v>2266.6999999999998</v>
      </c>
      <c r="H628" s="467">
        <f>H629</f>
        <v>2266.6999999999998</v>
      </c>
      <c r="I628" s="204"/>
    </row>
    <row r="629" spans="1:9" ht="31.5" x14ac:dyDescent="0.25">
      <c r="A629" s="466" t="s">
        <v>272</v>
      </c>
      <c r="B629" s="16">
        <v>906</v>
      </c>
      <c r="C629" s="20" t="s">
        <v>264</v>
      </c>
      <c r="D629" s="20" t="s">
        <v>213</v>
      </c>
      <c r="E629" s="20" t="s">
        <v>1239</v>
      </c>
      <c r="F629" s="20" t="s">
        <v>273</v>
      </c>
      <c r="G629" s="467">
        <f>G630</f>
        <v>2266.6999999999998</v>
      </c>
      <c r="H629" s="467">
        <f>H630</f>
        <v>2266.6999999999998</v>
      </c>
      <c r="I629" s="204"/>
    </row>
    <row r="630" spans="1:9" ht="15.75" x14ac:dyDescent="0.25">
      <c r="A630" s="466" t="s">
        <v>274</v>
      </c>
      <c r="B630" s="16">
        <v>906</v>
      </c>
      <c r="C630" s="20" t="s">
        <v>264</v>
      </c>
      <c r="D630" s="20" t="s">
        <v>213</v>
      </c>
      <c r="E630" s="20" t="s">
        <v>1239</v>
      </c>
      <c r="F630" s="20" t="s">
        <v>275</v>
      </c>
      <c r="G630" s="467">
        <f>2266.7</f>
        <v>2266.6999999999998</v>
      </c>
      <c r="H630" s="467">
        <f t="shared" si="52"/>
        <v>2266.6999999999998</v>
      </c>
      <c r="I630" s="204"/>
    </row>
    <row r="631" spans="1:9" ht="47.25" x14ac:dyDescent="0.25">
      <c r="A631" s="31" t="s">
        <v>462</v>
      </c>
      <c r="B631" s="16">
        <v>906</v>
      </c>
      <c r="C631" s="20" t="s">
        <v>264</v>
      </c>
      <c r="D631" s="20" t="s">
        <v>213</v>
      </c>
      <c r="E631" s="20" t="s">
        <v>1256</v>
      </c>
      <c r="F631" s="20"/>
      <c r="G631" s="467">
        <f>G632</f>
        <v>909.3</v>
      </c>
      <c r="H631" s="467">
        <f>H632</f>
        <v>909.3</v>
      </c>
      <c r="I631" s="204"/>
    </row>
    <row r="632" spans="1:9" ht="31.5" x14ac:dyDescent="0.25">
      <c r="A632" s="466" t="s">
        <v>272</v>
      </c>
      <c r="B632" s="16">
        <v>906</v>
      </c>
      <c r="C632" s="20" t="s">
        <v>264</v>
      </c>
      <c r="D632" s="20" t="s">
        <v>213</v>
      </c>
      <c r="E632" s="20" t="s">
        <v>1256</v>
      </c>
      <c r="F632" s="20" t="s">
        <v>273</v>
      </c>
      <c r="G632" s="467">
        <f>G633</f>
        <v>909.3</v>
      </c>
      <c r="H632" s="467">
        <f>H633</f>
        <v>909.3</v>
      </c>
      <c r="I632" s="204"/>
    </row>
    <row r="633" spans="1:9" ht="15.75" x14ac:dyDescent="0.25">
      <c r="A633" s="466" t="s">
        <v>274</v>
      </c>
      <c r="B633" s="16">
        <v>906</v>
      </c>
      <c r="C633" s="20" t="s">
        <v>264</v>
      </c>
      <c r="D633" s="20" t="s">
        <v>213</v>
      </c>
      <c r="E633" s="20" t="s">
        <v>1256</v>
      </c>
      <c r="F633" s="20" t="s">
        <v>275</v>
      </c>
      <c r="G633" s="467">
        <v>909.3</v>
      </c>
      <c r="H633" s="467">
        <v>909.3</v>
      </c>
      <c r="I633" s="204"/>
    </row>
    <row r="634" spans="1:9" ht="31.5" x14ac:dyDescent="0.25">
      <c r="A634" s="464" t="s">
        <v>1257</v>
      </c>
      <c r="B634" s="251">
        <v>906</v>
      </c>
      <c r="C634" s="24" t="s">
        <v>264</v>
      </c>
      <c r="D634" s="24" t="s">
        <v>213</v>
      </c>
      <c r="E634" s="24" t="s">
        <v>1242</v>
      </c>
      <c r="F634" s="24"/>
      <c r="G634" s="463">
        <f>G635+G638+G641+G644</f>
        <v>224</v>
      </c>
      <c r="H634" s="463">
        <f>H635+H638+H641+H644</f>
        <v>224</v>
      </c>
      <c r="I634" s="204"/>
    </row>
    <row r="635" spans="1:9" ht="31.5" hidden="1" x14ac:dyDescent="0.25">
      <c r="A635" s="466" t="s">
        <v>440</v>
      </c>
      <c r="B635" s="37">
        <v>906</v>
      </c>
      <c r="C635" s="20" t="s">
        <v>264</v>
      </c>
      <c r="D635" s="20" t="s">
        <v>213</v>
      </c>
      <c r="E635" s="20" t="s">
        <v>1324</v>
      </c>
      <c r="F635" s="20"/>
      <c r="G635" s="467">
        <f>'Пр.4 ведом.21'!G724</f>
        <v>0</v>
      </c>
      <c r="H635" s="467">
        <f t="shared" ref="H635:H706" si="57">G635</f>
        <v>0</v>
      </c>
      <c r="I635" s="204"/>
    </row>
    <row r="636" spans="1:9" ht="31.5" hidden="1" x14ac:dyDescent="0.25">
      <c r="A636" s="466" t="s">
        <v>272</v>
      </c>
      <c r="B636" s="37">
        <v>906</v>
      </c>
      <c r="C636" s="20" t="s">
        <v>264</v>
      </c>
      <c r="D636" s="20" t="s">
        <v>213</v>
      </c>
      <c r="E636" s="20" t="s">
        <v>1324</v>
      </c>
      <c r="F636" s="20" t="s">
        <v>273</v>
      </c>
      <c r="G636" s="467">
        <f>'Пр.4 ведом.21'!G725</f>
        <v>0</v>
      </c>
      <c r="H636" s="467">
        <f t="shared" si="57"/>
        <v>0</v>
      </c>
      <c r="I636" s="204"/>
    </row>
    <row r="637" spans="1:9" ht="15.75" hidden="1" x14ac:dyDescent="0.25">
      <c r="A637" s="466" t="s">
        <v>274</v>
      </c>
      <c r="B637" s="37">
        <v>906</v>
      </c>
      <c r="C637" s="20" t="s">
        <v>264</v>
      </c>
      <c r="D637" s="20" t="s">
        <v>213</v>
      </c>
      <c r="E637" s="20" t="s">
        <v>1324</v>
      </c>
      <c r="F637" s="20" t="s">
        <v>275</v>
      </c>
      <c r="G637" s="467">
        <f>'Пр.4 ведом.21'!G726</f>
        <v>0</v>
      </c>
      <c r="H637" s="467">
        <f t="shared" si="57"/>
        <v>0</v>
      </c>
      <c r="I637" s="204"/>
    </row>
    <row r="638" spans="1:9" ht="31.5" hidden="1" x14ac:dyDescent="0.25">
      <c r="A638" s="466" t="s">
        <v>278</v>
      </c>
      <c r="B638" s="37">
        <v>906</v>
      </c>
      <c r="C638" s="20" t="s">
        <v>264</v>
      </c>
      <c r="D638" s="20" t="s">
        <v>213</v>
      </c>
      <c r="E638" s="20" t="s">
        <v>1325</v>
      </c>
      <c r="F638" s="20"/>
      <c r="G638" s="467">
        <f>G639</f>
        <v>0</v>
      </c>
      <c r="H638" s="467">
        <f t="shared" si="57"/>
        <v>0</v>
      </c>
      <c r="I638" s="204"/>
    </row>
    <row r="639" spans="1:9" ht="31.5" hidden="1" x14ac:dyDescent="0.25">
      <c r="A639" s="466" t="s">
        <v>272</v>
      </c>
      <c r="B639" s="37">
        <v>906</v>
      </c>
      <c r="C639" s="20" t="s">
        <v>264</v>
      </c>
      <c r="D639" s="20" t="s">
        <v>213</v>
      </c>
      <c r="E639" s="20" t="s">
        <v>1325</v>
      </c>
      <c r="F639" s="20" t="s">
        <v>273</v>
      </c>
      <c r="G639" s="467">
        <f>G640</f>
        <v>0</v>
      </c>
      <c r="H639" s="467">
        <f t="shared" si="57"/>
        <v>0</v>
      </c>
      <c r="I639" s="204"/>
    </row>
    <row r="640" spans="1:9" ht="15.75" hidden="1" x14ac:dyDescent="0.25">
      <c r="A640" s="466" t="s">
        <v>274</v>
      </c>
      <c r="B640" s="37">
        <v>906</v>
      </c>
      <c r="C640" s="20" t="s">
        <v>264</v>
      </c>
      <c r="D640" s="20" t="s">
        <v>213</v>
      </c>
      <c r="E640" s="20" t="s">
        <v>1325</v>
      </c>
      <c r="F640" s="20" t="s">
        <v>275</v>
      </c>
      <c r="G640" s="467">
        <v>0</v>
      </c>
      <c r="H640" s="467">
        <v>0</v>
      </c>
      <c r="I640" s="204"/>
    </row>
    <row r="641" spans="1:9" ht="31.5" hidden="1" x14ac:dyDescent="0.25">
      <c r="A641" s="466" t="s">
        <v>280</v>
      </c>
      <c r="B641" s="37">
        <v>906</v>
      </c>
      <c r="C641" s="20" t="s">
        <v>264</v>
      </c>
      <c r="D641" s="20" t="s">
        <v>213</v>
      </c>
      <c r="E641" s="20" t="s">
        <v>1326</v>
      </c>
      <c r="F641" s="20"/>
      <c r="G641" s="467">
        <f>G642</f>
        <v>0</v>
      </c>
      <c r="H641" s="467">
        <f t="shared" si="57"/>
        <v>0</v>
      </c>
      <c r="I641" s="204"/>
    </row>
    <row r="642" spans="1:9" ht="31.5" hidden="1" x14ac:dyDescent="0.25">
      <c r="A642" s="466" t="s">
        <v>272</v>
      </c>
      <c r="B642" s="37">
        <v>906</v>
      </c>
      <c r="C642" s="20" t="s">
        <v>264</v>
      </c>
      <c r="D642" s="20" t="s">
        <v>213</v>
      </c>
      <c r="E642" s="20" t="s">
        <v>1326</v>
      </c>
      <c r="F642" s="20" t="s">
        <v>273</v>
      </c>
      <c r="G642" s="467">
        <f>G643</f>
        <v>0</v>
      </c>
      <c r="H642" s="467">
        <f t="shared" si="57"/>
        <v>0</v>
      </c>
      <c r="I642" s="204"/>
    </row>
    <row r="643" spans="1:9" ht="15.75" hidden="1" x14ac:dyDescent="0.25">
      <c r="A643" s="466" t="s">
        <v>274</v>
      </c>
      <c r="B643" s="37">
        <v>906</v>
      </c>
      <c r="C643" s="20" t="s">
        <v>264</v>
      </c>
      <c r="D643" s="20" t="s">
        <v>213</v>
      </c>
      <c r="E643" s="20" t="s">
        <v>1326</v>
      </c>
      <c r="F643" s="20" t="s">
        <v>275</v>
      </c>
      <c r="G643" s="467">
        <v>0</v>
      </c>
      <c r="H643" s="467">
        <f t="shared" si="57"/>
        <v>0</v>
      </c>
      <c r="I643" s="204"/>
    </row>
    <row r="644" spans="1:9" ht="31.5" x14ac:dyDescent="0.25">
      <c r="A644" s="466" t="s">
        <v>282</v>
      </c>
      <c r="B644" s="37">
        <v>906</v>
      </c>
      <c r="C644" s="20" t="s">
        <v>264</v>
      </c>
      <c r="D644" s="20" t="s">
        <v>213</v>
      </c>
      <c r="E644" s="20" t="s">
        <v>1258</v>
      </c>
      <c r="F644" s="20"/>
      <c r="G644" s="467">
        <f>G645</f>
        <v>224</v>
      </c>
      <c r="H644" s="467">
        <f>H645</f>
        <v>224</v>
      </c>
      <c r="I644" s="204"/>
    </row>
    <row r="645" spans="1:9" ht="31.5" x14ac:dyDescent="0.25">
      <c r="A645" s="466" t="s">
        <v>272</v>
      </c>
      <c r="B645" s="37">
        <v>906</v>
      </c>
      <c r="C645" s="20" t="s">
        <v>264</v>
      </c>
      <c r="D645" s="20" t="s">
        <v>213</v>
      </c>
      <c r="E645" s="20" t="s">
        <v>1258</v>
      </c>
      <c r="F645" s="20" t="s">
        <v>273</v>
      </c>
      <c r="G645" s="467">
        <f>G646</f>
        <v>224</v>
      </c>
      <c r="H645" s="467">
        <f>H646</f>
        <v>224</v>
      </c>
      <c r="I645" s="204"/>
    </row>
    <row r="646" spans="1:9" ht="15.75" x14ac:dyDescent="0.25">
      <c r="A646" s="466" t="s">
        <v>274</v>
      </c>
      <c r="B646" s="37">
        <v>906</v>
      </c>
      <c r="C646" s="20" t="s">
        <v>264</v>
      </c>
      <c r="D646" s="20" t="s">
        <v>213</v>
      </c>
      <c r="E646" s="20" t="s">
        <v>1258</v>
      </c>
      <c r="F646" s="20" t="s">
        <v>275</v>
      </c>
      <c r="G646" s="467">
        <f>224</f>
        <v>224</v>
      </c>
      <c r="H646" s="467">
        <f t="shared" si="57"/>
        <v>224</v>
      </c>
      <c r="I646" s="204"/>
    </row>
    <row r="647" spans="1:9" s="203" customFormat="1" ht="31.5" x14ac:dyDescent="0.25">
      <c r="A647" s="218" t="s">
        <v>948</v>
      </c>
      <c r="B647" s="19">
        <v>906</v>
      </c>
      <c r="C647" s="24" t="s">
        <v>264</v>
      </c>
      <c r="D647" s="24" t="s">
        <v>213</v>
      </c>
      <c r="E647" s="24" t="s">
        <v>1245</v>
      </c>
      <c r="F647" s="24"/>
      <c r="G647" s="44">
        <f>G648+G651</f>
        <v>2888</v>
      </c>
      <c r="H647" s="44">
        <f>H648+H651</f>
        <v>2888</v>
      </c>
      <c r="I647" s="204"/>
    </row>
    <row r="648" spans="1:9" s="203" customFormat="1" ht="31.5" hidden="1" x14ac:dyDescent="0.25">
      <c r="A648" s="466" t="s">
        <v>791</v>
      </c>
      <c r="B648" s="16">
        <v>906</v>
      </c>
      <c r="C648" s="20" t="s">
        <v>264</v>
      </c>
      <c r="D648" s="20" t="s">
        <v>213</v>
      </c>
      <c r="E648" s="20" t="s">
        <v>1263</v>
      </c>
      <c r="F648" s="20"/>
      <c r="G648" s="467">
        <f>G649</f>
        <v>0</v>
      </c>
      <c r="H648" s="467">
        <f>G648</f>
        <v>0</v>
      </c>
      <c r="I648" s="204"/>
    </row>
    <row r="649" spans="1:9" s="203" customFormat="1" ht="31.5" hidden="1" x14ac:dyDescent="0.25">
      <c r="A649" s="466" t="s">
        <v>272</v>
      </c>
      <c r="B649" s="16">
        <v>906</v>
      </c>
      <c r="C649" s="20" t="s">
        <v>264</v>
      </c>
      <c r="D649" s="20" t="s">
        <v>213</v>
      </c>
      <c r="E649" s="20" t="s">
        <v>1263</v>
      </c>
      <c r="F649" s="20" t="s">
        <v>273</v>
      </c>
      <c r="G649" s="467">
        <f>G650</f>
        <v>0</v>
      </c>
      <c r="H649" s="467">
        <f>G649</f>
        <v>0</v>
      </c>
      <c r="I649" s="204"/>
    </row>
    <row r="650" spans="1:9" s="203" customFormat="1" ht="15.75" hidden="1" x14ac:dyDescent="0.25">
      <c r="A650" s="466" t="s">
        <v>274</v>
      </c>
      <c r="B650" s="16">
        <v>906</v>
      </c>
      <c r="C650" s="20" t="s">
        <v>264</v>
      </c>
      <c r="D650" s="20" t="s">
        <v>213</v>
      </c>
      <c r="E650" s="20" t="s">
        <v>1263</v>
      </c>
      <c r="F650" s="20" t="s">
        <v>275</v>
      </c>
      <c r="G650" s="467">
        <v>0</v>
      </c>
      <c r="H650" s="467">
        <f>G650</f>
        <v>0</v>
      </c>
      <c r="I650" s="204"/>
    </row>
    <row r="651" spans="1:9" s="203" customFormat="1" ht="31.5" x14ac:dyDescent="0.25">
      <c r="A651" s="60" t="s">
        <v>764</v>
      </c>
      <c r="B651" s="16">
        <v>906</v>
      </c>
      <c r="C651" s="20" t="s">
        <v>264</v>
      </c>
      <c r="D651" s="20" t="s">
        <v>213</v>
      </c>
      <c r="E651" s="20" t="s">
        <v>1246</v>
      </c>
      <c r="F651" s="20"/>
      <c r="G651" s="467">
        <f>G652</f>
        <v>2888</v>
      </c>
      <c r="H651" s="467">
        <f>H652</f>
        <v>2888</v>
      </c>
      <c r="I651" s="204"/>
    </row>
    <row r="652" spans="1:9" s="203" customFormat="1" ht="31.5" x14ac:dyDescent="0.25">
      <c r="A652" s="29" t="s">
        <v>272</v>
      </c>
      <c r="B652" s="16">
        <v>906</v>
      </c>
      <c r="C652" s="20" t="s">
        <v>264</v>
      </c>
      <c r="D652" s="20" t="s">
        <v>213</v>
      </c>
      <c r="E652" s="20" t="s">
        <v>1246</v>
      </c>
      <c r="F652" s="20" t="s">
        <v>273</v>
      </c>
      <c r="G652" s="467">
        <f>G653</f>
        <v>2888</v>
      </c>
      <c r="H652" s="467">
        <f>H653</f>
        <v>2888</v>
      </c>
      <c r="I652" s="204"/>
    </row>
    <row r="653" spans="1:9" s="203" customFormat="1" ht="15.75" x14ac:dyDescent="0.25">
      <c r="A653" s="182" t="s">
        <v>274</v>
      </c>
      <c r="B653" s="16">
        <v>906</v>
      </c>
      <c r="C653" s="20" t="s">
        <v>264</v>
      </c>
      <c r="D653" s="20" t="s">
        <v>213</v>
      </c>
      <c r="E653" s="20" t="s">
        <v>1246</v>
      </c>
      <c r="F653" s="20" t="s">
        <v>275</v>
      </c>
      <c r="G653" s="467">
        <v>2888</v>
      </c>
      <c r="H653" s="467">
        <f>G653</f>
        <v>2888</v>
      </c>
      <c r="I653" s="204"/>
    </row>
    <row r="654" spans="1:9" ht="31.5" x14ac:dyDescent="0.25">
      <c r="A654" s="464" t="s">
        <v>938</v>
      </c>
      <c r="B654" s="251">
        <v>906</v>
      </c>
      <c r="C654" s="24" t="s">
        <v>264</v>
      </c>
      <c r="D654" s="24" t="s">
        <v>213</v>
      </c>
      <c r="E654" s="24" t="s">
        <v>1259</v>
      </c>
      <c r="F654" s="24"/>
      <c r="G654" s="463">
        <f t="shared" ref="G654:H656" si="58">G655</f>
        <v>3931.8</v>
      </c>
      <c r="H654" s="463">
        <f t="shared" si="58"/>
        <v>3865.2</v>
      </c>
      <c r="I654" s="204"/>
    </row>
    <row r="655" spans="1:9" ht="49.7" customHeight="1" x14ac:dyDescent="0.25">
      <c r="A655" s="29" t="s">
        <v>602</v>
      </c>
      <c r="B655" s="37">
        <v>906</v>
      </c>
      <c r="C655" s="20" t="s">
        <v>264</v>
      </c>
      <c r="D655" s="20" t="s">
        <v>213</v>
      </c>
      <c r="E655" s="20" t="s">
        <v>1260</v>
      </c>
      <c r="F655" s="20"/>
      <c r="G655" s="467">
        <f t="shared" si="58"/>
        <v>3931.8</v>
      </c>
      <c r="H655" s="467">
        <f t="shared" si="58"/>
        <v>3865.2</v>
      </c>
      <c r="I655" s="204"/>
    </row>
    <row r="656" spans="1:9" ht="31.5" x14ac:dyDescent="0.25">
      <c r="A656" s="466" t="s">
        <v>272</v>
      </c>
      <c r="B656" s="37">
        <v>906</v>
      </c>
      <c r="C656" s="20" t="s">
        <v>264</v>
      </c>
      <c r="D656" s="20" t="s">
        <v>213</v>
      </c>
      <c r="E656" s="20" t="s">
        <v>1260</v>
      </c>
      <c r="F656" s="20" t="s">
        <v>273</v>
      </c>
      <c r="G656" s="467">
        <f t="shared" si="58"/>
        <v>3931.8</v>
      </c>
      <c r="H656" s="467">
        <f t="shared" si="58"/>
        <v>3865.2</v>
      </c>
      <c r="I656" s="204"/>
    </row>
    <row r="657" spans="1:15" ht="15.75" x14ac:dyDescent="0.25">
      <c r="A657" s="466" t="s">
        <v>274</v>
      </c>
      <c r="B657" s="37">
        <v>906</v>
      </c>
      <c r="C657" s="20" t="s">
        <v>264</v>
      </c>
      <c r="D657" s="20" t="s">
        <v>213</v>
      </c>
      <c r="E657" s="20" t="s">
        <v>1260</v>
      </c>
      <c r="F657" s="20" t="s">
        <v>275</v>
      </c>
      <c r="G657" s="467">
        <v>3931.8</v>
      </c>
      <c r="H657" s="467">
        <v>3865.2</v>
      </c>
      <c r="I657" s="204"/>
    </row>
    <row r="658" spans="1:15" ht="31.5" x14ac:dyDescent="0.25">
      <c r="A658" s="464" t="s">
        <v>939</v>
      </c>
      <c r="B658" s="251">
        <v>906</v>
      </c>
      <c r="C658" s="24" t="s">
        <v>264</v>
      </c>
      <c r="D658" s="24" t="s">
        <v>213</v>
      </c>
      <c r="E658" s="24" t="s">
        <v>1261</v>
      </c>
      <c r="F658" s="24"/>
      <c r="G658" s="44">
        <f t="shared" ref="G658:H660" si="59">G659</f>
        <v>1384.6</v>
      </c>
      <c r="H658" s="44">
        <f t="shared" si="59"/>
        <v>1384.6</v>
      </c>
      <c r="I658" s="204"/>
    </row>
    <row r="659" spans="1:15" ht="47.25" x14ac:dyDescent="0.25">
      <c r="A659" s="466" t="s">
        <v>438</v>
      </c>
      <c r="B659" s="37">
        <v>906</v>
      </c>
      <c r="C659" s="20" t="s">
        <v>264</v>
      </c>
      <c r="D659" s="20" t="s">
        <v>213</v>
      </c>
      <c r="E659" s="20" t="s">
        <v>1262</v>
      </c>
      <c r="F659" s="20"/>
      <c r="G659" s="467">
        <f t="shared" si="59"/>
        <v>1384.6</v>
      </c>
      <c r="H659" s="467">
        <f t="shared" si="59"/>
        <v>1384.6</v>
      </c>
      <c r="I659" s="204"/>
    </row>
    <row r="660" spans="1:15" ht="31.5" x14ac:dyDescent="0.25">
      <c r="A660" s="466" t="s">
        <v>272</v>
      </c>
      <c r="B660" s="37">
        <v>906</v>
      </c>
      <c r="C660" s="20" t="s">
        <v>264</v>
      </c>
      <c r="D660" s="20" t="s">
        <v>213</v>
      </c>
      <c r="E660" s="20" t="s">
        <v>1262</v>
      </c>
      <c r="F660" s="20" t="s">
        <v>273</v>
      </c>
      <c r="G660" s="467">
        <f t="shared" si="59"/>
        <v>1384.6</v>
      </c>
      <c r="H660" s="467">
        <f t="shared" si="59"/>
        <v>1384.6</v>
      </c>
      <c r="I660" s="204"/>
    </row>
    <row r="661" spans="1:15" ht="15.75" x14ac:dyDescent="0.25">
      <c r="A661" s="466" t="s">
        <v>274</v>
      </c>
      <c r="B661" s="37">
        <v>906</v>
      </c>
      <c r="C661" s="20" t="s">
        <v>264</v>
      </c>
      <c r="D661" s="20" t="s">
        <v>213</v>
      </c>
      <c r="E661" s="20" t="s">
        <v>1262</v>
      </c>
      <c r="F661" s="20" t="s">
        <v>275</v>
      </c>
      <c r="G661" s="467">
        <v>1384.6</v>
      </c>
      <c r="H661" s="467">
        <v>1384.6</v>
      </c>
      <c r="I661" s="204"/>
    </row>
    <row r="662" spans="1:15" ht="31.5" x14ac:dyDescent="0.25">
      <c r="A662" s="216" t="s">
        <v>940</v>
      </c>
      <c r="B662" s="19">
        <v>906</v>
      </c>
      <c r="C662" s="24" t="s">
        <v>264</v>
      </c>
      <c r="D662" s="24" t="s">
        <v>213</v>
      </c>
      <c r="E662" s="24" t="s">
        <v>1264</v>
      </c>
      <c r="F662" s="24"/>
      <c r="G662" s="463">
        <f>G663+G666</f>
        <v>755.8</v>
      </c>
      <c r="H662" s="463">
        <f>H663+H666</f>
        <v>759</v>
      </c>
      <c r="I662" s="204"/>
    </row>
    <row r="663" spans="1:15" ht="50.25" customHeight="1" x14ac:dyDescent="0.25">
      <c r="A663" s="182" t="s">
        <v>828</v>
      </c>
      <c r="B663" s="16">
        <v>906</v>
      </c>
      <c r="C663" s="20" t="s">
        <v>264</v>
      </c>
      <c r="D663" s="20" t="s">
        <v>213</v>
      </c>
      <c r="E663" s="20" t="s">
        <v>1437</v>
      </c>
      <c r="F663" s="20"/>
      <c r="G663" s="467">
        <f>G664</f>
        <v>755.8</v>
      </c>
      <c r="H663" s="467">
        <f t="shared" ref="H663:H664" si="60">H664</f>
        <v>759</v>
      </c>
      <c r="I663" s="204"/>
    </row>
    <row r="664" spans="1:15" ht="31.5" x14ac:dyDescent="0.25">
      <c r="A664" s="31" t="s">
        <v>272</v>
      </c>
      <c r="B664" s="16">
        <v>906</v>
      </c>
      <c r="C664" s="20" t="s">
        <v>264</v>
      </c>
      <c r="D664" s="20" t="s">
        <v>213</v>
      </c>
      <c r="E664" s="20" t="s">
        <v>1437</v>
      </c>
      <c r="F664" s="20" t="s">
        <v>273</v>
      </c>
      <c r="G664" s="467">
        <f>G665</f>
        <v>755.8</v>
      </c>
      <c r="H664" s="467">
        <f t="shared" si="60"/>
        <v>759</v>
      </c>
      <c r="I664" s="204"/>
    </row>
    <row r="665" spans="1:15" ht="15.75" x14ac:dyDescent="0.25">
      <c r="A665" s="31" t="s">
        <v>274</v>
      </c>
      <c r="B665" s="16">
        <v>906</v>
      </c>
      <c r="C665" s="20" t="s">
        <v>264</v>
      </c>
      <c r="D665" s="20" t="s">
        <v>213</v>
      </c>
      <c r="E665" s="20" t="s">
        <v>1437</v>
      </c>
      <c r="F665" s="20" t="s">
        <v>275</v>
      </c>
      <c r="G665" s="467">
        <v>755.8</v>
      </c>
      <c r="H665" s="467">
        <v>759</v>
      </c>
      <c r="I665" s="204"/>
    </row>
    <row r="666" spans="1:15" s="203" customFormat="1" ht="31.5" hidden="1" x14ac:dyDescent="0.25">
      <c r="A666" s="345" t="s">
        <v>1436</v>
      </c>
      <c r="B666" s="16">
        <v>906</v>
      </c>
      <c r="C666" s="20" t="s">
        <v>264</v>
      </c>
      <c r="D666" s="20" t="s">
        <v>213</v>
      </c>
      <c r="E666" s="20" t="s">
        <v>1438</v>
      </c>
      <c r="F666" s="20"/>
      <c r="G666" s="467">
        <f>G667</f>
        <v>0</v>
      </c>
      <c r="H666" s="467">
        <f>H667</f>
        <v>0</v>
      </c>
      <c r="I666" s="204"/>
    </row>
    <row r="667" spans="1:15" s="203" customFormat="1" ht="31.5" hidden="1" x14ac:dyDescent="0.25">
      <c r="A667" s="31" t="s">
        <v>272</v>
      </c>
      <c r="B667" s="16">
        <v>906</v>
      </c>
      <c r="C667" s="20" t="s">
        <v>264</v>
      </c>
      <c r="D667" s="20" t="s">
        <v>213</v>
      </c>
      <c r="E667" s="20" t="s">
        <v>1438</v>
      </c>
      <c r="F667" s="20" t="s">
        <v>273</v>
      </c>
      <c r="G667" s="467">
        <f>G668</f>
        <v>0</v>
      </c>
      <c r="H667" s="467">
        <f>H668</f>
        <v>0</v>
      </c>
      <c r="I667" s="204"/>
    </row>
    <row r="668" spans="1:15" s="203" customFormat="1" ht="15.75" hidden="1" x14ac:dyDescent="0.25">
      <c r="A668" s="31" t="s">
        <v>274</v>
      </c>
      <c r="B668" s="16">
        <v>906</v>
      </c>
      <c r="C668" s="20" t="s">
        <v>264</v>
      </c>
      <c r="D668" s="20" t="s">
        <v>213</v>
      </c>
      <c r="E668" s="20" t="s">
        <v>1438</v>
      </c>
      <c r="F668" s="20" t="s">
        <v>275</v>
      </c>
      <c r="G668" s="467">
        <v>0</v>
      </c>
      <c r="H668" s="467">
        <v>0</v>
      </c>
      <c r="I668" s="204"/>
    </row>
    <row r="669" spans="1:15" s="203" customFormat="1" ht="31.5" x14ac:dyDescent="0.25">
      <c r="A669" s="298" t="s">
        <v>1416</v>
      </c>
      <c r="B669" s="19">
        <v>906</v>
      </c>
      <c r="C669" s="24" t="s">
        <v>264</v>
      </c>
      <c r="D669" s="24" t="s">
        <v>213</v>
      </c>
      <c r="E669" s="24" t="s">
        <v>1415</v>
      </c>
      <c r="F669" s="24"/>
      <c r="G669" s="463">
        <f t="shared" ref="G669:H671" si="61">G670</f>
        <v>5415.6500000000005</v>
      </c>
      <c r="H669" s="463">
        <f t="shared" si="61"/>
        <v>5142.4500000000007</v>
      </c>
      <c r="I669" s="204"/>
    </row>
    <row r="670" spans="1:15" s="203" customFormat="1" ht="63" x14ac:dyDescent="0.25">
      <c r="A670" s="297" t="s">
        <v>1402</v>
      </c>
      <c r="B670" s="16">
        <v>906</v>
      </c>
      <c r="C670" s="20" t="s">
        <v>264</v>
      </c>
      <c r="D670" s="20" t="s">
        <v>213</v>
      </c>
      <c r="E670" s="20" t="s">
        <v>1462</v>
      </c>
      <c r="F670" s="20"/>
      <c r="G670" s="467">
        <f t="shared" si="61"/>
        <v>5415.6500000000005</v>
      </c>
      <c r="H670" s="467">
        <f t="shared" si="61"/>
        <v>5142.4500000000007</v>
      </c>
      <c r="I670" s="204"/>
    </row>
    <row r="671" spans="1:15" s="203" customFormat="1" ht="37.35" customHeight="1" x14ac:dyDescent="0.25">
      <c r="A671" s="31" t="s">
        <v>272</v>
      </c>
      <c r="B671" s="16">
        <v>906</v>
      </c>
      <c r="C671" s="20" t="s">
        <v>264</v>
      </c>
      <c r="D671" s="20" t="s">
        <v>213</v>
      </c>
      <c r="E671" s="20" t="s">
        <v>1462</v>
      </c>
      <c r="F671" s="20" t="s">
        <v>273</v>
      </c>
      <c r="G671" s="467">
        <f t="shared" si="61"/>
        <v>5415.6500000000005</v>
      </c>
      <c r="H671" s="467">
        <f t="shared" si="61"/>
        <v>5142.4500000000007</v>
      </c>
      <c r="I671" s="204"/>
    </row>
    <row r="672" spans="1:15" s="203" customFormat="1" ht="15.75" x14ac:dyDescent="0.25">
      <c r="A672" s="31" t="s">
        <v>274</v>
      </c>
      <c r="B672" s="16">
        <v>906</v>
      </c>
      <c r="C672" s="20" t="s">
        <v>264</v>
      </c>
      <c r="D672" s="20" t="s">
        <v>213</v>
      </c>
      <c r="E672" s="20" t="s">
        <v>1462</v>
      </c>
      <c r="F672" s="20" t="s">
        <v>275</v>
      </c>
      <c r="G672" s="467">
        <f>5193.6+222.05</f>
        <v>5415.6500000000005</v>
      </c>
      <c r="H672" s="467">
        <f>4931.6+210.85</f>
        <v>5142.4500000000007</v>
      </c>
      <c r="I672" s="204"/>
      <c r="L672" s="204"/>
      <c r="M672" s="204"/>
      <c r="N672" s="204"/>
      <c r="O672" s="204"/>
    </row>
    <row r="673" spans="1:15" s="203" customFormat="1" ht="47.25" hidden="1" x14ac:dyDescent="0.25">
      <c r="A673" s="216" t="s">
        <v>1177</v>
      </c>
      <c r="B673" s="19">
        <v>906</v>
      </c>
      <c r="C673" s="24" t="s">
        <v>264</v>
      </c>
      <c r="D673" s="24" t="s">
        <v>213</v>
      </c>
      <c r="E673" s="24" t="s">
        <v>1327</v>
      </c>
      <c r="F673" s="24"/>
      <c r="G673" s="463">
        <f t="shared" ref="G673:H677" si="62">G674</f>
        <v>0</v>
      </c>
      <c r="H673" s="463">
        <f t="shared" si="62"/>
        <v>0</v>
      </c>
      <c r="I673" s="204"/>
    </row>
    <row r="674" spans="1:15" s="203" customFormat="1" ht="47.25" hidden="1" x14ac:dyDescent="0.25">
      <c r="A674" s="182" t="s">
        <v>1185</v>
      </c>
      <c r="B674" s="16">
        <v>906</v>
      </c>
      <c r="C674" s="20" t="s">
        <v>264</v>
      </c>
      <c r="D674" s="20" t="s">
        <v>213</v>
      </c>
      <c r="E674" s="20" t="s">
        <v>1328</v>
      </c>
      <c r="F674" s="20"/>
      <c r="G674" s="467">
        <f t="shared" si="62"/>
        <v>0</v>
      </c>
      <c r="H674" s="467">
        <f t="shared" si="62"/>
        <v>0</v>
      </c>
      <c r="I674" s="204"/>
    </row>
    <row r="675" spans="1:15" s="203" customFormat="1" ht="31.5" hidden="1" x14ac:dyDescent="0.25">
      <c r="A675" s="31" t="s">
        <v>272</v>
      </c>
      <c r="B675" s="16">
        <v>906</v>
      </c>
      <c r="C675" s="20" t="s">
        <v>264</v>
      </c>
      <c r="D675" s="20" t="s">
        <v>213</v>
      </c>
      <c r="E675" s="20" t="s">
        <v>1328</v>
      </c>
      <c r="F675" s="20" t="s">
        <v>273</v>
      </c>
      <c r="G675" s="467">
        <f t="shared" si="62"/>
        <v>0</v>
      </c>
      <c r="H675" s="467">
        <f t="shared" si="62"/>
        <v>0</v>
      </c>
      <c r="I675" s="204"/>
    </row>
    <row r="676" spans="1:15" s="203" customFormat="1" ht="15.75" hidden="1" x14ac:dyDescent="0.25">
      <c r="A676" s="31" t="s">
        <v>274</v>
      </c>
      <c r="B676" s="16">
        <v>906</v>
      </c>
      <c r="C676" s="20" t="s">
        <v>264</v>
      </c>
      <c r="D676" s="20" t="s">
        <v>213</v>
      </c>
      <c r="E676" s="20" t="s">
        <v>1328</v>
      </c>
      <c r="F676" s="20" t="s">
        <v>275</v>
      </c>
      <c r="G676" s="467">
        <v>0</v>
      </c>
      <c r="H676" s="467">
        <f>G676</f>
        <v>0</v>
      </c>
      <c r="I676" s="204"/>
    </row>
    <row r="677" spans="1:15" s="203" customFormat="1" ht="31.5" x14ac:dyDescent="0.25">
      <c r="A677" s="34" t="s">
        <v>1485</v>
      </c>
      <c r="B677" s="19">
        <v>906</v>
      </c>
      <c r="C677" s="24" t="s">
        <v>264</v>
      </c>
      <c r="D677" s="24" t="s">
        <v>213</v>
      </c>
      <c r="E677" s="24" t="s">
        <v>1483</v>
      </c>
      <c r="F677" s="24"/>
      <c r="G677" s="463">
        <f t="shared" si="62"/>
        <v>1749.4499999999998</v>
      </c>
      <c r="H677" s="463">
        <f t="shared" si="62"/>
        <v>2341</v>
      </c>
      <c r="I677" s="204"/>
    </row>
    <row r="678" spans="1:15" s="203" customFormat="1" ht="54" customHeight="1" x14ac:dyDescent="0.25">
      <c r="A678" s="31" t="s">
        <v>1538</v>
      </c>
      <c r="B678" s="16">
        <v>906</v>
      </c>
      <c r="C678" s="20" t="s">
        <v>264</v>
      </c>
      <c r="D678" s="20" t="s">
        <v>213</v>
      </c>
      <c r="E678" s="20" t="s">
        <v>1484</v>
      </c>
      <c r="F678" s="20"/>
      <c r="G678" s="467">
        <f>G679</f>
        <v>1749.4499999999998</v>
      </c>
      <c r="H678" s="467">
        <f>H679</f>
        <v>2341</v>
      </c>
      <c r="I678" s="204"/>
    </row>
    <row r="679" spans="1:15" s="203" customFormat="1" ht="31.5" x14ac:dyDescent="0.25">
      <c r="A679" s="31" t="s">
        <v>272</v>
      </c>
      <c r="B679" s="16">
        <v>906</v>
      </c>
      <c r="C679" s="20" t="s">
        <v>264</v>
      </c>
      <c r="D679" s="20" t="s">
        <v>213</v>
      </c>
      <c r="E679" s="20" t="s">
        <v>1484</v>
      </c>
      <c r="F679" s="20" t="s">
        <v>273</v>
      </c>
      <c r="G679" s="467">
        <f>G680</f>
        <v>1749.4499999999998</v>
      </c>
      <c r="H679" s="467">
        <f>H680</f>
        <v>2341</v>
      </c>
      <c r="I679" s="204"/>
    </row>
    <row r="680" spans="1:15" s="203" customFormat="1" ht="15.75" x14ac:dyDescent="0.25">
      <c r="A680" s="31" t="s">
        <v>274</v>
      </c>
      <c r="B680" s="16">
        <v>906</v>
      </c>
      <c r="C680" s="20" t="s">
        <v>264</v>
      </c>
      <c r="D680" s="20" t="s">
        <v>213</v>
      </c>
      <c r="E680" s="20" t="s">
        <v>1484</v>
      </c>
      <c r="F680" s="20" t="s">
        <v>275</v>
      </c>
      <c r="G680" s="467">
        <f>1644.1+33.6+71.75</f>
        <v>1749.4499999999998</v>
      </c>
      <c r="H680" s="467">
        <f>2200+45+96</f>
        <v>2341</v>
      </c>
      <c r="I680" s="204"/>
      <c r="L680" s="204"/>
      <c r="M680" s="204"/>
      <c r="N680" s="204"/>
      <c r="O680" s="204"/>
    </row>
    <row r="681" spans="1:15" ht="47.25" x14ac:dyDescent="0.25">
      <c r="A681" s="34" t="s">
        <v>1368</v>
      </c>
      <c r="B681" s="19">
        <v>906</v>
      </c>
      <c r="C681" s="24" t="s">
        <v>264</v>
      </c>
      <c r="D681" s="24" t="s">
        <v>213</v>
      </c>
      <c r="E681" s="24" t="s">
        <v>324</v>
      </c>
      <c r="F681" s="24"/>
      <c r="G681" s="463">
        <f t="shared" ref="G681:H684" si="63">G682</f>
        <v>60</v>
      </c>
      <c r="H681" s="463">
        <f t="shared" si="63"/>
        <v>70</v>
      </c>
      <c r="I681" s="204"/>
    </row>
    <row r="682" spans="1:15" ht="63" x14ac:dyDescent="0.25">
      <c r="A682" s="34" t="s">
        <v>1024</v>
      </c>
      <c r="B682" s="19">
        <v>906</v>
      </c>
      <c r="C682" s="24" t="s">
        <v>264</v>
      </c>
      <c r="D682" s="24" t="s">
        <v>213</v>
      </c>
      <c r="E682" s="24" t="s">
        <v>934</v>
      </c>
      <c r="F682" s="24"/>
      <c r="G682" s="463">
        <f t="shared" si="63"/>
        <v>60</v>
      </c>
      <c r="H682" s="463">
        <f t="shared" si="63"/>
        <v>70</v>
      </c>
      <c r="I682" s="204"/>
    </row>
    <row r="683" spans="1:15" ht="47.25" x14ac:dyDescent="0.25">
      <c r="A683" s="31" t="s">
        <v>1084</v>
      </c>
      <c r="B683" s="16">
        <v>906</v>
      </c>
      <c r="C683" s="20" t="s">
        <v>264</v>
      </c>
      <c r="D683" s="20" t="s">
        <v>213</v>
      </c>
      <c r="E683" s="20" t="s">
        <v>935</v>
      </c>
      <c r="F683" s="20"/>
      <c r="G683" s="467">
        <f t="shared" si="63"/>
        <v>60</v>
      </c>
      <c r="H683" s="467">
        <f t="shared" si="63"/>
        <v>70</v>
      </c>
      <c r="I683" s="204"/>
    </row>
    <row r="684" spans="1:15" ht="31.5" x14ac:dyDescent="0.25">
      <c r="A684" s="31" t="s">
        <v>272</v>
      </c>
      <c r="B684" s="16">
        <v>906</v>
      </c>
      <c r="C684" s="20" t="s">
        <v>264</v>
      </c>
      <c r="D684" s="20" t="s">
        <v>213</v>
      </c>
      <c r="E684" s="20" t="s">
        <v>935</v>
      </c>
      <c r="F684" s="20" t="s">
        <v>273</v>
      </c>
      <c r="G684" s="467">
        <f t="shared" si="63"/>
        <v>60</v>
      </c>
      <c r="H684" s="467">
        <f t="shared" si="63"/>
        <v>70</v>
      </c>
      <c r="I684" s="204"/>
    </row>
    <row r="685" spans="1:15" ht="15.75" x14ac:dyDescent="0.25">
      <c r="A685" s="31" t="s">
        <v>274</v>
      </c>
      <c r="B685" s="16">
        <v>906</v>
      </c>
      <c r="C685" s="20" t="s">
        <v>264</v>
      </c>
      <c r="D685" s="20" t="s">
        <v>213</v>
      </c>
      <c r="E685" s="20" t="s">
        <v>935</v>
      </c>
      <c r="F685" s="20" t="s">
        <v>275</v>
      </c>
      <c r="G685" s="467">
        <v>60</v>
      </c>
      <c r="H685" s="467">
        <v>70</v>
      </c>
      <c r="I685" s="204"/>
    </row>
    <row r="686" spans="1:15" ht="47.25" x14ac:dyDescent="0.25">
      <c r="A686" s="470" t="s">
        <v>1363</v>
      </c>
      <c r="B686" s="19">
        <v>906</v>
      </c>
      <c r="C686" s="24" t="s">
        <v>264</v>
      </c>
      <c r="D686" s="24" t="s">
        <v>213</v>
      </c>
      <c r="E686" s="24" t="s">
        <v>705</v>
      </c>
      <c r="F686" s="221"/>
      <c r="G686" s="463">
        <f t="shared" ref="G686:H689" si="64">G687</f>
        <v>870.5</v>
      </c>
      <c r="H686" s="463">
        <f t="shared" si="64"/>
        <v>905.3</v>
      </c>
      <c r="I686" s="204"/>
    </row>
    <row r="687" spans="1:15" ht="47.25" x14ac:dyDescent="0.25">
      <c r="A687" s="470" t="s">
        <v>890</v>
      </c>
      <c r="B687" s="19">
        <v>906</v>
      </c>
      <c r="C687" s="24" t="s">
        <v>264</v>
      </c>
      <c r="D687" s="24" t="s">
        <v>213</v>
      </c>
      <c r="E687" s="24" t="s">
        <v>888</v>
      </c>
      <c r="F687" s="221"/>
      <c r="G687" s="463">
        <f t="shared" si="64"/>
        <v>870.5</v>
      </c>
      <c r="H687" s="463">
        <f t="shared" si="64"/>
        <v>905.3</v>
      </c>
      <c r="I687" s="204"/>
    </row>
    <row r="688" spans="1:15" ht="47.25" x14ac:dyDescent="0.25">
      <c r="A688" s="98" t="s">
        <v>780</v>
      </c>
      <c r="B688" s="16">
        <v>906</v>
      </c>
      <c r="C688" s="20" t="s">
        <v>264</v>
      </c>
      <c r="D688" s="20" t="s">
        <v>213</v>
      </c>
      <c r="E688" s="20" t="s">
        <v>936</v>
      </c>
      <c r="F688" s="32"/>
      <c r="G688" s="467">
        <f t="shared" si="64"/>
        <v>870.5</v>
      </c>
      <c r="H688" s="467">
        <f t="shared" si="64"/>
        <v>905.3</v>
      </c>
      <c r="I688" s="204"/>
    </row>
    <row r="689" spans="1:9" ht="31.5" x14ac:dyDescent="0.25">
      <c r="A689" s="29" t="s">
        <v>272</v>
      </c>
      <c r="B689" s="16">
        <v>906</v>
      </c>
      <c r="C689" s="20" t="s">
        <v>264</v>
      </c>
      <c r="D689" s="20" t="s">
        <v>213</v>
      </c>
      <c r="E689" s="20" t="s">
        <v>936</v>
      </c>
      <c r="F689" s="32" t="s">
        <v>273</v>
      </c>
      <c r="G689" s="467">
        <f t="shared" si="64"/>
        <v>870.5</v>
      </c>
      <c r="H689" s="467">
        <f t="shared" si="64"/>
        <v>905.3</v>
      </c>
      <c r="I689" s="204"/>
    </row>
    <row r="690" spans="1:9" ht="15.75" x14ac:dyDescent="0.25">
      <c r="A690" s="182" t="s">
        <v>274</v>
      </c>
      <c r="B690" s="16">
        <v>906</v>
      </c>
      <c r="C690" s="20" t="s">
        <v>264</v>
      </c>
      <c r="D690" s="20" t="s">
        <v>213</v>
      </c>
      <c r="E690" s="20" t="s">
        <v>936</v>
      </c>
      <c r="F690" s="32" t="s">
        <v>275</v>
      </c>
      <c r="G690" s="467">
        <v>870.5</v>
      </c>
      <c r="H690" s="467">
        <v>905.3</v>
      </c>
      <c r="I690" s="204"/>
    </row>
    <row r="691" spans="1:9" ht="15.75" x14ac:dyDescent="0.25">
      <c r="A691" s="464" t="s">
        <v>265</v>
      </c>
      <c r="B691" s="19">
        <v>906</v>
      </c>
      <c r="C691" s="24" t="s">
        <v>264</v>
      </c>
      <c r="D691" s="24" t="s">
        <v>215</v>
      </c>
      <c r="E691" s="24"/>
      <c r="F691" s="24"/>
      <c r="G691" s="44">
        <f>G692+G715</f>
        <v>41051.5</v>
      </c>
      <c r="H691" s="44">
        <f>H692+H715</f>
        <v>41063.700000000004</v>
      </c>
      <c r="I691" s="204"/>
    </row>
    <row r="692" spans="1:9" ht="39.75" customHeight="1" x14ac:dyDescent="0.25">
      <c r="A692" s="464" t="s">
        <v>1369</v>
      </c>
      <c r="B692" s="19">
        <v>906</v>
      </c>
      <c r="C692" s="24" t="s">
        <v>264</v>
      </c>
      <c r="D692" s="24" t="s">
        <v>215</v>
      </c>
      <c r="E692" s="24" t="s">
        <v>406</v>
      </c>
      <c r="F692" s="24"/>
      <c r="G692" s="44">
        <f>G693+G697+G711</f>
        <v>40748.800000000003</v>
      </c>
      <c r="H692" s="44">
        <f>H693+H697+H711</f>
        <v>40748.800000000003</v>
      </c>
      <c r="I692" s="204"/>
    </row>
    <row r="693" spans="1:9" ht="31.5" x14ac:dyDescent="0.25">
      <c r="A693" s="464" t="s">
        <v>937</v>
      </c>
      <c r="B693" s="19">
        <v>906</v>
      </c>
      <c r="C693" s="24" t="s">
        <v>264</v>
      </c>
      <c r="D693" s="24" t="s">
        <v>215</v>
      </c>
      <c r="E693" s="24" t="s">
        <v>1235</v>
      </c>
      <c r="F693" s="24"/>
      <c r="G693" s="44">
        <f t="shared" ref="G693:H695" si="65">G694</f>
        <v>37056.300000000003</v>
      </c>
      <c r="H693" s="44">
        <f t="shared" si="65"/>
        <v>37056.300000000003</v>
      </c>
      <c r="I693" s="204"/>
    </row>
    <row r="694" spans="1:9" ht="47.25" x14ac:dyDescent="0.25">
      <c r="A694" s="466" t="s">
        <v>270</v>
      </c>
      <c r="B694" s="16">
        <v>906</v>
      </c>
      <c r="C694" s="20" t="s">
        <v>264</v>
      </c>
      <c r="D694" s="20" t="s">
        <v>215</v>
      </c>
      <c r="E694" s="20" t="s">
        <v>1265</v>
      </c>
      <c r="F694" s="20"/>
      <c r="G694" s="467">
        <f t="shared" si="65"/>
        <v>37056.300000000003</v>
      </c>
      <c r="H694" s="467">
        <f t="shared" si="65"/>
        <v>37056.300000000003</v>
      </c>
      <c r="I694" s="204"/>
    </row>
    <row r="695" spans="1:9" ht="31.5" x14ac:dyDescent="0.25">
      <c r="A695" s="466" t="s">
        <v>272</v>
      </c>
      <c r="B695" s="16">
        <v>906</v>
      </c>
      <c r="C695" s="20" t="s">
        <v>264</v>
      </c>
      <c r="D695" s="20" t="s">
        <v>215</v>
      </c>
      <c r="E695" s="20" t="s">
        <v>1265</v>
      </c>
      <c r="F695" s="20" t="s">
        <v>273</v>
      </c>
      <c r="G695" s="467">
        <f t="shared" si="65"/>
        <v>37056.300000000003</v>
      </c>
      <c r="H695" s="467">
        <f t="shared" si="65"/>
        <v>37056.300000000003</v>
      </c>
      <c r="I695" s="204"/>
    </row>
    <row r="696" spans="1:9" ht="15.75" x14ac:dyDescent="0.25">
      <c r="A696" s="466" t="s">
        <v>274</v>
      </c>
      <c r="B696" s="16">
        <v>906</v>
      </c>
      <c r="C696" s="20" t="s">
        <v>264</v>
      </c>
      <c r="D696" s="20" t="s">
        <v>215</v>
      </c>
      <c r="E696" s="20" t="s">
        <v>1265</v>
      </c>
      <c r="F696" s="20" t="s">
        <v>275</v>
      </c>
      <c r="G696" s="467">
        <v>37056.300000000003</v>
      </c>
      <c r="H696" s="467">
        <f t="shared" si="57"/>
        <v>37056.300000000003</v>
      </c>
      <c r="I696" s="204"/>
    </row>
    <row r="697" spans="1:9" ht="47.25" x14ac:dyDescent="0.25">
      <c r="A697" s="464" t="s">
        <v>900</v>
      </c>
      <c r="B697" s="19">
        <v>906</v>
      </c>
      <c r="C697" s="24" t="s">
        <v>264</v>
      </c>
      <c r="D697" s="24" t="s">
        <v>215</v>
      </c>
      <c r="E697" s="24" t="s">
        <v>1237</v>
      </c>
      <c r="F697" s="24"/>
      <c r="G697" s="44">
        <f>G701+G704+G698</f>
        <v>2128.5</v>
      </c>
      <c r="H697" s="44">
        <f>H701+H704+H698</f>
        <v>2128.5</v>
      </c>
      <c r="I697" s="204"/>
    </row>
    <row r="698" spans="1:9" s="203" customFormat="1" ht="94.5" x14ac:dyDescent="0.25">
      <c r="A698" s="31" t="s">
        <v>293</v>
      </c>
      <c r="B698" s="16">
        <v>906</v>
      </c>
      <c r="C698" s="20" t="s">
        <v>264</v>
      </c>
      <c r="D698" s="20" t="s">
        <v>215</v>
      </c>
      <c r="E698" s="20" t="s">
        <v>1401</v>
      </c>
      <c r="F698" s="20"/>
      <c r="G698" s="467">
        <f>G699</f>
        <v>1400</v>
      </c>
      <c r="H698" s="467">
        <f>H699</f>
        <v>1400</v>
      </c>
      <c r="I698" s="204"/>
    </row>
    <row r="699" spans="1:9" s="203" customFormat="1" ht="31.5" x14ac:dyDescent="0.25">
      <c r="A699" s="466" t="s">
        <v>272</v>
      </c>
      <c r="B699" s="16">
        <v>906</v>
      </c>
      <c r="C699" s="20" t="s">
        <v>264</v>
      </c>
      <c r="D699" s="20" t="s">
        <v>215</v>
      </c>
      <c r="E699" s="20" t="s">
        <v>1401</v>
      </c>
      <c r="F699" s="20" t="s">
        <v>273</v>
      </c>
      <c r="G699" s="467">
        <f>G700</f>
        <v>1400</v>
      </c>
      <c r="H699" s="467">
        <f>H700</f>
        <v>1400</v>
      </c>
      <c r="I699" s="204"/>
    </row>
    <row r="700" spans="1:9" s="203" customFormat="1" ht="15.75" x14ac:dyDescent="0.25">
      <c r="A700" s="466" t="s">
        <v>274</v>
      </c>
      <c r="B700" s="16">
        <v>906</v>
      </c>
      <c r="C700" s="20" t="s">
        <v>264</v>
      </c>
      <c r="D700" s="20" t="s">
        <v>215</v>
      </c>
      <c r="E700" s="20" t="s">
        <v>1401</v>
      </c>
      <c r="F700" s="20" t="s">
        <v>275</v>
      </c>
      <c r="G700" s="467">
        <v>1400</v>
      </c>
      <c r="H700" s="467">
        <f>G700</f>
        <v>1400</v>
      </c>
      <c r="I700" s="204"/>
    </row>
    <row r="701" spans="1:9" ht="63" x14ac:dyDescent="0.25">
      <c r="A701" s="31" t="s">
        <v>289</v>
      </c>
      <c r="B701" s="16">
        <v>906</v>
      </c>
      <c r="C701" s="20" t="s">
        <v>264</v>
      </c>
      <c r="D701" s="20" t="s">
        <v>215</v>
      </c>
      <c r="E701" s="20" t="s">
        <v>1238</v>
      </c>
      <c r="F701" s="20"/>
      <c r="G701" s="467">
        <f>G702</f>
        <v>179</v>
      </c>
      <c r="H701" s="467">
        <f>H702</f>
        <v>179</v>
      </c>
      <c r="I701" s="204"/>
    </row>
    <row r="702" spans="1:9" ht="31.5" x14ac:dyDescent="0.25">
      <c r="A702" s="466" t="s">
        <v>272</v>
      </c>
      <c r="B702" s="16">
        <v>906</v>
      </c>
      <c r="C702" s="20" t="s">
        <v>264</v>
      </c>
      <c r="D702" s="20" t="s">
        <v>215</v>
      </c>
      <c r="E702" s="20" t="s">
        <v>1238</v>
      </c>
      <c r="F702" s="20" t="s">
        <v>273</v>
      </c>
      <c r="G702" s="467">
        <f>G703</f>
        <v>179</v>
      </c>
      <c r="H702" s="467">
        <f>H703</f>
        <v>179</v>
      </c>
      <c r="I702" s="204"/>
    </row>
    <row r="703" spans="1:9" ht="15.75" x14ac:dyDescent="0.25">
      <c r="A703" s="466" t="s">
        <v>274</v>
      </c>
      <c r="B703" s="16">
        <v>906</v>
      </c>
      <c r="C703" s="20" t="s">
        <v>264</v>
      </c>
      <c r="D703" s="20" t="s">
        <v>215</v>
      </c>
      <c r="E703" s="20" t="s">
        <v>1238</v>
      </c>
      <c r="F703" s="20" t="s">
        <v>275</v>
      </c>
      <c r="G703" s="467">
        <v>179</v>
      </c>
      <c r="H703" s="467">
        <f t="shared" si="57"/>
        <v>179</v>
      </c>
      <c r="I703" s="204"/>
    </row>
    <row r="704" spans="1:9" ht="63" x14ac:dyDescent="0.25">
      <c r="A704" s="31" t="s">
        <v>291</v>
      </c>
      <c r="B704" s="16">
        <v>906</v>
      </c>
      <c r="C704" s="20" t="s">
        <v>264</v>
      </c>
      <c r="D704" s="20" t="s">
        <v>215</v>
      </c>
      <c r="E704" s="20" t="s">
        <v>1239</v>
      </c>
      <c r="F704" s="20"/>
      <c r="G704" s="467">
        <f>G705</f>
        <v>549.5</v>
      </c>
      <c r="H704" s="467">
        <f>H705</f>
        <v>549.5</v>
      </c>
      <c r="I704" s="204"/>
    </row>
    <row r="705" spans="1:9" ht="31.5" x14ac:dyDescent="0.25">
      <c r="A705" s="466" t="s">
        <v>272</v>
      </c>
      <c r="B705" s="16">
        <v>906</v>
      </c>
      <c r="C705" s="20" t="s">
        <v>264</v>
      </c>
      <c r="D705" s="20" t="s">
        <v>215</v>
      </c>
      <c r="E705" s="20" t="s">
        <v>1239</v>
      </c>
      <c r="F705" s="20" t="s">
        <v>273</v>
      </c>
      <c r="G705" s="467">
        <f>G706</f>
        <v>549.5</v>
      </c>
      <c r="H705" s="467">
        <f>H706</f>
        <v>549.5</v>
      </c>
      <c r="I705" s="204"/>
    </row>
    <row r="706" spans="1:9" ht="15.75" x14ac:dyDescent="0.25">
      <c r="A706" s="466" t="s">
        <v>274</v>
      </c>
      <c r="B706" s="16">
        <v>906</v>
      </c>
      <c r="C706" s="20" t="s">
        <v>264</v>
      </c>
      <c r="D706" s="20" t="s">
        <v>215</v>
      </c>
      <c r="E706" s="20" t="s">
        <v>1239</v>
      </c>
      <c r="F706" s="20" t="s">
        <v>275</v>
      </c>
      <c r="G706" s="467">
        <f>549.5</f>
        <v>549.5</v>
      </c>
      <c r="H706" s="467">
        <f t="shared" si="57"/>
        <v>549.5</v>
      </c>
      <c r="I706" s="204"/>
    </row>
    <row r="707" spans="1:9" ht="31.5" hidden="1" x14ac:dyDescent="0.25">
      <c r="A707" s="464" t="s">
        <v>941</v>
      </c>
      <c r="B707" s="19">
        <v>906</v>
      </c>
      <c r="C707" s="24" t="s">
        <v>264</v>
      </c>
      <c r="D707" s="24" t="s">
        <v>215</v>
      </c>
      <c r="E707" s="24" t="s">
        <v>1060</v>
      </c>
      <c r="F707" s="24"/>
      <c r="G707" s="44">
        <f>G708</f>
        <v>0</v>
      </c>
      <c r="H707" s="44">
        <f>H708</f>
        <v>0</v>
      </c>
      <c r="I707" s="204"/>
    </row>
    <row r="708" spans="1:9" ht="31.5" hidden="1" x14ac:dyDescent="0.25">
      <c r="A708" s="45" t="s">
        <v>766</v>
      </c>
      <c r="B708" s="16">
        <v>906</v>
      </c>
      <c r="C708" s="20" t="s">
        <v>264</v>
      </c>
      <c r="D708" s="20" t="s">
        <v>215</v>
      </c>
      <c r="E708" s="20" t="s">
        <v>1061</v>
      </c>
      <c r="F708" s="20"/>
      <c r="G708" s="467">
        <f>'Пр.4 ведом.21'!G812</f>
        <v>0</v>
      </c>
      <c r="H708" s="467">
        <f t="shared" ref="H708:H770" si="66">G708</f>
        <v>0</v>
      </c>
      <c r="I708" s="204"/>
    </row>
    <row r="709" spans="1:9" ht="31.5" hidden="1" x14ac:dyDescent="0.25">
      <c r="A709" s="31" t="s">
        <v>272</v>
      </c>
      <c r="B709" s="16">
        <v>906</v>
      </c>
      <c r="C709" s="20" t="s">
        <v>264</v>
      </c>
      <c r="D709" s="20" t="s">
        <v>215</v>
      </c>
      <c r="E709" s="20" t="s">
        <v>1061</v>
      </c>
      <c r="F709" s="20" t="s">
        <v>273</v>
      </c>
      <c r="G709" s="467">
        <f>'Пр.4 ведом.21'!G813</f>
        <v>0</v>
      </c>
      <c r="H709" s="467">
        <f t="shared" si="66"/>
        <v>0</v>
      </c>
      <c r="I709" s="204"/>
    </row>
    <row r="710" spans="1:9" ht="15.75" hidden="1" x14ac:dyDescent="0.25">
      <c r="A710" s="31" t="s">
        <v>274</v>
      </c>
      <c r="B710" s="16">
        <v>906</v>
      </c>
      <c r="C710" s="20" t="s">
        <v>264</v>
      </c>
      <c r="D710" s="20" t="s">
        <v>215</v>
      </c>
      <c r="E710" s="20" t="s">
        <v>1061</v>
      </c>
      <c r="F710" s="20" t="s">
        <v>275</v>
      </c>
      <c r="G710" s="467">
        <f>'Пр.4 ведом.21'!G814</f>
        <v>0</v>
      </c>
      <c r="H710" s="467">
        <f t="shared" si="66"/>
        <v>0</v>
      </c>
      <c r="I710" s="204"/>
    </row>
    <row r="711" spans="1:9" ht="31.5" x14ac:dyDescent="0.25">
      <c r="A711" s="218" t="s">
        <v>948</v>
      </c>
      <c r="B711" s="19">
        <v>906</v>
      </c>
      <c r="C711" s="24" t="s">
        <v>264</v>
      </c>
      <c r="D711" s="24" t="s">
        <v>215</v>
      </c>
      <c r="E711" s="24" t="s">
        <v>1245</v>
      </c>
      <c r="F711" s="24"/>
      <c r="G711" s="44">
        <f t="shared" ref="G711:H713" si="67">G712</f>
        <v>1564</v>
      </c>
      <c r="H711" s="44">
        <f t="shared" si="67"/>
        <v>1564</v>
      </c>
      <c r="I711" s="204"/>
    </row>
    <row r="712" spans="1:9" ht="31.5" x14ac:dyDescent="0.25">
      <c r="A712" s="45" t="s">
        <v>764</v>
      </c>
      <c r="B712" s="16">
        <v>906</v>
      </c>
      <c r="C712" s="20" t="s">
        <v>264</v>
      </c>
      <c r="D712" s="20" t="s">
        <v>215</v>
      </c>
      <c r="E712" s="20" t="s">
        <v>1246</v>
      </c>
      <c r="F712" s="20"/>
      <c r="G712" s="467">
        <f t="shared" si="67"/>
        <v>1564</v>
      </c>
      <c r="H712" s="467">
        <f t="shared" si="67"/>
        <v>1564</v>
      </c>
      <c r="I712" s="204"/>
    </row>
    <row r="713" spans="1:9" ht="31.5" x14ac:dyDescent="0.25">
      <c r="A713" s="466" t="s">
        <v>272</v>
      </c>
      <c r="B713" s="16">
        <v>906</v>
      </c>
      <c r="C713" s="20" t="s">
        <v>264</v>
      </c>
      <c r="D713" s="20" t="s">
        <v>215</v>
      </c>
      <c r="E713" s="20" t="s">
        <v>1246</v>
      </c>
      <c r="F713" s="20" t="s">
        <v>273</v>
      </c>
      <c r="G713" s="467">
        <f t="shared" si="67"/>
        <v>1564</v>
      </c>
      <c r="H713" s="467">
        <f t="shared" si="67"/>
        <v>1564</v>
      </c>
      <c r="I713" s="204"/>
    </row>
    <row r="714" spans="1:9" ht="15.75" x14ac:dyDescent="0.25">
      <c r="A714" s="31" t="s">
        <v>274</v>
      </c>
      <c r="B714" s="16">
        <v>906</v>
      </c>
      <c r="C714" s="20" t="s">
        <v>264</v>
      </c>
      <c r="D714" s="20" t="s">
        <v>215</v>
      </c>
      <c r="E714" s="20" t="s">
        <v>1246</v>
      </c>
      <c r="F714" s="20" t="s">
        <v>275</v>
      </c>
      <c r="G714" s="467">
        <v>1564</v>
      </c>
      <c r="H714" s="467">
        <v>1564</v>
      </c>
      <c r="I714" s="204"/>
    </row>
    <row r="715" spans="1:9" ht="47.25" x14ac:dyDescent="0.25">
      <c r="A715" s="470" t="s">
        <v>1361</v>
      </c>
      <c r="B715" s="19">
        <v>906</v>
      </c>
      <c r="C715" s="24" t="s">
        <v>264</v>
      </c>
      <c r="D715" s="24" t="s">
        <v>215</v>
      </c>
      <c r="E715" s="24" t="s">
        <v>705</v>
      </c>
      <c r="F715" s="221"/>
      <c r="G715" s="44">
        <f>G717</f>
        <v>302.7</v>
      </c>
      <c r="H715" s="44">
        <f>H717</f>
        <v>314.89999999999998</v>
      </c>
      <c r="I715" s="204"/>
    </row>
    <row r="716" spans="1:9" ht="47.25" x14ac:dyDescent="0.25">
      <c r="A716" s="470" t="s">
        <v>890</v>
      </c>
      <c r="B716" s="19">
        <v>906</v>
      </c>
      <c r="C716" s="24" t="s">
        <v>264</v>
      </c>
      <c r="D716" s="24" t="s">
        <v>942</v>
      </c>
      <c r="E716" s="24" t="s">
        <v>888</v>
      </c>
      <c r="F716" s="221"/>
      <c r="G716" s="44">
        <f t="shared" ref="G716:H718" si="68">G717</f>
        <v>302.7</v>
      </c>
      <c r="H716" s="44">
        <f t="shared" si="68"/>
        <v>314.89999999999998</v>
      </c>
      <c r="I716" s="204"/>
    </row>
    <row r="717" spans="1:9" ht="47.25" x14ac:dyDescent="0.25">
      <c r="A717" s="98" t="s">
        <v>780</v>
      </c>
      <c r="B717" s="16">
        <v>906</v>
      </c>
      <c r="C717" s="20" t="s">
        <v>264</v>
      </c>
      <c r="D717" s="20" t="s">
        <v>215</v>
      </c>
      <c r="E717" s="20" t="s">
        <v>936</v>
      </c>
      <c r="F717" s="32"/>
      <c r="G717" s="467">
        <f t="shared" si="68"/>
        <v>302.7</v>
      </c>
      <c r="H717" s="467">
        <f t="shared" si="68"/>
        <v>314.89999999999998</v>
      </c>
      <c r="I717" s="204"/>
    </row>
    <row r="718" spans="1:9" ht="31.5" x14ac:dyDescent="0.25">
      <c r="A718" s="29" t="s">
        <v>272</v>
      </c>
      <c r="B718" s="16">
        <v>906</v>
      </c>
      <c r="C718" s="20" t="s">
        <v>264</v>
      </c>
      <c r="D718" s="20" t="s">
        <v>215</v>
      </c>
      <c r="E718" s="20" t="s">
        <v>936</v>
      </c>
      <c r="F718" s="32" t="s">
        <v>273</v>
      </c>
      <c r="G718" s="467">
        <f t="shared" si="68"/>
        <v>302.7</v>
      </c>
      <c r="H718" s="467">
        <f t="shared" si="68"/>
        <v>314.89999999999998</v>
      </c>
      <c r="I718" s="204"/>
    </row>
    <row r="719" spans="1:9" ht="15.75" x14ac:dyDescent="0.25">
      <c r="A719" s="182" t="s">
        <v>274</v>
      </c>
      <c r="B719" s="16">
        <v>906</v>
      </c>
      <c r="C719" s="20" t="s">
        <v>264</v>
      </c>
      <c r="D719" s="20" t="s">
        <v>215</v>
      </c>
      <c r="E719" s="20" t="s">
        <v>936</v>
      </c>
      <c r="F719" s="32" t="s">
        <v>275</v>
      </c>
      <c r="G719" s="467">
        <v>302.7</v>
      </c>
      <c r="H719" s="467">
        <v>314.89999999999998</v>
      </c>
      <c r="I719" s="204"/>
    </row>
    <row r="720" spans="1:9" ht="15.75" x14ac:dyDescent="0.25">
      <c r="A720" s="464" t="s">
        <v>466</v>
      </c>
      <c r="B720" s="19">
        <v>906</v>
      </c>
      <c r="C720" s="24" t="s">
        <v>264</v>
      </c>
      <c r="D720" s="24" t="s">
        <v>264</v>
      </c>
      <c r="E720" s="24"/>
      <c r="F720" s="24"/>
      <c r="G720" s="463">
        <f>G721</f>
        <v>5745.1</v>
      </c>
      <c r="H720" s="463">
        <f>H721</f>
        <v>5745.1</v>
      </c>
      <c r="I720" s="204"/>
    </row>
    <row r="721" spans="1:9" ht="31.5" x14ac:dyDescent="0.25">
      <c r="A721" s="464" t="s">
        <v>1369</v>
      </c>
      <c r="B721" s="19">
        <v>906</v>
      </c>
      <c r="C721" s="24" t="s">
        <v>264</v>
      </c>
      <c r="D721" s="24" t="s">
        <v>264</v>
      </c>
      <c r="E721" s="24" t="s">
        <v>406</v>
      </c>
      <c r="F721" s="24"/>
      <c r="G721" s="463">
        <f>G722</f>
        <v>5745.1</v>
      </c>
      <c r="H721" s="463">
        <f>H722</f>
        <v>5745.1</v>
      </c>
      <c r="I721" s="204"/>
    </row>
    <row r="722" spans="1:9" ht="31.5" x14ac:dyDescent="0.25">
      <c r="A722" s="464" t="s">
        <v>943</v>
      </c>
      <c r="B722" s="19">
        <v>906</v>
      </c>
      <c r="C722" s="24" t="s">
        <v>264</v>
      </c>
      <c r="D722" s="24" t="s">
        <v>264</v>
      </c>
      <c r="E722" s="24" t="s">
        <v>1244</v>
      </c>
      <c r="F722" s="24"/>
      <c r="G722" s="463">
        <f>G723+G726</f>
        <v>5745.1</v>
      </c>
      <c r="H722" s="463">
        <f>H723+H726</f>
        <v>5745.1</v>
      </c>
      <c r="I722" s="204"/>
    </row>
    <row r="723" spans="1:9" ht="31.5" x14ac:dyDescent="0.25">
      <c r="A723" s="31" t="s">
        <v>1062</v>
      </c>
      <c r="B723" s="16">
        <v>906</v>
      </c>
      <c r="C723" s="20" t="s">
        <v>264</v>
      </c>
      <c r="D723" s="20" t="s">
        <v>264</v>
      </c>
      <c r="E723" s="20" t="s">
        <v>1266</v>
      </c>
      <c r="F723" s="20"/>
      <c r="G723" s="467">
        <f>G724</f>
        <v>5745.1</v>
      </c>
      <c r="H723" s="467">
        <f>H724</f>
        <v>5745.1</v>
      </c>
      <c r="I723" s="204"/>
    </row>
    <row r="724" spans="1:9" ht="31.5" x14ac:dyDescent="0.25">
      <c r="A724" s="466" t="s">
        <v>272</v>
      </c>
      <c r="B724" s="16">
        <v>906</v>
      </c>
      <c r="C724" s="20" t="s">
        <v>264</v>
      </c>
      <c r="D724" s="20" t="s">
        <v>264</v>
      </c>
      <c r="E724" s="20" t="s">
        <v>1266</v>
      </c>
      <c r="F724" s="20" t="s">
        <v>273</v>
      </c>
      <c r="G724" s="467">
        <f>G725</f>
        <v>5745.1</v>
      </c>
      <c r="H724" s="467">
        <f>H725</f>
        <v>5745.1</v>
      </c>
      <c r="I724" s="204"/>
    </row>
    <row r="725" spans="1:9" ht="15.75" x14ac:dyDescent="0.25">
      <c r="A725" s="466" t="s">
        <v>274</v>
      </c>
      <c r="B725" s="16">
        <v>906</v>
      </c>
      <c r="C725" s="20" t="s">
        <v>264</v>
      </c>
      <c r="D725" s="20" t="s">
        <v>264</v>
      </c>
      <c r="E725" s="20" t="s">
        <v>1266</v>
      </c>
      <c r="F725" s="20" t="s">
        <v>275</v>
      </c>
      <c r="G725" s="467">
        <v>5745.1</v>
      </c>
      <c r="H725" s="467">
        <v>5745.1</v>
      </c>
      <c r="I725" s="204"/>
    </row>
    <row r="726" spans="1:9" ht="31.5" hidden="1" x14ac:dyDescent="0.25">
      <c r="A726" s="31" t="s">
        <v>1187</v>
      </c>
      <c r="B726" s="16">
        <v>906</v>
      </c>
      <c r="C726" s="20" t="s">
        <v>264</v>
      </c>
      <c r="D726" s="20" t="s">
        <v>264</v>
      </c>
      <c r="E726" s="20" t="s">
        <v>1267</v>
      </c>
      <c r="F726" s="20"/>
      <c r="G726" s="467">
        <f>G727</f>
        <v>0</v>
      </c>
      <c r="H726" s="467">
        <f>H727</f>
        <v>0</v>
      </c>
      <c r="I726" s="204"/>
    </row>
    <row r="727" spans="1:9" ht="31.5" hidden="1" x14ac:dyDescent="0.25">
      <c r="A727" s="466" t="s">
        <v>272</v>
      </c>
      <c r="B727" s="16">
        <v>906</v>
      </c>
      <c r="C727" s="20" t="s">
        <v>264</v>
      </c>
      <c r="D727" s="20" t="s">
        <v>264</v>
      </c>
      <c r="E727" s="20" t="s">
        <v>1267</v>
      </c>
      <c r="F727" s="20" t="s">
        <v>273</v>
      </c>
      <c r="G727" s="467">
        <f>G728</f>
        <v>0</v>
      </c>
      <c r="H727" s="467">
        <f>H728</f>
        <v>0</v>
      </c>
      <c r="I727" s="204"/>
    </row>
    <row r="728" spans="1:9" ht="15.75" hidden="1" x14ac:dyDescent="0.25">
      <c r="A728" s="466" t="s">
        <v>274</v>
      </c>
      <c r="B728" s="16">
        <v>906</v>
      </c>
      <c r="C728" s="20" t="s">
        <v>264</v>
      </c>
      <c r="D728" s="20" t="s">
        <v>264</v>
      </c>
      <c r="E728" s="20" t="s">
        <v>1267</v>
      </c>
      <c r="F728" s="20" t="s">
        <v>275</v>
      </c>
      <c r="G728" s="467">
        <v>0</v>
      </c>
      <c r="H728" s="467">
        <v>0</v>
      </c>
      <c r="I728" s="204"/>
    </row>
    <row r="729" spans="1:9" ht="15.75" x14ac:dyDescent="0.25">
      <c r="A729" s="464" t="s">
        <v>295</v>
      </c>
      <c r="B729" s="19">
        <v>906</v>
      </c>
      <c r="C729" s="24" t="s">
        <v>264</v>
      </c>
      <c r="D729" s="24" t="s">
        <v>219</v>
      </c>
      <c r="E729" s="24"/>
      <c r="F729" s="24"/>
      <c r="G729" s="463">
        <f>G730+G740</f>
        <v>19831.8</v>
      </c>
      <c r="H729" s="463">
        <f>H730+H740</f>
        <v>19831.8</v>
      </c>
      <c r="I729" s="204"/>
    </row>
    <row r="730" spans="1:9" ht="44.1" customHeight="1" x14ac:dyDescent="0.25">
      <c r="A730" s="464" t="s">
        <v>917</v>
      </c>
      <c r="B730" s="19">
        <v>906</v>
      </c>
      <c r="C730" s="24" t="s">
        <v>264</v>
      </c>
      <c r="D730" s="24" t="s">
        <v>219</v>
      </c>
      <c r="E730" s="24" t="s">
        <v>858</v>
      </c>
      <c r="F730" s="24"/>
      <c r="G730" s="463">
        <f>G731</f>
        <v>6048.7</v>
      </c>
      <c r="H730" s="463">
        <f>H731</f>
        <v>6048.7</v>
      </c>
      <c r="I730" s="204"/>
    </row>
    <row r="731" spans="1:9" ht="15.75" x14ac:dyDescent="0.25">
      <c r="A731" s="464" t="s">
        <v>918</v>
      </c>
      <c r="B731" s="19">
        <v>906</v>
      </c>
      <c r="C731" s="24" t="s">
        <v>264</v>
      </c>
      <c r="D731" s="24" t="s">
        <v>219</v>
      </c>
      <c r="E731" s="24" t="s">
        <v>859</v>
      </c>
      <c r="F731" s="24"/>
      <c r="G731" s="463">
        <f>G732+G737</f>
        <v>6048.7</v>
      </c>
      <c r="H731" s="463">
        <f>H732+H737</f>
        <v>6048.7</v>
      </c>
      <c r="I731" s="204"/>
    </row>
    <row r="732" spans="1:9" ht="31.5" x14ac:dyDescent="0.25">
      <c r="A732" s="466" t="s">
        <v>897</v>
      </c>
      <c r="B732" s="16">
        <v>906</v>
      </c>
      <c r="C732" s="20" t="s">
        <v>264</v>
      </c>
      <c r="D732" s="20" t="s">
        <v>219</v>
      </c>
      <c r="E732" s="20" t="s">
        <v>860</v>
      </c>
      <c r="F732" s="20"/>
      <c r="G732" s="467">
        <f>G733+G735</f>
        <v>5922.7</v>
      </c>
      <c r="H732" s="467">
        <f>H733+H735</f>
        <v>5922.7</v>
      </c>
      <c r="I732" s="204"/>
    </row>
    <row r="733" spans="1:9" ht="78.75" x14ac:dyDescent="0.25">
      <c r="A733" s="466" t="s">
        <v>127</v>
      </c>
      <c r="B733" s="16">
        <v>906</v>
      </c>
      <c r="C733" s="20" t="s">
        <v>264</v>
      </c>
      <c r="D733" s="20" t="s">
        <v>219</v>
      </c>
      <c r="E733" s="20" t="s">
        <v>860</v>
      </c>
      <c r="F733" s="20" t="s">
        <v>128</v>
      </c>
      <c r="G733" s="467">
        <f>G734</f>
        <v>5710.7</v>
      </c>
      <c r="H733" s="467">
        <f>H734</f>
        <v>5710.7</v>
      </c>
      <c r="I733" s="204"/>
    </row>
    <row r="734" spans="1:9" ht="31.5" x14ac:dyDescent="0.25">
      <c r="A734" s="466" t="s">
        <v>129</v>
      </c>
      <c r="B734" s="16">
        <v>906</v>
      </c>
      <c r="C734" s="20" t="s">
        <v>264</v>
      </c>
      <c r="D734" s="20" t="s">
        <v>219</v>
      </c>
      <c r="E734" s="20" t="s">
        <v>860</v>
      </c>
      <c r="F734" s="20" t="s">
        <v>130</v>
      </c>
      <c r="G734" s="467">
        <v>5710.7</v>
      </c>
      <c r="H734" s="467">
        <f t="shared" si="66"/>
        <v>5710.7</v>
      </c>
      <c r="I734" s="204"/>
    </row>
    <row r="735" spans="1:9" ht="31.5" x14ac:dyDescent="0.25">
      <c r="A735" s="466" t="s">
        <v>131</v>
      </c>
      <c r="B735" s="16">
        <v>906</v>
      </c>
      <c r="C735" s="20" t="s">
        <v>264</v>
      </c>
      <c r="D735" s="20" t="s">
        <v>219</v>
      </c>
      <c r="E735" s="20" t="s">
        <v>860</v>
      </c>
      <c r="F735" s="20" t="s">
        <v>132</v>
      </c>
      <c r="G735" s="467">
        <f>G736</f>
        <v>212</v>
      </c>
      <c r="H735" s="467">
        <f>H736</f>
        <v>212</v>
      </c>
      <c r="I735" s="204"/>
    </row>
    <row r="736" spans="1:9" ht="31.5" x14ac:dyDescent="0.25">
      <c r="A736" s="466" t="s">
        <v>133</v>
      </c>
      <c r="B736" s="16">
        <v>906</v>
      </c>
      <c r="C736" s="20" t="s">
        <v>264</v>
      </c>
      <c r="D736" s="20" t="s">
        <v>219</v>
      </c>
      <c r="E736" s="20" t="s">
        <v>860</v>
      </c>
      <c r="F736" s="20" t="s">
        <v>134</v>
      </c>
      <c r="G736" s="467">
        <f>212</f>
        <v>212</v>
      </c>
      <c r="H736" s="467">
        <f t="shared" si="66"/>
        <v>212</v>
      </c>
      <c r="I736" s="204"/>
    </row>
    <row r="737" spans="1:9" ht="47.25" x14ac:dyDescent="0.25">
      <c r="A737" s="466" t="s">
        <v>839</v>
      </c>
      <c r="B737" s="16">
        <v>906</v>
      </c>
      <c r="C737" s="20" t="s">
        <v>264</v>
      </c>
      <c r="D737" s="20" t="s">
        <v>219</v>
      </c>
      <c r="E737" s="20" t="s">
        <v>862</v>
      </c>
      <c r="F737" s="20"/>
      <c r="G737" s="467">
        <f>G738</f>
        <v>126</v>
      </c>
      <c r="H737" s="467">
        <f>H738</f>
        <v>126</v>
      </c>
      <c r="I737" s="204"/>
    </row>
    <row r="738" spans="1:9" ht="78.75" x14ac:dyDescent="0.25">
      <c r="A738" s="466" t="s">
        <v>127</v>
      </c>
      <c r="B738" s="16">
        <v>906</v>
      </c>
      <c r="C738" s="20" t="s">
        <v>264</v>
      </c>
      <c r="D738" s="20" t="s">
        <v>219</v>
      </c>
      <c r="E738" s="20" t="s">
        <v>862</v>
      </c>
      <c r="F738" s="20" t="s">
        <v>128</v>
      </c>
      <c r="G738" s="467">
        <f>G739</f>
        <v>126</v>
      </c>
      <c r="H738" s="467">
        <f>H739</f>
        <v>126</v>
      </c>
      <c r="I738" s="204"/>
    </row>
    <row r="739" spans="1:9" ht="31.5" x14ac:dyDescent="0.25">
      <c r="A739" s="466" t="s">
        <v>129</v>
      </c>
      <c r="B739" s="16">
        <v>906</v>
      </c>
      <c r="C739" s="20" t="s">
        <v>264</v>
      </c>
      <c r="D739" s="20" t="s">
        <v>219</v>
      </c>
      <c r="E739" s="20" t="s">
        <v>862</v>
      </c>
      <c r="F739" s="20" t="s">
        <v>130</v>
      </c>
      <c r="G739" s="467">
        <f>126</f>
        <v>126</v>
      </c>
      <c r="H739" s="467">
        <f t="shared" si="66"/>
        <v>126</v>
      </c>
      <c r="I739" s="204"/>
    </row>
    <row r="740" spans="1:9" ht="15.75" x14ac:dyDescent="0.25">
      <c r="A740" s="464" t="s">
        <v>141</v>
      </c>
      <c r="B740" s="19">
        <v>906</v>
      </c>
      <c r="C740" s="24" t="s">
        <v>264</v>
      </c>
      <c r="D740" s="24" t="s">
        <v>219</v>
      </c>
      <c r="E740" s="24" t="s">
        <v>866</v>
      </c>
      <c r="F740" s="24"/>
      <c r="G740" s="463">
        <f>G741+G745</f>
        <v>13783.1</v>
      </c>
      <c r="H740" s="463">
        <f>H741+H745</f>
        <v>13783.1</v>
      </c>
      <c r="I740" s="204"/>
    </row>
    <row r="741" spans="1:9" ht="31.5" x14ac:dyDescent="0.25">
      <c r="A741" s="464" t="s">
        <v>870</v>
      </c>
      <c r="B741" s="19">
        <v>906</v>
      </c>
      <c r="C741" s="24" t="s">
        <v>264</v>
      </c>
      <c r="D741" s="24" t="s">
        <v>219</v>
      </c>
      <c r="E741" s="24" t="s">
        <v>865</v>
      </c>
      <c r="F741" s="24"/>
      <c r="G741" s="463">
        <f t="shared" ref="G741:H743" si="69">G742</f>
        <v>300</v>
      </c>
      <c r="H741" s="463">
        <f t="shared" si="69"/>
        <v>300</v>
      </c>
      <c r="I741" s="204"/>
    </row>
    <row r="742" spans="1:9" ht="15.75" x14ac:dyDescent="0.25">
      <c r="A742" s="466" t="s">
        <v>478</v>
      </c>
      <c r="B742" s="16">
        <v>906</v>
      </c>
      <c r="C742" s="20" t="s">
        <v>264</v>
      </c>
      <c r="D742" s="20" t="s">
        <v>219</v>
      </c>
      <c r="E742" s="20" t="s">
        <v>944</v>
      </c>
      <c r="F742" s="20"/>
      <c r="G742" s="467">
        <f t="shared" si="69"/>
        <v>300</v>
      </c>
      <c r="H742" s="467">
        <f t="shared" si="69"/>
        <v>300</v>
      </c>
      <c r="I742" s="204"/>
    </row>
    <row r="743" spans="1:9" ht="31.5" x14ac:dyDescent="0.25">
      <c r="A743" s="466" t="s">
        <v>131</v>
      </c>
      <c r="B743" s="16">
        <v>906</v>
      </c>
      <c r="C743" s="20" t="s">
        <v>264</v>
      </c>
      <c r="D743" s="20" t="s">
        <v>219</v>
      </c>
      <c r="E743" s="20" t="s">
        <v>944</v>
      </c>
      <c r="F743" s="20" t="s">
        <v>132</v>
      </c>
      <c r="G743" s="467">
        <f t="shared" si="69"/>
        <v>300</v>
      </c>
      <c r="H743" s="467">
        <f t="shared" si="69"/>
        <v>300</v>
      </c>
      <c r="I743" s="204"/>
    </row>
    <row r="744" spans="1:9" ht="33.950000000000003" customHeight="1" x14ac:dyDescent="0.25">
      <c r="A744" s="466" t="s">
        <v>133</v>
      </c>
      <c r="B744" s="16">
        <v>906</v>
      </c>
      <c r="C744" s="20" t="s">
        <v>264</v>
      </c>
      <c r="D744" s="20" t="s">
        <v>219</v>
      </c>
      <c r="E744" s="20" t="s">
        <v>944</v>
      </c>
      <c r="F744" s="20" t="s">
        <v>134</v>
      </c>
      <c r="G744" s="467">
        <v>300</v>
      </c>
      <c r="H744" s="467">
        <f t="shared" si="66"/>
        <v>300</v>
      </c>
      <c r="I744" s="204"/>
    </row>
    <row r="745" spans="1:9" ht="31.5" x14ac:dyDescent="0.25">
      <c r="A745" s="464" t="s">
        <v>929</v>
      </c>
      <c r="B745" s="19">
        <v>906</v>
      </c>
      <c r="C745" s="24" t="s">
        <v>264</v>
      </c>
      <c r="D745" s="24" t="s">
        <v>219</v>
      </c>
      <c r="E745" s="24" t="s">
        <v>914</v>
      </c>
      <c r="F745" s="24"/>
      <c r="G745" s="463">
        <f>G746+G753</f>
        <v>13483.1</v>
      </c>
      <c r="H745" s="463">
        <f>H746+H753</f>
        <v>13483.1</v>
      </c>
      <c r="I745" s="204"/>
    </row>
    <row r="746" spans="1:9" ht="31.5" x14ac:dyDescent="0.25">
      <c r="A746" s="466" t="s">
        <v>1087</v>
      </c>
      <c r="B746" s="16">
        <v>906</v>
      </c>
      <c r="C746" s="20" t="s">
        <v>264</v>
      </c>
      <c r="D746" s="20" t="s">
        <v>219</v>
      </c>
      <c r="E746" s="20" t="s">
        <v>915</v>
      </c>
      <c r="F746" s="20"/>
      <c r="G746" s="467">
        <f>G747+G749+G751</f>
        <v>12977.1</v>
      </c>
      <c r="H746" s="467">
        <f>H747+H749+H751</f>
        <v>12977.1</v>
      </c>
      <c r="I746" s="204"/>
    </row>
    <row r="747" spans="1:9" ht="78.75" x14ac:dyDescent="0.25">
      <c r="A747" s="466" t="s">
        <v>127</v>
      </c>
      <c r="B747" s="16">
        <v>906</v>
      </c>
      <c r="C747" s="20" t="s">
        <v>264</v>
      </c>
      <c r="D747" s="20" t="s">
        <v>219</v>
      </c>
      <c r="E747" s="20" t="s">
        <v>915</v>
      </c>
      <c r="F747" s="20" t="s">
        <v>128</v>
      </c>
      <c r="G747" s="467">
        <f>G748</f>
        <v>11885.1</v>
      </c>
      <c r="H747" s="467">
        <f t="shared" si="66"/>
        <v>11885.1</v>
      </c>
      <c r="I747" s="204"/>
    </row>
    <row r="748" spans="1:9" ht="31.5" x14ac:dyDescent="0.25">
      <c r="A748" s="466" t="s">
        <v>342</v>
      </c>
      <c r="B748" s="16">
        <v>906</v>
      </c>
      <c r="C748" s="20" t="s">
        <v>264</v>
      </c>
      <c r="D748" s="20" t="s">
        <v>219</v>
      </c>
      <c r="E748" s="20" t="s">
        <v>915</v>
      </c>
      <c r="F748" s="20" t="s">
        <v>209</v>
      </c>
      <c r="G748" s="467">
        <v>11885.1</v>
      </c>
      <c r="H748" s="467">
        <f t="shared" si="66"/>
        <v>11885.1</v>
      </c>
      <c r="I748" s="204"/>
    </row>
    <row r="749" spans="1:9" ht="31.5" x14ac:dyDescent="0.25">
      <c r="A749" s="466" t="s">
        <v>131</v>
      </c>
      <c r="B749" s="16">
        <v>906</v>
      </c>
      <c r="C749" s="20" t="s">
        <v>264</v>
      </c>
      <c r="D749" s="20" t="s">
        <v>219</v>
      </c>
      <c r="E749" s="20" t="s">
        <v>915</v>
      </c>
      <c r="F749" s="20" t="s">
        <v>132</v>
      </c>
      <c r="G749" s="467">
        <f>G750</f>
        <v>1077</v>
      </c>
      <c r="H749" s="467">
        <f t="shared" si="66"/>
        <v>1077</v>
      </c>
      <c r="I749" s="204"/>
    </row>
    <row r="750" spans="1:9" ht="31.5" x14ac:dyDescent="0.25">
      <c r="A750" s="466" t="s">
        <v>133</v>
      </c>
      <c r="B750" s="16">
        <v>906</v>
      </c>
      <c r="C750" s="20" t="s">
        <v>264</v>
      </c>
      <c r="D750" s="20" t="s">
        <v>219</v>
      </c>
      <c r="E750" s="20" t="s">
        <v>915</v>
      </c>
      <c r="F750" s="20" t="s">
        <v>134</v>
      </c>
      <c r="G750" s="467">
        <f>1077</f>
        <v>1077</v>
      </c>
      <c r="H750" s="467">
        <f t="shared" si="66"/>
        <v>1077</v>
      </c>
      <c r="I750" s="204"/>
    </row>
    <row r="751" spans="1:9" ht="15.75" x14ac:dyDescent="0.25">
      <c r="A751" s="466" t="s">
        <v>135</v>
      </c>
      <c r="B751" s="16">
        <v>906</v>
      </c>
      <c r="C751" s="20" t="s">
        <v>264</v>
      </c>
      <c r="D751" s="20" t="s">
        <v>219</v>
      </c>
      <c r="E751" s="20" t="s">
        <v>915</v>
      </c>
      <c r="F751" s="20" t="s">
        <v>145</v>
      </c>
      <c r="G751" s="467">
        <f>G752</f>
        <v>15</v>
      </c>
      <c r="H751" s="467">
        <f t="shared" si="66"/>
        <v>15</v>
      </c>
      <c r="I751" s="204"/>
    </row>
    <row r="752" spans="1:9" ht="15.75" x14ac:dyDescent="0.25">
      <c r="A752" s="466" t="s">
        <v>568</v>
      </c>
      <c r="B752" s="16">
        <v>906</v>
      </c>
      <c r="C752" s="20" t="s">
        <v>264</v>
      </c>
      <c r="D752" s="20" t="s">
        <v>219</v>
      </c>
      <c r="E752" s="20" t="s">
        <v>915</v>
      </c>
      <c r="F752" s="20" t="s">
        <v>138</v>
      </c>
      <c r="G752" s="467">
        <f>15</f>
        <v>15</v>
      </c>
      <c r="H752" s="467">
        <f t="shared" si="66"/>
        <v>15</v>
      </c>
      <c r="I752" s="204"/>
    </row>
    <row r="753" spans="1:9" ht="47.25" x14ac:dyDescent="0.25">
      <c r="A753" s="466" t="s">
        <v>839</v>
      </c>
      <c r="B753" s="16">
        <v>906</v>
      </c>
      <c r="C753" s="20" t="s">
        <v>264</v>
      </c>
      <c r="D753" s="20" t="s">
        <v>219</v>
      </c>
      <c r="E753" s="20" t="s">
        <v>916</v>
      </c>
      <c r="F753" s="20"/>
      <c r="G753" s="467">
        <f>G754</f>
        <v>506</v>
      </c>
      <c r="H753" s="467">
        <f>H754</f>
        <v>506</v>
      </c>
      <c r="I753" s="204"/>
    </row>
    <row r="754" spans="1:9" ht="78.75" x14ac:dyDescent="0.25">
      <c r="A754" s="466" t="s">
        <v>127</v>
      </c>
      <c r="B754" s="16">
        <v>906</v>
      </c>
      <c r="C754" s="20" t="s">
        <v>264</v>
      </c>
      <c r="D754" s="20" t="s">
        <v>219</v>
      </c>
      <c r="E754" s="20" t="s">
        <v>916</v>
      </c>
      <c r="F754" s="20" t="s">
        <v>128</v>
      </c>
      <c r="G754" s="467">
        <f>G755</f>
        <v>506</v>
      </c>
      <c r="H754" s="467">
        <f>H755</f>
        <v>506</v>
      </c>
      <c r="I754" s="204"/>
    </row>
    <row r="755" spans="1:9" ht="31.5" x14ac:dyDescent="0.25">
      <c r="A755" s="466" t="s">
        <v>342</v>
      </c>
      <c r="B755" s="16">
        <v>906</v>
      </c>
      <c r="C755" s="20" t="s">
        <v>264</v>
      </c>
      <c r="D755" s="20" t="s">
        <v>219</v>
      </c>
      <c r="E755" s="20" t="s">
        <v>916</v>
      </c>
      <c r="F755" s="20" t="s">
        <v>209</v>
      </c>
      <c r="G755" s="467">
        <v>506</v>
      </c>
      <c r="H755" s="467">
        <v>506</v>
      </c>
      <c r="I755" s="204"/>
    </row>
    <row r="756" spans="1:9" ht="31.5" x14ac:dyDescent="0.25">
      <c r="A756" s="461" t="s">
        <v>1379</v>
      </c>
      <c r="B756" s="19">
        <v>907</v>
      </c>
      <c r="C756" s="20"/>
      <c r="D756" s="20"/>
      <c r="E756" s="20"/>
      <c r="F756" s="20"/>
      <c r="G756" s="463">
        <f>G764+G757</f>
        <v>64081.399999999994</v>
      </c>
      <c r="H756" s="463">
        <f>H764+H757</f>
        <v>64012.600000000006</v>
      </c>
      <c r="I756" s="204"/>
    </row>
    <row r="757" spans="1:9" s="203" customFormat="1" ht="15.75" x14ac:dyDescent="0.25">
      <c r="A757" s="464" t="s">
        <v>117</v>
      </c>
      <c r="B757" s="19">
        <v>907</v>
      </c>
      <c r="C757" s="24" t="s">
        <v>118</v>
      </c>
      <c r="D757" s="24"/>
      <c r="E757" s="24"/>
      <c r="F757" s="24"/>
      <c r="G757" s="463">
        <f t="shared" ref="G757:H758" si="70">G758</f>
        <v>100</v>
      </c>
      <c r="H757" s="463">
        <f t="shared" si="70"/>
        <v>0</v>
      </c>
      <c r="I757" s="204"/>
    </row>
    <row r="758" spans="1:9" s="203" customFormat="1" ht="15.75" x14ac:dyDescent="0.25">
      <c r="A758" s="34" t="s">
        <v>139</v>
      </c>
      <c r="B758" s="19">
        <v>907</v>
      </c>
      <c r="C758" s="24" t="s">
        <v>118</v>
      </c>
      <c r="D758" s="24" t="s">
        <v>140</v>
      </c>
      <c r="E758" s="24"/>
      <c r="F758" s="24"/>
      <c r="G758" s="463">
        <f t="shared" si="70"/>
        <v>100</v>
      </c>
      <c r="H758" s="463">
        <f t="shared" si="70"/>
        <v>0</v>
      </c>
      <c r="I758" s="204"/>
    </row>
    <row r="759" spans="1:9" s="203" customFormat="1" ht="47.25" x14ac:dyDescent="0.25">
      <c r="A759" s="464" t="s">
        <v>1360</v>
      </c>
      <c r="B759" s="19">
        <v>907</v>
      </c>
      <c r="C759" s="24" t="s">
        <v>118</v>
      </c>
      <c r="D759" s="24" t="s">
        <v>140</v>
      </c>
      <c r="E759" s="24" t="s">
        <v>335</v>
      </c>
      <c r="F759" s="24"/>
      <c r="G759" s="463">
        <f t="shared" ref="G759:H762" si="71">G760</f>
        <v>100</v>
      </c>
      <c r="H759" s="463">
        <f t="shared" si="71"/>
        <v>0</v>
      </c>
      <c r="I759" s="204"/>
    </row>
    <row r="760" spans="1:9" s="203" customFormat="1" ht="31.5" x14ac:dyDescent="0.25">
      <c r="A760" s="212" t="s">
        <v>1052</v>
      </c>
      <c r="B760" s="19">
        <v>907</v>
      </c>
      <c r="C760" s="24" t="s">
        <v>118</v>
      </c>
      <c r="D760" s="24" t="s">
        <v>140</v>
      </c>
      <c r="E760" s="24" t="s">
        <v>1053</v>
      </c>
      <c r="F760" s="24"/>
      <c r="G760" s="463">
        <f t="shared" si="71"/>
        <v>100</v>
      </c>
      <c r="H760" s="463">
        <f t="shared" si="71"/>
        <v>0</v>
      </c>
      <c r="I760" s="204"/>
    </row>
    <row r="761" spans="1:9" s="203" customFormat="1" ht="31.5" x14ac:dyDescent="0.25">
      <c r="A761" s="97" t="s">
        <v>336</v>
      </c>
      <c r="B761" s="16">
        <v>907</v>
      </c>
      <c r="C761" s="20" t="s">
        <v>118</v>
      </c>
      <c r="D761" s="20" t="s">
        <v>140</v>
      </c>
      <c r="E761" s="20" t="s">
        <v>1054</v>
      </c>
      <c r="F761" s="20"/>
      <c r="G761" s="467">
        <f t="shared" si="71"/>
        <v>100</v>
      </c>
      <c r="H761" s="467">
        <f t="shared" si="71"/>
        <v>0</v>
      </c>
      <c r="I761" s="204"/>
    </row>
    <row r="762" spans="1:9" s="203" customFormat="1" ht="31.5" x14ac:dyDescent="0.25">
      <c r="A762" s="466" t="s">
        <v>131</v>
      </c>
      <c r="B762" s="16">
        <v>907</v>
      </c>
      <c r="C762" s="20" t="s">
        <v>118</v>
      </c>
      <c r="D762" s="20" t="s">
        <v>140</v>
      </c>
      <c r="E762" s="20" t="s">
        <v>1054</v>
      </c>
      <c r="F762" s="20" t="s">
        <v>132</v>
      </c>
      <c r="G762" s="467">
        <f t="shared" si="71"/>
        <v>100</v>
      </c>
      <c r="H762" s="467">
        <f t="shared" si="71"/>
        <v>0</v>
      </c>
      <c r="I762" s="204"/>
    </row>
    <row r="763" spans="1:9" s="203" customFormat="1" ht="31.5" x14ac:dyDescent="0.25">
      <c r="A763" s="466" t="s">
        <v>133</v>
      </c>
      <c r="B763" s="16">
        <v>907</v>
      </c>
      <c r="C763" s="20" t="s">
        <v>118</v>
      </c>
      <c r="D763" s="20" t="s">
        <v>140</v>
      </c>
      <c r="E763" s="20" t="s">
        <v>1054</v>
      </c>
      <c r="F763" s="20" t="s">
        <v>134</v>
      </c>
      <c r="G763" s="467">
        <v>100</v>
      </c>
      <c r="H763" s="467">
        <v>0</v>
      </c>
      <c r="I763" s="204"/>
    </row>
    <row r="764" spans="1:9" ht="15.75" x14ac:dyDescent="0.25">
      <c r="A764" s="464" t="s">
        <v>490</v>
      </c>
      <c r="B764" s="19">
        <v>907</v>
      </c>
      <c r="C764" s="24" t="s">
        <v>491</v>
      </c>
      <c r="D764" s="20"/>
      <c r="E764" s="20"/>
      <c r="F764" s="20"/>
      <c r="G764" s="463">
        <f>G765+G803</f>
        <v>63981.399999999994</v>
      </c>
      <c r="H764" s="463">
        <f>H765+H803</f>
        <v>64012.600000000006</v>
      </c>
      <c r="I764" s="204"/>
    </row>
    <row r="765" spans="1:9" ht="15.75" x14ac:dyDescent="0.25">
      <c r="A765" s="464" t="s">
        <v>492</v>
      </c>
      <c r="B765" s="19">
        <v>907</v>
      </c>
      <c r="C765" s="24" t="s">
        <v>491</v>
      </c>
      <c r="D765" s="24" t="s">
        <v>118</v>
      </c>
      <c r="E765" s="20"/>
      <c r="F765" s="20"/>
      <c r="G765" s="463">
        <f>G766+G798+G793</f>
        <v>50452.2</v>
      </c>
      <c r="H765" s="463">
        <f>H766+H798+H793</f>
        <v>50483.4</v>
      </c>
      <c r="I765" s="204"/>
    </row>
    <row r="766" spans="1:9" ht="47.25" x14ac:dyDescent="0.25">
      <c r="A766" s="464" t="s">
        <v>1380</v>
      </c>
      <c r="B766" s="19">
        <v>907</v>
      </c>
      <c r="C766" s="24" t="s">
        <v>491</v>
      </c>
      <c r="D766" s="24" t="s">
        <v>118</v>
      </c>
      <c r="E766" s="24" t="s">
        <v>482</v>
      </c>
      <c r="F766" s="24"/>
      <c r="G766" s="463">
        <f>G767+G778+G782+G789</f>
        <v>49873.1</v>
      </c>
      <c r="H766" s="463">
        <f>H767+H778+H782+H789</f>
        <v>49873.1</v>
      </c>
      <c r="I766" s="204"/>
    </row>
    <row r="767" spans="1:9" ht="31.5" x14ac:dyDescent="0.25">
      <c r="A767" s="464" t="s">
        <v>937</v>
      </c>
      <c r="B767" s="19">
        <v>907</v>
      </c>
      <c r="C767" s="24" t="s">
        <v>491</v>
      </c>
      <c r="D767" s="24" t="s">
        <v>118</v>
      </c>
      <c r="E767" s="24" t="s">
        <v>1268</v>
      </c>
      <c r="F767" s="24"/>
      <c r="G767" s="463">
        <f t="shared" ref="G767:H769" si="72">G768</f>
        <v>47819.6</v>
      </c>
      <c r="H767" s="463">
        <f t="shared" si="72"/>
        <v>47819.6</v>
      </c>
      <c r="I767" s="204"/>
    </row>
    <row r="768" spans="1:9" ht="31.5" x14ac:dyDescent="0.25">
      <c r="A768" s="466" t="s">
        <v>1298</v>
      </c>
      <c r="B768" s="16">
        <v>907</v>
      </c>
      <c r="C768" s="20" t="s">
        <v>491</v>
      </c>
      <c r="D768" s="20" t="s">
        <v>118</v>
      </c>
      <c r="E768" s="20" t="s">
        <v>1269</v>
      </c>
      <c r="F768" s="20"/>
      <c r="G768" s="467">
        <f t="shared" si="72"/>
        <v>47819.6</v>
      </c>
      <c r="H768" s="467">
        <f t="shared" si="72"/>
        <v>47819.6</v>
      </c>
      <c r="I768" s="204"/>
    </row>
    <row r="769" spans="1:9" ht="31.5" x14ac:dyDescent="0.25">
      <c r="A769" s="466" t="s">
        <v>272</v>
      </c>
      <c r="B769" s="16">
        <v>907</v>
      </c>
      <c r="C769" s="20" t="s">
        <v>491</v>
      </c>
      <c r="D769" s="20" t="s">
        <v>118</v>
      </c>
      <c r="E769" s="20" t="s">
        <v>1269</v>
      </c>
      <c r="F769" s="20" t="s">
        <v>273</v>
      </c>
      <c r="G769" s="467">
        <f t="shared" si="72"/>
        <v>47819.6</v>
      </c>
      <c r="H769" s="467">
        <f t="shared" si="72"/>
        <v>47819.6</v>
      </c>
      <c r="I769" s="204"/>
    </row>
    <row r="770" spans="1:9" ht="15.75" x14ac:dyDescent="0.25">
      <c r="A770" s="466" t="s">
        <v>274</v>
      </c>
      <c r="B770" s="16">
        <v>907</v>
      </c>
      <c r="C770" s="20" t="s">
        <v>491</v>
      </c>
      <c r="D770" s="20" t="s">
        <v>118</v>
      </c>
      <c r="E770" s="20" t="s">
        <v>1269</v>
      </c>
      <c r="F770" s="20" t="s">
        <v>275</v>
      </c>
      <c r="G770" s="467">
        <v>47819.6</v>
      </c>
      <c r="H770" s="467">
        <f t="shared" si="66"/>
        <v>47819.6</v>
      </c>
      <c r="I770" s="204"/>
    </row>
    <row r="771" spans="1:9" ht="31.5" x14ac:dyDescent="0.25">
      <c r="A771" s="464" t="s">
        <v>945</v>
      </c>
      <c r="B771" s="19">
        <v>907</v>
      </c>
      <c r="C771" s="24" t="s">
        <v>491</v>
      </c>
      <c r="D771" s="24" t="s">
        <v>118</v>
      </c>
      <c r="E771" s="24" t="s">
        <v>946</v>
      </c>
      <c r="F771" s="24"/>
      <c r="G771" s="44">
        <f>G772+G775+G779</f>
        <v>36</v>
      </c>
      <c r="H771" s="44">
        <f>H772+H775+H779</f>
        <v>36</v>
      </c>
      <c r="I771" s="204"/>
    </row>
    <row r="772" spans="1:9" ht="31.5" hidden="1" x14ac:dyDescent="0.25">
      <c r="A772" s="466" t="s">
        <v>278</v>
      </c>
      <c r="B772" s="16">
        <v>907</v>
      </c>
      <c r="C772" s="20" t="s">
        <v>491</v>
      </c>
      <c r="D772" s="20" t="s">
        <v>118</v>
      </c>
      <c r="E772" s="20" t="s">
        <v>949</v>
      </c>
      <c r="F772" s="20"/>
      <c r="G772" s="467">
        <f>G773</f>
        <v>0</v>
      </c>
      <c r="H772" s="467">
        <f t="shared" ref="H772:H830" si="73">G772</f>
        <v>0</v>
      </c>
      <c r="I772" s="204"/>
    </row>
    <row r="773" spans="1:9" ht="31.5" hidden="1" x14ac:dyDescent="0.25">
      <c r="A773" s="466" t="s">
        <v>272</v>
      </c>
      <c r="B773" s="16">
        <v>907</v>
      </c>
      <c r="C773" s="20" t="s">
        <v>491</v>
      </c>
      <c r="D773" s="20" t="s">
        <v>118</v>
      </c>
      <c r="E773" s="20" t="s">
        <v>949</v>
      </c>
      <c r="F773" s="20" t="s">
        <v>273</v>
      </c>
      <c r="G773" s="467">
        <f>G774</f>
        <v>0</v>
      </c>
      <c r="H773" s="467">
        <f t="shared" si="73"/>
        <v>0</v>
      </c>
      <c r="I773" s="204"/>
    </row>
    <row r="774" spans="1:9" ht="15.75" hidden="1" x14ac:dyDescent="0.25">
      <c r="A774" s="466" t="s">
        <v>274</v>
      </c>
      <c r="B774" s="16">
        <v>907</v>
      </c>
      <c r="C774" s="20" t="s">
        <v>491</v>
      </c>
      <c r="D774" s="20" t="s">
        <v>118</v>
      </c>
      <c r="E774" s="20" t="s">
        <v>949</v>
      </c>
      <c r="F774" s="20" t="s">
        <v>275</v>
      </c>
      <c r="G774" s="467">
        <v>0</v>
      </c>
      <c r="H774" s="467">
        <f t="shared" si="73"/>
        <v>0</v>
      </c>
      <c r="I774" s="204"/>
    </row>
    <row r="775" spans="1:9" ht="31.5" hidden="1" x14ac:dyDescent="0.25">
      <c r="A775" s="466" t="s">
        <v>280</v>
      </c>
      <c r="B775" s="16">
        <v>907</v>
      </c>
      <c r="C775" s="20" t="s">
        <v>491</v>
      </c>
      <c r="D775" s="20" t="s">
        <v>118</v>
      </c>
      <c r="E775" s="20" t="s">
        <v>950</v>
      </c>
      <c r="F775" s="20"/>
      <c r="G775" s="467">
        <f>G776</f>
        <v>0</v>
      </c>
      <c r="H775" s="467">
        <f>H776</f>
        <v>0</v>
      </c>
      <c r="I775" s="204"/>
    </row>
    <row r="776" spans="1:9" ht="31.5" hidden="1" x14ac:dyDescent="0.25">
      <c r="A776" s="466" t="s">
        <v>272</v>
      </c>
      <c r="B776" s="16">
        <v>907</v>
      </c>
      <c r="C776" s="20" t="s">
        <v>491</v>
      </c>
      <c r="D776" s="20" t="s">
        <v>118</v>
      </c>
      <c r="E776" s="20" t="s">
        <v>950</v>
      </c>
      <c r="F776" s="20" t="s">
        <v>273</v>
      </c>
      <c r="G776" s="467">
        <f>G777</f>
        <v>0</v>
      </c>
      <c r="H776" s="467">
        <f>H777</f>
        <v>0</v>
      </c>
      <c r="I776" s="204"/>
    </row>
    <row r="777" spans="1:9" ht="15.75" hidden="1" x14ac:dyDescent="0.25">
      <c r="A777" s="466" t="s">
        <v>274</v>
      </c>
      <c r="B777" s="16">
        <v>907</v>
      </c>
      <c r="C777" s="20" t="s">
        <v>491</v>
      </c>
      <c r="D777" s="20" t="s">
        <v>118</v>
      </c>
      <c r="E777" s="20" t="s">
        <v>950</v>
      </c>
      <c r="F777" s="20" t="s">
        <v>275</v>
      </c>
      <c r="G777" s="467">
        <v>0</v>
      </c>
      <c r="H777" s="467">
        <f t="shared" si="73"/>
        <v>0</v>
      </c>
      <c r="I777" s="204"/>
    </row>
    <row r="778" spans="1:9" s="203" customFormat="1" ht="31.5" x14ac:dyDescent="0.25">
      <c r="A778" s="464" t="s">
        <v>945</v>
      </c>
      <c r="B778" s="19">
        <v>907</v>
      </c>
      <c r="C778" s="24" t="s">
        <v>491</v>
      </c>
      <c r="D778" s="24" t="s">
        <v>118</v>
      </c>
      <c r="E778" s="24" t="s">
        <v>1270</v>
      </c>
      <c r="F778" s="20"/>
      <c r="G778" s="463">
        <f t="shared" ref="G778:H780" si="74">G779</f>
        <v>36</v>
      </c>
      <c r="H778" s="463">
        <f t="shared" si="74"/>
        <v>36</v>
      </c>
      <c r="I778" s="204"/>
    </row>
    <row r="779" spans="1:9" ht="15.75" x14ac:dyDescent="0.25">
      <c r="A779" s="466" t="s">
        <v>830</v>
      </c>
      <c r="B779" s="16">
        <v>907</v>
      </c>
      <c r="C779" s="20" t="s">
        <v>491</v>
      </c>
      <c r="D779" s="20" t="s">
        <v>118</v>
      </c>
      <c r="E779" s="20" t="s">
        <v>1271</v>
      </c>
      <c r="F779" s="20"/>
      <c r="G779" s="467">
        <f t="shared" si="74"/>
        <v>36</v>
      </c>
      <c r="H779" s="467">
        <f t="shared" si="74"/>
        <v>36</v>
      </c>
      <c r="I779" s="204"/>
    </row>
    <row r="780" spans="1:9" ht="31.5" x14ac:dyDescent="0.25">
      <c r="A780" s="466" t="s">
        <v>272</v>
      </c>
      <c r="B780" s="16">
        <v>907</v>
      </c>
      <c r="C780" s="20" t="s">
        <v>491</v>
      </c>
      <c r="D780" s="20" t="s">
        <v>118</v>
      </c>
      <c r="E780" s="20" t="s">
        <v>1271</v>
      </c>
      <c r="F780" s="20" t="s">
        <v>273</v>
      </c>
      <c r="G780" s="467">
        <f t="shared" si="74"/>
        <v>36</v>
      </c>
      <c r="H780" s="467">
        <f t="shared" si="74"/>
        <v>36</v>
      </c>
      <c r="I780" s="204"/>
    </row>
    <row r="781" spans="1:9" ht="15.75" x14ac:dyDescent="0.25">
      <c r="A781" s="466" t="s">
        <v>274</v>
      </c>
      <c r="B781" s="16">
        <v>907</v>
      </c>
      <c r="C781" s="20" t="s">
        <v>491</v>
      </c>
      <c r="D781" s="20" t="s">
        <v>118</v>
      </c>
      <c r="E781" s="20" t="s">
        <v>1271</v>
      </c>
      <c r="F781" s="20" t="s">
        <v>275</v>
      </c>
      <c r="G781" s="467">
        <f>36</f>
        <v>36</v>
      </c>
      <c r="H781" s="467">
        <f t="shared" si="73"/>
        <v>36</v>
      </c>
      <c r="I781" s="204"/>
    </row>
    <row r="782" spans="1:9" ht="31.5" x14ac:dyDescent="0.25">
      <c r="A782" s="464" t="s">
        <v>947</v>
      </c>
      <c r="B782" s="19">
        <v>907</v>
      </c>
      <c r="C782" s="24" t="s">
        <v>491</v>
      </c>
      <c r="D782" s="24" t="s">
        <v>118</v>
      </c>
      <c r="E782" s="24" t="s">
        <v>1272</v>
      </c>
      <c r="F782" s="24"/>
      <c r="G782" s="463">
        <f>G783+G786</f>
        <v>1204</v>
      </c>
      <c r="H782" s="463">
        <f>H783+H786</f>
        <v>1204</v>
      </c>
      <c r="I782" s="204"/>
    </row>
    <row r="783" spans="1:9" ht="31.5" hidden="1" x14ac:dyDescent="0.25">
      <c r="A783" s="466" t="s">
        <v>791</v>
      </c>
      <c r="B783" s="16">
        <v>907</v>
      </c>
      <c r="C783" s="20" t="s">
        <v>491</v>
      </c>
      <c r="D783" s="20" t="s">
        <v>118</v>
      </c>
      <c r="E783" s="20" t="s">
        <v>1310</v>
      </c>
      <c r="F783" s="20"/>
      <c r="G783" s="467">
        <f>G784</f>
        <v>0</v>
      </c>
      <c r="H783" s="467">
        <f t="shared" si="73"/>
        <v>0</v>
      </c>
      <c r="I783" s="204"/>
    </row>
    <row r="784" spans="1:9" ht="31.5" hidden="1" x14ac:dyDescent="0.25">
      <c r="A784" s="466" t="s">
        <v>272</v>
      </c>
      <c r="B784" s="16">
        <v>907</v>
      </c>
      <c r="C784" s="20" t="s">
        <v>491</v>
      </c>
      <c r="D784" s="20" t="s">
        <v>118</v>
      </c>
      <c r="E784" s="20" t="s">
        <v>1310</v>
      </c>
      <c r="F784" s="20" t="s">
        <v>273</v>
      </c>
      <c r="G784" s="467">
        <f>G785</f>
        <v>0</v>
      </c>
      <c r="H784" s="467">
        <f t="shared" si="73"/>
        <v>0</v>
      </c>
      <c r="I784" s="204"/>
    </row>
    <row r="785" spans="1:9" ht="15.75" hidden="1" x14ac:dyDescent="0.25">
      <c r="A785" s="466" t="s">
        <v>274</v>
      </c>
      <c r="B785" s="16">
        <v>907</v>
      </c>
      <c r="C785" s="20" t="s">
        <v>491</v>
      </c>
      <c r="D785" s="20" t="s">
        <v>118</v>
      </c>
      <c r="E785" s="20" t="s">
        <v>1310</v>
      </c>
      <c r="F785" s="20" t="s">
        <v>275</v>
      </c>
      <c r="G785" s="467">
        <v>0</v>
      </c>
      <c r="H785" s="467">
        <f t="shared" si="73"/>
        <v>0</v>
      </c>
      <c r="I785" s="204"/>
    </row>
    <row r="786" spans="1:9" ht="31.5" x14ac:dyDescent="0.25">
      <c r="A786" s="45" t="s">
        <v>764</v>
      </c>
      <c r="B786" s="16">
        <v>907</v>
      </c>
      <c r="C786" s="20" t="s">
        <v>491</v>
      </c>
      <c r="D786" s="20" t="s">
        <v>118</v>
      </c>
      <c r="E786" s="20" t="s">
        <v>1273</v>
      </c>
      <c r="F786" s="20"/>
      <c r="G786" s="467">
        <f>G787</f>
        <v>1204</v>
      </c>
      <c r="H786" s="467">
        <f>H787</f>
        <v>1204</v>
      </c>
      <c r="I786" s="204"/>
    </row>
    <row r="787" spans="1:9" ht="31.5" x14ac:dyDescent="0.25">
      <c r="A787" s="31" t="s">
        <v>272</v>
      </c>
      <c r="B787" s="16">
        <v>907</v>
      </c>
      <c r="C787" s="20" t="s">
        <v>491</v>
      </c>
      <c r="D787" s="20" t="s">
        <v>118</v>
      </c>
      <c r="E787" s="20" t="s">
        <v>1273</v>
      </c>
      <c r="F787" s="20" t="s">
        <v>273</v>
      </c>
      <c r="G787" s="467">
        <f>G788</f>
        <v>1204</v>
      </c>
      <c r="H787" s="467">
        <f>H788</f>
        <v>1204</v>
      </c>
      <c r="I787" s="204"/>
    </row>
    <row r="788" spans="1:9" ht="15.75" x14ac:dyDescent="0.25">
      <c r="A788" s="31" t="s">
        <v>274</v>
      </c>
      <c r="B788" s="16">
        <v>907</v>
      </c>
      <c r="C788" s="20" t="s">
        <v>491</v>
      </c>
      <c r="D788" s="20" t="s">
        <v>118</v>
      </c>
      <c r="E788" s="20" t="s">
        <v>1273</v>
      </c>
      <c r="F788" s="20" t="s">
        <v>275</v>
      </c>
      <c r="G788" s="467">
        <v>1204</v>
      </c>
      <c r="H788" s="467">
        <f t="shared" si="73"/>
        <v>1204</v>
      </c>
      <c r="I788" s="204"/>
    </row>
    <row r="789" spans="1:9" ht="47.25" x14ac:dyDescent="0.25">
      <c r="A789" s="464" t="s">
        <v>900</v>
      </c>
      <c r="B789" s="19">
        <v>907</v>
      </c>
      <c r="C789" s="24" t="s">
        <v>491</v>
      </c>
      <c r="D789" s="24" t="s">
        <v>118</v>
      </c>
      <c r="E789" s="24" t="s">
        <v>1274</v>
      </c>
      <c r="F789" s="24"/>
      <c r="G789" s="463">
        <f>G790</f>
        <v>813.5</v>
      </c>
      <c r="H789" s="463">
        <f>H790</f>
        <v>813.5</v>
      </c>
      <c r="I789" s="204"/>
    </row>
    <row r="790" spans="1:9" ht="94.5" x14ac:dyDescent="0.25">
      <c r="A790" s="31" t="s">
        <v>464</v>
      </c>
      <c r="B790" s="16">
        <v>907</v>
      </c>
      <c r="C790" s="20" t="s">
        <v>491</v>
      </c>
      <c r="D790" s="20" t="s">
        <v>118</v>
      </c>
      <c r="E790" s="20" t="s">
        <v>1413</v>
      </c>
      <c r="F790" s="20"/>
      <c r="G790" s="467">
        <f t="shared" ref="G790:H791" si="75">G791</f>
        <v>813.5</v>
      </c>
      <c r="H790" s="467">
        <f t="shared" si="75"/>
        <v>813.5</v>
      </c>
      <c r="I790" s="204"/>
    </row>
    <row r="791" spans="1:9" ht="31.5" x14ac:dyDescent="0.25">
      <c r="A791" s="466" t="s">
        <v>272</v>
      </c>
      <c r="B791" s="16">
        <v>907</v>
      </c>
      <c r="C791" s="20" t="s">
        <v>491</v>
      </c>
      <c r="D791" s="20" t="s">
        <v>118</v>
      </c>
      <c r="E791" s="20" t="s">
        <v>1413</v>
      </c>
      <c r="F791" s="20" t="s">
        <v>273</v>
      </c>
      <c r="G791" s="467">
        <f t="shared" si="75"/>
        <v>813.5</v>
      </c>
      <c r="H791" s="467">
        <f t="shared" si="75"/>
        <v>813.5</v>
      </c>
      <c r="I791" s="204"/>
    </row>
    <row r="792" spans="1:9" ht="15.75" x14ac:dyDescent="0.25">
      <c r="A792" s="466" t="s">
        <v>274</v>
      </c>
      <c r="B792" s="16">
        <v>907</v>
      </c>
      <c r="C792" s="20" t="s">
        <v>491</v>
      </c>
      <c r="D792" s="20" t="s">
        <v>118</v>
      </c>
      <c r="E792" s="20" t="s">
        <v>1413</v>
      </c>
      <c r="F792" s="20" t="s">
        <v>275</v>
      </c>
      <c r="G792" s="467">
        <f>813.5</f>
        <v>813.5</v>
      </c>
      <c r="H792" s="467">
        <f t="shared" si="73"/>
        <v>813.5</v>
      </c>
      <c r="I792" s="253">
        <f>12177.1/11326*870.2</f>
        <v>935.59177291188428</v>
      </c>
    </row>
    <row r="793" spans="1:9" s="203" customFormat="1" ht="47.25" x14ac:dyDescent="0.25">
      <c r="A793" s="34" t="s">
        <v>1368</v>
      </c>
      <c r="B793" s="19">
        <v>907</v>
      </c>
      <c r="C793" s="24" t="s">
        <v>491</v>
      </c>
      <c r="D793" s="24" t="s">
        <v>118</v>
      </c>
      <c r="E793" s="24" t="s">
        <v>324</v>
      </c>
      <c r="F793" s="24"/>
      <c r="G793" s="463">
        <f t="shared" ref="G793:H796" si="76">G794</f>
        <v>0</v>
      </c>
      <c r="H793" s="463">
        <f t="shared" si="76"/>
        <v>8</v>
      </c>
      <c r="I793" s="253"/>
    </row>
    <row r="794" spans="1:9" s="203" customFormat="1" ht="63" x14ac:dyDescent="0.25">
      <c r="A794" s="34" t="s">
        <v>1009</v>
      </c>
      <c r="B794" s="19">
        <v>907</v>
      </c>
      <c r="C794" s="24" t="s">
        <v>491</v>
      </c>
      <c r="D794" s="24" t="s">
        <v>118</v>
      </c>
      <c r="E794" s="24" t="s">
        <v>934</v>
      </c>
      <c r="F794" s="24"/>
      <c r="G794" s="463">
        <f t="shared" si="76"/>
        <v>0</v>
      </c>
      <c r="H794" s="463">
        <f t="shared" si="76"/>
        <v>8</v>
      </c>
      <c r="I794" s="253"/>
    </row>
    <row r="795" spans="1:9" s="203" customFormat="1" ht="47.25" x14ac:dyDescent="0.25">
      <c r="A795" s="31" t="s">
        <v>1084</v>
      </c>
      <c r="B795" s="16">
        <v>907</v>
      </c>
      <c r="C795" s="20" t="s">
        <v>491</v>
      </c>
      <c r="D795" s="20" t="s">
        <v>118</v>
      </c>
      <c r="E795" s="20" t="s">
        <v>935</v>
      </c>
      <c r="F795" s="20"/>
      <c r="G795" s="467">
        <f t="shared" si="76"/>
        <v>0</v>
      </c>
      <c r="H795" s="467">
        <f t="shared" si="76"/>
        <v>8</v>
      </c>
      <c r="I795" s="253"/>
    </row>
    <row r="796" spans="1:9" s="203" customFormat="1" ht="31.5" x14ac:dyDescent="0.25">
      <c r="A796" s="466" t="s">
        <v>131</v>
      </c>
      <c r="B796" s="16">
        <v>907</v>
      </c>
      <c r="C796" s="20" t="s">
        <v>491</v>
      </c>
      <c r="D796" s="20" t="s">
        <v>118</v>
      </c>
      <c r="E796" s="20" t="s">
        <v>935</v>
      </c>
      <c r="F796" s="20" t="s">
        <v>273</v>
      </c>
      <c r="G796" s="467">
        <f t="shared" si="76"/>
        <v>0</v>
      </c>
      <c r="H796" s="467">
        <f t="shared" si="76"/>
        <v>8</v>
      </c>
      <c r="I796" s="253"/>
    </row>
    <row r="797" spans="1:9" s="203" customFormat="1" ht="31.5" x14ac:dyDescent="0.25">
      <c r="A797" s="466" t="s">
        <v>133</v>
      </c>
      <c r="B797" s="16">
        <v>907</v>
      </c>
      <c r="C797" s="20" t="s">
        <v>491</v>
      </c>
      <c r="D797" s="20" t="s">
        <v>118</v>
      </c>
      <c r="E797" s="20" t="s">
        <v>935</v>
      </c>
      <c r="F797" s="20" t="s">
        <v>275</v>
      </c>
      <c r="G797" s="467">
        <v>0</v>
      </c>
      <c r="H797" s="467">
        <v>8</v>
      </c>
      <c r="I797" s="253"/>
    </row>
    <row r="798" spans="1:9" ht="47.25" x14ac:dyDescent="0.25">
      <c r="A798" s="470" t="s">
        <v>1363</v>
      </c>
      <c r="B798" s="19">
        <v>907</v>
      </c>
      <c r="C798" s="24" t="s">
        <v>491</v>
      </c>
      <c r="D798" s="24" t="s">
        <v>118</v>
      </c>
      <c r="E798" s="24" t="s">
        <v>705</v>
      </c>
      <c r="F798" s="221"/>
      <c r="G798" s="463">
        <f t="shared" ref="G798:H801" si="77">G799</f>
        <v>579.1</v>
      </c>
      <c r="H798" s="463">
        <f t="shared" si="77"/>
        <v>602.29999999999995</v>
      </c>
      <c r="I798" s="204"/>
    </row>
    <row r="799" spans="1:9" ht="47.25" x14ac:dyDescent="0.25">
      <c r="A799" s="470" t="s">
        <v>890</v>
      </c>
      <c r="B799" s="19">
        <v>907</v>
      </c>
      <c r="C799" s="24" t="s">
        <v>491</v>
      </c>
      <c r="D799" s="24" t="s">
        <v>118</v>
      </c>
      <c r="E799" s="24" t="s">
        <v>888</v>
      </c>
      <c r="F799" s="221"/>
      <c r="G799" s="463">
        <f t="shared" si="77"/>
        <v>579.1</v>
      </c>
      <c r="H799" s="463">
        <f t="shared" si="77"/>
        <v>602.29999999999995</v>
      </c>
      <c r="I799" s="204"/>
    </row>
    <row r="800" spans="1:9" ht="47.25" x14ac:dyDescent="0.25">
      <c r="A800" s="98" t="s">
        <v>780</v>
      </c>
      <c r="B800" s="16">
        <v>907</v>
      </c>
      <c r="C800" s="20" t="s">
        <v>491</v>
      </c>
      <c r="D800" s="20" t="s">
        <v>118</v>
      </c>
      <c r="E800" s="20" t="s">
        <v>936</v>
      </c>
      <c r="F800" s="32"/>
      <c r="G800" s="467">
        <f t="shared" si="77"/>
        <v>579.1</v>
      </c>
      <c r="H800" s="467">
        <f t="shared" si="77"/>
        <v>602.29999999999995</v>
      </c>
      <c r="I800" s="204"/>
    </row>
    <row r="801" spans="1:9" ht="31.5" x14ac:dyDescent="0.25">
      <c r="A801" s="29" t="s">
        <v>272</v>
      </c>
      <c r="B801" s="16">
        <v>907</v>
      </c>
      <c r="C801" s="20" t="s">
        <v>491</v>
      </c>
      <c r="D801" s="20" t="s">
        <v>118</v>
      </c>
      <c r="E801" s="20" t="s">
        <v>936</v>
      </c>
      <c r="F801" s="32" t="s">
        <v>273</v>
      </c>
      <c r="G801" s="467">
        <f t="shared" si="77"/>
        <v>579.1</v>
      </c>
      <c r="H801" s="467">
        <f t="shared" si="77"/>
        <v>602.29999999999995</v>
      </c>
      <c r="I801" s="204"/>
    </row>
    <row r="802" spans="1:9" ht="15.75" x14ac:dyDescent="0.25">
      <c r="A802" s="182" t="s">
        <v>274</v>
      </c>
      <c r="B802" s="16">
        <v>907</v>
      </c>
      <c r="C802" s="20" t="s">
        <v>491</v>
      </c>
      <c r="D802" s="20" t="s">
        <v>118</v>
      </c>
      <c r="E802" s="20" t="s">
        <v>936</v>
      </c>
      <c r="F802" s="32" t="s">
        <v>275</v>
      </c>
      <c r="G802" s="467">
        <v>579.1</v>
      </c>
      <c r="H802" s="467">
        <v>602.29999999999995</v>
      </c>
      <c r="I802" s="204"/>
    </row>
    <row r="803" spans="1:9" ht="31.5" x14ac:dyDescent="0.25">
      <c r="A803" s="464" t="s">
        <v>500</v>
      </c>
      <c r="B803" s="19">
        <v>907</v>
      </c>
      <c r="C803" s="24" t="s">
        <v>491</v>
      </c>
      <c r="D803" s="24" t="s">
        <v>234</v>
      </c>
      <c r="E803" s="24"/>
      <c r="F803" s="24"/>
      <c r="G803" s="463">
        <f>G804+G812+G824</f>
        <v>13529.2</v>
      </c>
      <c r="H803" s="463">
        <f>H804+H812+H824</f>
        <v>13529.2</v>
      </c>
      <c r="I803" s="204"/>
    </row>
    <row r="804" spans="1:9" ht="31.5" x14ac:dyDescent="0.25">
      <c r="A804" s="464" t="s">
        <v>917</v>
      </c>
      <c r="B804" s="19">
        <v>907</v>
      </c>
      <c r="C804" s="24" t="s">
        <v>491</v>
      </c>
      <c r="D804" s="24" t="s">
        <v>234</v>
      </c>
      <c r="E804" s="24" t="s">
        <v>858</v>
      </c>
      <c r="F804" s="24"/>
      <c r="G804" s="463">
        <f>G805</f>
        <v>5224.5</v>
      </c>
      <c r="H804" s="463">
        <f>H805</f>
        <v>5224.5</v>
      </c>
      <c r="I804" s="204"/>
    </row>
    <row r="805" spans="1:9" ht="15.75" x14ac:dyDescent="0.25">
      <c r="A805" s="464" t="s">
        <v>918</v>
      </c>
      <c r="B805" s="19">
        <v>907</v>
      </c>
      <c r="C805" s="24" t="s">
        <v>491</v>
      </c>
      <c r="D805" s="24" t="s">
        <v>234</v>
      </c>
      <c r="E805" s="24" t="s">
        <v>859</v>
      </c>
      <c r="F805" s="24"/>
      <c r="G805" s="463">
        <f>G806+G809</f>
        <v>5224.5</v>
      </c>
      <c r="H805" s="463">
        <f>H806+H809</f>
        <v>5224.5</v>
      </c>
      <c r="I805" s="204"/>
    </row>
    <row r="806" spans="1:9" ht="31.5" x14ac:dyDescent="0.25">
      <c r="A806" s="466" t="s">
        <v>897</v>
      </c>
      <c r="B806" s="16">
        <v>907</v>
      </c>
      <c r="C806" s="20" t="s">
        <v>491</v>
      </c>
      <c r="D806" s="20" t="s">
        <v>234</v>
      </c>
      <c r="E806" s="20" t="s">
        <v>860</v>
      </c>
      <c r="F806" s="20"/>
      <c r="G806" s="467">
        <f>G807</f>
        <v>4888.5</v>
      </c>
      <c r="H806" s="467">
        <f>H807</f>
        <v>4888.5</v>
      </c>
      <c r="I806" s="204"/>
    </row>
    <row r="807" spans="1:9" ht="78.75" x14ac:dyDescent="0.25">
      <c r="A807" s="466" t="s">
        <v>127</v>
      </c>
      <c r="B807" s="16">
        <v>907</v>
      </c>
      <c r="C807" s="20" t="s">
        <v>491</v>
      </c>
      <c r="D807" s="20" t="s">
        <v>234</v>
      </c>
      <c r="E807" s="20" t="s">
        <v>860</v>
      </c>
      <c r="F807" s="20" t="s">
        <v>128</v>
      </c>
      <c r="G807" s="467">
        <f>G808</f>
        <v>4888.5</v>
      </c>
      <c r="H807" s="467">
        <f>H808</f>
        <v>4888.5</v>
      </c>
      <c r="I807" s="204"/>
    </row>
    <row r="808" spans="1:9" ht="31.5" x14ac:dyDescent="0.25">
      <c r="A808" s="466" t="s">
        <v>129</v>
      </c>
      <c r="B808" s="16">
        <v>907</v>
      </c>
      <c r="C808" s="20" t="s">
        <v>491</v>
      </c>
      <c r="D808" s="20" t="s">
        <v>234</v>
      </c>
      <c r="E808" s="20" t="s">
        <v>860</v>
      </c>
      <c r="F808" s="20" t="s">
        <v>130</v>
      </c>
      <c r="G808" s="467">
        <v>4888.5</v>
      </c>
      <c r="H808" s="467">
        <f t="shared" si="73"/>
        <v>4888.5</v>
      </c>
      <c r="I808" s="204"/>
    </row>
    <row r="809" spans="1:9" ht="47.25" x14ac:dyDescent="0.25">
      <c r="A809" s="466" t="s">
        <v>839</v>
      </c>
      <c r="B809" s="16">
        <v>907</v>
      </c>
      <c r="C809" s="20" t="s">
        <v>491</v>
      </c>
      <c r="D809" s="20" t="s">
        <v>234</v>
      </c>
      <c r="E809" s="20" t="s">
        <v>862</v>
      </c>
      <c r="F809" s="20"/>
      <c r="G809" s="467">
        <f>G810</f>
        <v>336</v>
      </c>
      <c r="H809" s="467">
        <f>H810</f>
        <v>336</v>
      </c>
      <c r="I809" s="204"/>
    </row>
    <row r="810" spans="1:9" ht="78.75" x14ac:dyDescent="0.25">
      <c r="A810" s="466" t="s">
        <v>127</v>
      </c>
      <c r="B810" s="16">
        <v>907</v>
      </c>
      <c r="C810" s="20" t="s">
        <v>491</v>
      </c>
      <c r="D810" s="20" t="s">
        <v>234</v>
      </c>
      <c r="E810" s="20" t="s">
        <v>862</v>
      </c>
      <c r="F810" s="20" t="s">
        <v>128</v>
      </c>
      <c r="G810" s="467">
        <f>G811</f>
        <v>336</v>
      </c>
      <c r="H810" s="467">
        <f>H811</f>
        <v>336</v>
      </c>
      <c r="I810" s="204"/>
    </row>
    <row r="811" spans="1:9" ht="31.5" x14ac:dyDescent="0.25">
      <c r="A811" s="466" t="s">
        <v>129</v>
      </c>
      <c r="B811" s="16">
        <v>907</v>
      </c>
      <c r="C811" s="20" t="s">
        <v>491</v>
      </c>
      <c r="D811" s="20" t="s">
        <v>234</v>
      </c>
      <c r="E811" s="20" t="s">
        <v>862</v>
      </c>
      <c r="F811" s="20" t="s">
        <v>130</v>
      </c>
      <c r="G811" s="467">
        <v>336</v>
      </c>
      <c r="H811" s="467">
        <f t="shared" si="73"/>
        <v>336</v>
      </c>
      <c r="I811" s="204"/>
    </row>
    <row r="812" spans="1:9" ht="15.75" x14ac:dyDescent="0.25">
      <c r="A812" s="464" t="s">
        <v>141</v>
      </c>
      <c r="B812" s="19">
        <v>907</v>
      </c>
      <c r="C812" s="24" t="s">
        <v>491</v>
      </c>
      <c r="D812" s="24" t="s">
        <v>234</v>
      </c>
      <c r="E812" s="24" t="s">
        <v>866</v>
      </c>
      <c r="F812" s="24"/>
      <c r="G812" s="463">
        <f>G813</f>
        <v>5304.7</v>
      </c>
      <c r="H812" s="463">
        <f>H813</f>
        <v>5304.7</v>
      </c>
      <c r="I812" s="204"/>
    </row>
    <row r="813" spans="1:9" ht="31.5" x14ac:dyDescent="0.25">
      <c r="A813" s="464" t="s">
        <v>929</v>
      </c>
      <c r="B813" s="19">
        <v>907</v>
      </c>
      <c r="C813" s="24" t="s">
        <v>491</v>
      </c>
      <c r="D813" s="24" t="s">
        <v>234</v>
      </c>
      <c r="E813" s="24" t="s">
        <v>914</v>
      </c>
      <c r="F813" s="24"/>
      <c r="G813" s="463">
        <f>G814+G821</f>
        <v>5304.7</v>
      </c>
      <c r="H813" s="463">
        <f>H814+H821</f>
        <v>5304.7</v>
      </c>
      <c r="I813" s="204"/>
    </row>
    <row r="814" spans="1:9" ht="31.5" x14ac:dyDescent="0.25">
      <c r="A814" s="466" t="s">
        <v>903</v>
      </c>
      <c r="B814" s="16">
        <v>907</v>
      </c>
      <c r="C814" s="20" t="s">
        <v>491</v>
      </c>
      <c r="D814" s="20" t="s">
        <v>234</v>
      </c>
      <c r="E814" s="20" t="s">
        <v>915</v>
      </c>
      <c r="F814" s="20"/>
      <c r="G814" s="467">
        <f>G815+G817+G819</f>
        <v>5089.7</v>
      </c>
      <c r="H814" s="467">
        <f>H815+H817+H819</f>
        <v>5089.7</v>
      </c>
      <c r="I814" s="204"/>
    </row>
    <row r="815" spans="1:9" ht="78.75" x14ac:dyDescent="0.25">
      <c r="A815" s="466" t="s">
        <v>127</v>
      </c>
      <c r="B815" s="16">
        <v>907</v>
      </c>
      <c r="C815" s="20" t="s">
        <v>491</v>
      </c>
      <c r="D815" s="20" t="s">
        <v>234</v>
      </c>
      <c r="E815" s="20" t="s">
        <v>915</v>
      </c>
      <c r="F815" s="20" t="s">
        <v>128</v>
      </c>
      <c r="G815" s="467">
        <f>G816</f>
        <v>4695.3999999999996</v>
      </c>
      <c r="H815" s="467">
        <f>H816</f>
        <v>4695.3999999999996</v>
      </c>
      <c r="I815" s="204"/>
    </row>
    <row r="816" spans="1:9" ht="19.5" customHeight="1" x14ac:dyDescent="0.25">
      <c r="A816" s="466" t="s">
        <v>342</v>
      </c>
      <c r="B816" s="16">
        <v>907</v>
      </c>
      <c r="C816" s="20" t="s">
        <v>491</v>
      </c>
      <c r="D816" s="20" t="s">
        <v>234</v>
      </c>
      <c r="E816" s="20" t="s">
        <v>915</v>
      </c>
      <c r="F816" s="20" t="s">
        <v>209</v>
      </c>
      <c r="G816" s="467">
        <v>4695.3999999999996</v>
      </c>
      <c r="H816" s="467">
        <f t="shared" si="73"/>
        <v>4695.3999999999996</v>
      </c>
      <c r="I816" s="204"/>
    </row>
    <row r="817" spans="1:13" ht="31.5" x14ac:dyDescent="0.25">
      <c r="A817" s="466" t="s">
        <v>131</v>
      </c>
      <c r="B817" s="16">
        <v>907</v>
      </c>
      <c r="C817" s="20" t="s">
        <v>491</v>
      </c>
      <c r="D817" s="20" t="s">
        <v>234</v>
      </c>
      <c r="E817" s="20" t="s">
        <v>915</v>
      </c>
      <c r="F817" s="20" t="s">
        <v>132</v>
      </c>
      <c r="G817" s="467">
        <f>G818</f>
        <v>343.3</v>
      </c>
      <c r="H817" s="467">
        <f>H818</f>
        <v>343.3</v>
      </c>
      <c r="I817" s="204"/>
    </row>
    <row r="818" spans="1:13" ht="31.5" x14ac:dyDescent="0.25">
      <c r="A818" s="466" t="s">
        <v>133</v>
      </c>
      <c r="B818" s="16">
        <v>907</v>
      </c>
      <c r="C818" s="20" t="s">
        <v>491</v>
      </c>
      <c r="D818" s="20" t="s">
        <v>234</v>
      </c>
      <c r="E818" s="20" t="s">
        <v>915</v>
      </c>
      <c r="F818" s="20" t="s">
        <v>134</v>
      </c>
      <c r="G818" s="467">
        <v>343.3</v>
      </c>
      <c r="H818" s="467">
        <f t="shared" si="73"/>
        <v>343.3</v>
      </c>
      <c r="I818" s="204"/>
    </row>
    <row r="819" spans="1:13" ht="15.75" x14ac:dyDescent="0.25">
      <c r="A819" s="466" t="s">
        <v>135</v>
      </c>
      <c r="B819" s="16">
        <v>907</v>
      </c>
      <c r="C819" s="20" t="s">
        <v>491</v>
      </c>
      <c r="D819" s="20" t="s">
        <v>234</v>
      </c>
      <c r="E819" s="20" t="s">
        <v>915</v>
      </c>
      <c r="F819" s="20" t="s">
        <v>145</v>
      </c>
      <c r="G819" s="467">
        <f>G820</f>
        <v>51</v>
      </c>
      <c r="H819" s="467">
        <f>H820</f>
        <v>51</v>
      </c>
      <c r="I819" s="204"/>
    </row>
    <row r="820" spans="1:13" ht="15.75" x14ac:dyDescent="0.25">
      <c r="A820" s="466" t="s">
        <v>568</v>
      </c>
      <c r="B820" s="16">
        <v>907</v>
      </c>
      <c r="C820" s="20" t="s">
        <v>491</v>
      </c>
      <c r="D820" s="20" t="s">
        <v>234</v>
      </c>
      <c r="E820" s="20" t="s">
        <v>915</v>
      </c>
      <c r="F820" s="20" t="s">
        <v>138</v>
      </c>
      <c r="G820" s="467">
        <f>51</f>
        <v>51</v>
      </c>
      <c r="H820" s="467">
        <f t="shared" si="73"/>
        <v>51</v>
      </c>
      <c r="I820" s="204"/>
    </row>
    <row r="821" spans="1:13" ht="47.25" x14ac:dyDescent="0.25">
      <c r="A821" s="466" t="s">
        <v>839</v>
      </c>
      <c r="B821" s="16">
        <v>907</v>
      </c>
      <c r="C821" s="20" t="s">
        <v>491</v>
      </c>
      <c r="D821" s="20" t="s">
        <v>234</v>
      </c>
      <c r="E821" s="20" t="s">
        <v>916</v>
      </c>
      <c r="F821" s="20"/>
      <c r="G821" s="467">
        <f>G822</f>
        <v>215</v>
      </c>
      <c r="H821" s="467">
        <f>H822</f>
        <v>215</v>
      </c>
      <c r="I821" s="204"/>
    </row>
    <row r="822" spans="1:13" ht="78.75" x14ac:dyDescent="0.25">
      <c r="A822" s="466" t="s">
        <v>127</v>
      </c>
      <c r="B822" s="16">
        <v>907</v>
      </c>
      <c r="C822" s="20" t="s">
        <v>491</v>
      </c>
      <c r="D822" s="20" t="s">
        <v>234</v>
      </c>
      <c r="E822" s="20" t="s">
        <v>916</v>
      </c>
      <c r="F822" s="20" t="s">
        <v>128</v>
      </c>
      <c r="G822" s="467">
        <f>G823</f>
        <v>215</v>
      </c>
      <c r="H822" s="467">
        <f>H823</f>
        <v>215</v>
      </c>
      <c r="I822" s="204"/>
    </row>
    <row r="823" spans="1:13" ht="19.5" customHeight="1" x14ac:dyDescent="0.25">
      <c r="A823" s="466" t="s">
        <v>342</v>
      </c>
      <c r="B823" s="16">
        <v>907</v>
      </c>
      <c r="C823" s="20" t="s">
        <v>491</v>
      </c>
      <c r="D823" s="20" t="s">
        <v>234</v>
      </c>
      <c r="E823" s="20" t="s">
        <v>916</v>
      </c>
      <c r="F823" s="20" t="s">
        <v>209</v>
      </c>
      <c r="G823" s="467">
        <v>215</v>
      </c>
      <c r="H823" s="467">
        <f t="shared" si="73"/>
        <v>215</v>
      </c>
      <c r="I823" s="204"/>
    </row>
    <row r="824" spans="1:13" ht="47.25" x14ac:dyDescent="0.25">
      <c r="A824" s="470" t="s">
        <v>1380</v>
      </c>
      <c r="B824" s="19">
        <v>907</v>
      </c>
      <c r="C824" s="24" t="s">
        <v>491</v>
      </c>
      <c r="D824" s="24" t="s">
        <v>234</v>
      </c>
      <c r="E824" s="7" t="s">
        <v>482</v>
      </c>
      <c r="F824" s="24"/>
      <c r="G824" s="463">
        <f>G825</f>
        <v>3000</v>
      </c>
      <c r="H824" s="463">
        <f>H825</f>
        <v>3000</v>
      </c>
      <c r="I824" s="204"/>
    </row>
    <row r="825" spans="1:13" ht="31.5" x14ac:dyDescent="0.25">
      <c r="A825" s="58" t="s">
        <v>951</v>
      </c>
      <c r="B825" s="19">
        <v>907</v>
      </c>
      <c r="C825" s="24" t="s">
        <v>491</v>
      </c>
      <c r="D825" s="24" t="s">
        <v>234</v>
      </c>
      <c r="E825" s="7" t="s">
        <v>1276</v>
      </c>
      <c r="F825" s="24"/>
      <c r="G825" s="463">
        <f t="shared" ref="G825:H825" si="78">G826</f>
        <v>3000</v>
      </c>
      <c r="H825" s="463">
        <f t="shared" si="78"/>
        <v>3000</v>
      </c>
      <c r="I825" s="204"/>
    </row>
    <row r="826" spans="1:13" ht="15.75" x14ac:dyDescent="0.25">
      <c r="A826" s="29" t="s">
        <v>952</v>
      </c>
      <c r="B826" s="16">
        <v>907</v>
      </c>
      <c r="C826" s="20" t="s">
        <v>491</v>
      </c>
      <c r="D826" s="20" t="s">
        <v>234</v>
      </c>
      <c r="E826" s="40" t="s">
        <v>1277</v>
      </c>
      <c r="F826" s="20"/>
      <c r="G826" s="467">
        <f>G827+G829</f>
        <v>3000</v>
      </c>
      <c r="H826" s="467">
        <f>H827+H829</f>
        <v>3000</v>
      </c>
      <c r="I826" s="204"/>
    </row>
    <row r="827" spans="1:13" ht="78.75" x14ac:dyDescent="0.25">
      <c r="A827" s="466" t="s">
        <v>127</v>
      </c>
      <c r="B827" s="16">
        <v>907</v>
      </c>
      <c r="C827" s="20" t="s">
        <v>491</v>
      </c>
      <c r="D827" s="20" t="s">
        <v>234</v>
      </c>
      <c r="E827" s="40" t="s">
        <v>1277</v>
      </c>
      <c r="F827" s="20" t="s">
        <v>128</v>
      </c>
      <c r="G827" s="467">
        <f>G828</f>
        <v>2500</v>
      </c>
      <c r="H827" s="467">
        <f>H828</f>
        <v>2500</v>
      </c>
      <c r="I827" s="204"/>
    </row>
    <row r="828" spans="1:13" ht="31.5" x14ac:dyDescent="0.25">
      <c r="A828" s="466" t="s">
        <v>342</v>
      </c>
      <c r="B828" s="16">
        <v>907</v>
      </c>
      <c r="C828" s="20" t="s">
        <v>491</v>
      </c>
      <c r="D828" s="20" t="s">
        <v>234</v>
      </c>
      <c r="E828" s="40" t="s">
        <v>1277</v>
      </c>
      <c r="F828" s="20" t="s">
        <v>209</v>
      </c>
      <c r="G828" s="467">
        <v>2500</v>
      </c>
      <c r="H828" s="467">
        <v>2500</v>
      </c>
      <c r="I828" s="204"/>
    </row>
    <row r="829" spans="1:13" ht="31.5" x14ac:dyDescent="0.25">
      <c r="A829" s="29" t="s">
        <v>131</v>
      </c>
      <c r="B829" s="16">
        <v>907</v>
      </c>
      <c r="C829" s="20" t="s">
        <v>491</v>
      </c>
      <c r="D829" s="20" t="s">
        <v>234</v>
      </c>
      <c r="E829" s="40" t="s">
        <v>1277</v>
      </c>
      <c r="F829" s="20" t="s">
        <v>132</v>
      </c>
      <c r="G829" s="467">
        <f>G830</f>
        <v>500</v>
      </c>
      <c r="H829" s="467">
        <f>H830</f>
        <v>500</v>
      </c>
      <c r="I829" s="204"/>
    </row>
    <row r="830" spans="1:13" ht="31.5" x14ac:dyDescent="0.25">
      <c r="A830" s="29" t="s">
        <v>133</v>
      </c>
      <c r="B830" s="16">
        <v>907</v>
      </c>
      <c r="C830" s="20" t="s">
        <v>491</v>
      </c>
      <c r="D830" s="20" t="s">
        <v>234</v>
      </c>
      <c r="E830" s="40" t="s">
        <v>1277</v>
      </c>
      <c r="F830" s="20" t="s">
        <v>134</v>
      </c>
      <c r="G830" s="467">
        <f>500</f>
        <v>500</v>
      </c>
      <c r="H830" s="467">
        <f t="shared" si="73"/>
        <v>500</v>
      </c>
      <c r="I830" s="204"/>
    </row>
    <row r="831" spans="1:13" ht="31.5" x14ac:dyDescent="0.25">
      <c r="A831" s="461" t="s">
        <v>504</v>
      </c>
      <c r="B831" s="19">
        <v>908</v>
      </c>
      <c r="C831" s="20"/>
      <c r="D831" s="20"/>
      <c r="E831" s="20"/>
      <c r="F831" s="20"/>
      <c r="G831" s="463">
        <f>G846+G853+G874+G1038+G832</f>
        <v>86100.3</v>
      </c>
      <c r="H831" s="463">
        <f>H846+H853+H874+H1038+H832</f>
        <v>94346.650000000009</v>
      </c>
      <c r="I831" s="204"/>
      <c r="M831" s="22"/>
    </row>
    <row r="832" spans="1:13" ht="15.75" x14ac:dyDescent="0.25">
      <c r="A832" s="34" t="s">
        <v>117</v>
      </c>
      <c r="B832" s="19">
        <v>908</v>
      </c>
      <c r="C832" s="24" t="s">
        <v>118</v>
      </c>
      <c r="D832" s="20"/>
      <c r="E832" s="20"/>
      <c r="F832" s="20"/>
      <c r="G832" s="463">
        <f>G833</f>
        <v>41282.100000000006</v>
      </c>
      <c r="H832" s="463">
        <f t="shared" ref="G832:H834" si="79">H833</f>
        <v>41282.100000000006</v>
      </c>
      <c r="I832" s="204"/>
    </row>
    <row r="833" spans="1:9" ht="15.75" x14ac:dyDescent="0.25">
      <c r="A833" s="34" t="s">
        <v>139</v>
      </c>
      <c r="B833" s="19">
        <v>908</v>
      </c>
      <c r="C833" s="24" t="s">
        <v>118</v>
      </c>
      <c r="D833" s="24" t="s">
        <v>140</v>
      </c>
      <c r="E833" s="20"/>
      <c r="F833" s="20"/>
      <c r="G833" s="463">
        <f t="shared" si="79"/>
        <v>41282.100000000006</v>
      </c>
      <c r="H833" s="463">
        <f t="shared" si="79"/>
        <v>41282.100000000006</v>
      </c>
      <c r="I833" s="204"/>
    </row>
    <row r="834" spans="1:9" ht="15.75" x14ac:dyDescent="0.25">
      <c r="A834" s="464" t="s">
        <v>141</v>
      </c>
      <c r="B834" s="19">
        <v>908</v>
      </c>
      <c r="C834" s="24" t="s">
        <v>118</v>
      </c>
      <c r="D834" s="24" t="s">
        <v>140</v>
      </c>
      <c r="E834" s="24" t="s">
        <v>866</v>
      </c>
      <c r="F834" s="24"/>
      <c r="G834" s="44">
        <f t="shared" si="79"/>
        <v>41282.100000000006</v>
      </c>
      <c r="H834" s="44">
        <f t="shared" si="79"/>
        <v>41282.100000000006</v>
      </c>
      <c r="I834" s="204"/>
    </row>
    <row r="835" spans="1:9" ht="15.75" x14ac:dyDescent="0.25">
      <c r="A835" s="464" t="s">
        <v>954</v>
      </c>
      <c r="B835" s="19">
        <v>908</v>
      </c>
      <c r="C835" s="24" t="s">
        <v>118</v>
      </c>
      <c r="D835" s="24" t="s">
        <v>140</v>
      </c>
      <c r="E835" s="24" t="s">
        <v>953</v>
      </c>
      <c r="F835" s="24"/>
      <c r="G835" s="44">
        <f>G839+G836</f>
        <v>41282.100000000006</v>
      </c>
      <c r="H835" s="44">
        <f>H839+H836</f>
        <v>41282.100000000006</v>
      </c>
      <c r="I835" s="204"/>
    </row>
    <row r="836" spans="1:9" ht="47.25" x14ac:dyDescent="0.25">
      <c r="A836" s="466" t="s">
        <v>839</v>
      </c>
      <c r="B836" s="16">
        <v>908</v>
      </c>
      <c r="C836" s="20" t="s">
        <v>118</v>
      </c>
      <c r="D836" s="20" t="s">
        <v>140</v>
      </c>
      <c r="E836" s="20" t="s">
        <v>956</v>
      </c>
      <c r="F836" s="20"/>
      <c r="G836" s="467">
        <f>G837</f>
        <v>1072</v>
      </c>
      <c r="H836" s="467">
        <f>H837</f>
        <v>1072</v>
      </c>
      <c r="I836" s="204"/>
    </row>
    <row r="837" spans="1:9" ht="78.75" x14ac:dyDescent="0.25">
      <c r="A837" s="466" t="s">
        <v>127</v>
      </c>
      <c r="B837" s="16">
        <v>908</v>
      </c>
      <c r="C837" s="20" t="s">
        <v>118</v>
      </c>
      <c r="D837" s="20" t="s">
        <v>140</v>
      </c>
      <c r="E837" s="20" t="s">
        <v>956</v>
      </c>
      <c r="F837" s="20" t="s">
        <v>128</v>
      </c>
      <c r="G837" s="467">
        <f>G838</f>
        <v>1072</v>
      </c>
      <c r="H837" s="467">
        <f>H838</f>
        <v>1072</v>
      </c>
      <c r="I837" s="204"/>
    </row>
    <row r="838" spans="1:9" ht="31.5" x14ac:dyDescent="0.25">
      <c r="A838" s="466" t="s">
        <v>129</v>
      </c>
      <c r="B838" s="16">
        <v>908</v>
      </c>
      <c r="C838" s="20" t="s">
        <v>118</v>
      </c>
      <c r="D838" s="20" t="s">
        <v>140</v>
      </c>
      <c r="E838" s="20" t="s">
        <v>956</v>
      </c>
      <c r="F838" s="20" t="s">
        <v>209</v>
      </c>
      <c r="G838" s="467">
        <v>1072</v>
      </c>
      <c r="H838" s="467">
        <f t="shared" ref="H838:H901" si="80">G838</f>
        <v>1072</v>
      </c>
      <c r="I838" s="204"/>
    </row>
    <row r="839" spans="1:9" ht="15.75" x14ac:dyDescent="0.25">
      <c r="A839" s="466" t="s">
        <v>801</v>
      </c>
      <c r="B839" s="16">
        <v>908</v>
      </c>
      <c r="C839" s="20" t="s">
        <v>118</v>
      </c>
      <c r="D839" s="20" t="s">
        <v>140</v>
      </c>
      <c r="E839" s="20" t="s">
        <v>955</v>
      </c>
      <c r="F839" s="20"/>
      <c r="G839" s="467">
        <f>G840+G844+G842</f>
        <v>40210.100000000006</v>
      </c>
      <c r="H839" s="467">
        <f>H840+H844+H842</f>
        <v>40210.100000000006</v>
      </c>
      <c r="I839" s="204"/>
    </row>
    <row r="840" spans="1:9" ht="78.75" x14ac:dyDescent="0.25">
      <c r="A840" s="466" t="s">
        <v>127</v>
      </c>
      <c r="B840" s="16">
        <v>908</v>
      </c>
      <c r="C840" s="20" t="s">
        <v>118</v>
      </c>
      <c r="D840" s="20" t="s">
        <v>140</v>
      </c>
      <c r="E840" s="20" t="s">
        <v>955</v>
      </c>
      <c r="F840" s="20" t="s">
        <v>128</v>
      </c>
      <c r="G840" s="467">
        <f>G841</f>
        <v>32825.800000000003</v>
      </c>
      <c r="H840" s="467">
        <f>H841</f>
        <v>32825.800000000003</v>
      </c>
      <c r="I840" s="204"/>
    </row>
    <row r="841" spans="1:9" ht="31.5" x14ac:dyDescent="0.25">
      <c r="A841" s="46" t="s">
        <v>342</v>
      </c>
      <c r="B841" s="16">
        <v>908</v>
      </c>
      <c r="C841" s="20" t="s">
        <v>118</v>
      </c>
      <c r="D841" s="20" t="s">
        <v>140</v>
      </c>
      <c r="E841" s="20" t="s">
        <v>955</v>
      </c>
      <c r="F841" s="20" t="s">
        <v>209</v>
      </c>
      <c r="G841" s="467">
        <v>32825.800000000003</v>
      </c>
      <c r="H841" s="467">
        <f t="shared" si="80"/>
        <v>32825.800000000003</v>
      </c>
      <c r="I841" s="204"/>
    </row>
    <row r="842" spans="1:9" ht="31.5" x14ac:dyDescent="0.25">
      <c r="A842" s="466" t="s">
        <v>131</v>
      </c>
      <c r="B842" s="16">
        <v>908</v>
      </c>
      <c r="C842" s="20" t="s">
        <v>118</v>
      </c>
      <c r="D842" s="20" t="s">
        <v>140</v>
      </c>
      <c r="E842" s="20" t="s">
        <v>955</v>
      </c>
      <c r="F842" s="20" t="s">
        <v>132</v>
      </c>
      <c r="G842" s="467">
        <f>G843</f>
        <v>6963.3</v>
      </c>
      <c r="H842" s="467">
        <f>H843</f>
        <v>6963.3</v>
      </c>
      <c r="I842" s="204"/>
    </row>
    <row r="843" spans="1:9" ht="31.5" x14ac:dyDescent="0.25">
      <c r="A843" s="466" t="s">
        <v>133</v>
      </c>
      <c r="B843" s="16">
        <v>908</v>
      </c>
      <c r="C843" s="20" t="s">
        <v>118</v>
      </c>
      <c r="D843" s="20" t="s">
        <v>140</v>
      </c>
      <c r="E843" s="20" t="s">
        <v>955</v>
      </c>
      <c r="F843" s="20" t="s">
        <v>134</v>
      </c>
      <c r="G843" s="467">
        <v>6963.3</v>
      </c>
      <c r="H843" s="467">
        <f t="shared" si="80"/>
        <v>6963.3</v>
      </c>
      <c r="I843" s="204"/>
    </row>
    <row r="844" spans="1:9" ht="15.75" x14ac:dyDescent="0.25">
      <c r="A844" s="466" t="s">
        <v>135</v>
      </c>
      <c r="B844" s="16">
        <v>908</v>
      </c>
      <c r="C844" s="20" t="s">
        <v>118</v>
      </c>
      <c r="D844" s="20" t="s">
        <v>140</v>
      </c>
      <c r="E844" s="20" t="s">
        <v>955</v>
      </c>
      <c r="F844" s="20" t="s">
        <v>145</v>
      </c>
      <c r="G844" s="467">
        <f>G845</f>
        <v>421</v>
      </c>
      <c r="H844" s="467">
        <f>H845</f>
        <v>421</v>
      </c>
      <c r="I844" s="204"/>
    </row>
    <row r="845" spans="1:9" ht="15.75" x14ac:dyDescent="0.25">
      <c r="A845" s="466" t="s">
        <v>704</v>
      </c>
      <c r="B845" s="16">
        <v>908</v>
      </c>
      <c r="C845" s="20" t="s">
        <v>118</v>
      </c>
      <c r="D845" s="20" t="s">
        <v>140</v>
      </c>
      <c r="E845" s="20" t="s">
        <v>955</v>
      </c>
      <c r="F845" s="20" t="s">
        <v>138</v>
      </c>
      <c r="G845" s="467">
        <f>421</f>
        <v>421</v>
      </c>
      <c r="H845" s="467">
        <f t="shared" si="80"/>
        <v>421</v>
      </c>
      <c r="I845" s="204"/>
    </row>
    <row r="846" spans="1:9" ht="31.5" x14ac:dyDescent="0.25">
      <c r="A846" s="464" t="s">
        <v>222</v>
      </c>
      <c r="B846" s="19">
        <v>908</v>
      </c>
      <c r="C846" s="24" t="s">
        <v>215</v>
      </c>
      <c r="D846" s="24"/>
      <c r="E846" s="24"/>
      <c r="F846" s="24"/>
      <c r="G846" s="463">
        <f t="shared" ref="G846:H849" si="81">G847</f>
        <v>107</v>
      </c>
      <c r="H846" s="463">
        <f t="shared" si="81"/>
        <v>107</v>
      </c>
      <c r="I846" s="204"/>
    </row>
    <row r="847" spans="1:9" ht="47.25" x14ac:dyDescent="0.25">
      <c r="A847" s="464" t="s">
        <v>1356</v>
      </c>
      <c r="B847" s="19">
        <v>908</v>
      </c>
      <c r="C847" s="24" t="s">
        <v>215</v>
      </c>
      <c r="D847" s="24" t="s">
        <v>244</v>
      </c>
      <c r="E847" s="24"/>
      <c r="F847" s="24"/>
      <c r="G847" s="463">
        <f t="shared" si="81"/>
        <v>107</v>
      </c>
      <c r="H847" s="463">
        <f t="shared" si="81"/>
        <v>107</v>
      </c>
      <c r="I847" s="204"/>
    </row>
    <row r="848" spans="1:9" ht="15.75" x14ac:dyDescent="0.25">
      <c r="A848" s="464" t="s">
        <v>141</v>
      </c>
      <c r="B848" s="19">
        <v>908</v>
      </c>
      <c r="C848" s="24" t="s">
        <v>215</v>
      </c>
      <c r="D848" s="24" t="s">
        <v>244</v>
      </c>
      <c r="E848" s="24" t="s">
        <v>866</v>
      </c>
      <c r="F848" s="24"/>
      <c r="G848" s="463">
        <f t="shared" si="81"/>
        <v>107</v>
      </c>
      <c r="H848" s="463">
        <f t="shared" si="81"/>
        <v>107</v>
      </c>
      <c r="I848" s="204"/>
    </row>
    <row r="849" spans="1:9" ht="31.5" x14ac:dyDescent="0.25">
      <c r="A849" s="464" t="s">
        <v>870</v>
      </c>
      <c r="B849" s="19">
        <v>908</v>
      </c>
      <c r="C849" s="24" t="s">
        <v>215</v>
      </c>
      <c r="D849" s="24" t="s">
        <v>244</v>
      </c>
      <c r="E849" s="24" t="s">
        <v>865</v>
      </c>
      <c r="F849" s="24"/>
      <c r="G849" s="463">
        <f t="shared" si="81"/>
        <v>107</v>
      </c>
      <c r="H849" s="463">
        <f t="shared" si="81"/>
        <v>107</v>
      </c>
      <c r="I849" s="204"/>
    </row>
    <row r="850" spans="1:9" ht="15.75" x14ac:dyDescent="0.25">
      <c r="A850" s="466" t="s">
        <v>230</v>
      </c>
      <c r="B850" s="16">
        <v>908</v>
      </c>
      <c r="C850" s="20" t="s">
        <v>215</v>
      </c>
      <c r="D850" s="20" t="s">
        <v>244</v>
      </c>
      <c r="E850" s="20" t="s">
        <v>876</v>
      </c>
      <c r="F850" s="20"/>
      <c r="G850" s="467">
        <f>G851</f>
        <v>107</v>
      </c>
      <c r="H850" s="467">
        <f>H851</f>
        <v>107</v>
      </c>
      <c r="I850" s="204"/>
    </row>
    <row r="851" spans="1:9" ht="31.5" x14ac:dyDescent="0.25">
      <c r="A851" s="466" t="s">
        <v>131</v>
      </c>
      <c r="B851" s="16">
        <v>908</v>
      </c>
      <c r="C851" s="20" t="s">
        <v>215</v>
      </c>
      <c r="D851" s="20" t="s">
        <v>244</v>
      </c>
      <c r="E851" s="20" t="s">
        <v>876</v>
      </c>
      <c r="F851" s="20" t="s">
        <v>132</v>
      </c>
      <c r="G851" s="467">
        <f>G852</f>
        <v>107</v>
      </c>
      <c r="H851" s="467">
        <f>H852</f>
        <v>107</v>
      </c>
      <c r="I851" s="204"/>
    </row>
    <row r="852" spans="1:9" ht="31.5" x14ac:dyDescent="0.25">
      <c r="A852" s="466" t="s">
        <v>133</v>
      </c>
      <c r="B852" s="16">
        <v>908</v>
      </c>
      <c r="C852" s="20" t="s">
        <v>215</v>
      </c>
      <c r="D852" s="20" t="s">
        <v>244</v>
      </c>
      <c r="E852" s="20" t="s">
        <v>876</v>
      </c>
      <c r="F852" s="20" t="s">
        <v>134</v>
      </c>
      <c r="G852" s="467">
        <f>107</f>
        <v>107</v>
      </c>
      <c r="H852" s="467">
        <f t="shared" si="80"/>
        <v>107</v>
      </c>
      <c r="I852" s="204"/>
    </row>
    <row r="853" spans="1:9" ht="15.75" x14ac:dyDescent="0.25">
      <c r="A853" s="464" t="s">
        <v>232</v>
      </c>
      <c r="B853" s="19">
        <v>908</v>
      </c>
      <c r="C853" s="24" t="s">
        <v>150</v>
      </c>
      <c r="D853" s="24"/>
      <c r="E853" s="24"/>
      <c r="F853" s="24"/>
      <c r="G853" s="463">
        <f>G854+G860</f>
        <v>5385.6</v>
      </c>
      <c r="H853" s="463">
        <f>H854+H860</f>
        <v>5207.1000000000004</v>
      </c>
      <c r="I853" s="204"/>
    </row>
    <row r="854" spans="1:9" ht="15.75" x14ac:dyDescent="0.25">
      <c r="A854" s="464" t="s">
        <v>505</v>
      </c>
      <c r="B854" s="19">
        <v>908</v>
      </c>
      <c r="C854" s="24" t="s">
        <v>150</v>
      </c>
      <c r="D854" s="24" t="s">
        <v>299</v>
      </c>
      <c r="E854" s="24"/>
      <c r="F854" s="24"/>
      <c r="G854" s="463">
        <f t="shared" ref="G854:H856" si="82">G855</f>
        <v>3258</v>
      </c>
      <c r="H854" s="463">
        <f t="shared" si="82"/>
        <v>3258</v>
      </c>
      <c r="I854" s="204"/>
    </row>
    <row r="855" spans="1:9" ht="15.75" x14ac:dyDescent="0.25">
      <c r="A855" s="464" t="s">
        <v>141</v>
      </c>
      <c r="B855" s="19">
        <v>908</v>
      </c>
      <c r="C855" s="24" t="s">
        <v>150</v>
      </c>
      <c r="D855" s="24" t="s">
        <v>299</v>
      </c>
      <c r="E855" s="24" t="s">
        <v>866</v>
      </c>
      <c r="F855" s="24"/>
      <c r="G855" s="463">
        <f t="shared" si="82"/>
        <v>3258</v>
      </c>
      <c r="H855" s="463">
        <f t="shared" si="82"/>
        <v>3258</v>
      </c>
      <c r="I855" s="204"/>
    </row>
    <row r="856" spans="1:9" ht="31.5" x14ac:dyDescent="0.25">
      <c r="A856" s="464" t="s">
        <v>870</v>
      </c>
      <c r="B856" s="19">
        <v>908</v>
      </c>
      <c r="C856" s="24" t="s">
        <v>150</v>
      </c>
      <c r="D856" s="24" t="s">
        <v>299</v>
      </c>
      <c r="E856" s="24" t="s">
        <v>865</v>
      </c>
      <c r="F856" s="24"/>
      <c r="G856" s="463">
        <f t="shared" si="82"/>
        <v>3258</v>
      </c>
      <c r="H856" s="463">
        <f t="shared" si="82"/>
        <v>3258</v>
      </c>
      <c r="I856" s="204"/>
    </row>
    <row r="857" spans="1:9" ht="15.75" x14ac:dyDescent="0.25">
      <c r="A857" s="466" t="s">
        <v>506</v>
      </c>
      <c r="B857" s="16">
        <v>908</v>
      </c>
      <c r="C857" s="20" t="s">
        <v>150</v>
      </c>
      <c r="D857" s="20" t="s">
        <v>299</v>
      </c>
      <c r="E857" s="20" t="s">
        <v>957</v>
      </c>
      <c r="F857" s="20"/>
      <c r="G857" s="467">
        <f>G858</f>
        <v>3258</v>
      </c>
      <c r="H857" s="467">
        <f>H858</f>
        <v>3258</v>
      </c>
      <c r="I857" s="204"/>
    </row>
    <row r="858" spans="1:9" ht="31.5" x14ac:dyDescent="0.25">
      <c r="A858" s="466" t="s">
        <v>131</v>
      </c>
      <c r="B858" s="16">
        <v>908</v>
      </c>
      <c r="C858" s="20" t="s">
        <v>150</v>
      </c>
      <c r="D858" s="20" t="s">
        <v>299</v>
      </c>
      <c r="E858" s="20" t="s">
        <v>957</v>
      </c>
      <c r="F858" s="20" t="s">
        <v>132</v>
      </c>
      <c r="G858" s="467">
        <f>G859</f>
        <v>3258</v>
      </c>
      <c r="H858" s="467">
        <f>H859</f>
        <v>3258</v>
      </c>
      <c r="I858" s="204"/>
    </row>
    <row r="859" spans="1:9" ht="31.5" x14ac:dyDescent="0.25">
      <c r="A859" s="466" t="s">
        <v>133</v>
      </c>
      <c r="B859" s="16">
        <v>908</v>
      </c>
      <c r="C859" s="20" t="s">
        <v>150</v>
      </c>
      <c r="D859" s="20" t="s">
        <v>299</v>
      </c>
      <c r="E859" s="20" t="s">
        <v>957</v>
      </c>
      <c r="F859" s="20" t="s">
        <v>134</v>
      </c>
      <c r="G859" s="467">
        <v>3258</v>
      </c>
      <c r="H859" s="467">
        <f t="shared" si="80"/>
        <v>3258</v>
      </c>
      <c r="I859" s="204"/>
    </row>
    <row r="860" spans="1:9" ht="15.75" x14ac:dyDescent="0.25">
      <c r="A860" s="464" t="s">
        <v>508</v>
      </c>
      <c r="B860" s="19">
        <v>908</v>
      </c>
      <c r="C860" s="24" t="s">
        <v>150</v>
      </c>
      <c r="D860" s="24" t="s">
        <v>219</v>
      </c>
      <c r="E860" s="20"/>
      <c r="F860" s="24"/>
      <c r="G860" s="463">
        <f>G861</f>
        <v>2127.6</v>
      </c>
      <c r="H860" s="463">
        <f>H861</f>
        <v>1949.1</v>
      </c>
      <c r="I860" s="204"/>
    </row>
    <row r="861" spans="1:9" ht="47.25" x14ac:dyDescent="0.25">
      <c r="A861" s="34" t="s">
        <v>1381</v>
      </c>
      <c r="B861" s="19">
        <v>908</v>
      </c>
      <c r="C861" s="24" t="s">
        <v>150</v>
      </c>
      <c r="D861" s="24" t="s">
        <v>219</v>
      </c>
      <c r="E861" s="24" t="s">
        <v>510</v>
      </c>
      <c r="F861" s="24"/>
      <c r="G861" s="463">
        <f>G867+G862</f>
        <v>2127.6</v>
      </c>
      <c r="H861" s="463">
        <f>H867+H862</f>
        <v>1949.1</v>
      </c>
      <c r="I861" s="204"/>
    </row>
    <row r="862" spans="1:9" ht="31.5" hidden="1" x14ac:dyDescent="0.25">
      <c r="A862" s="34" t="s">
        <v>999</v>
      </c>
      <c r="B862" s="19">
        <v>908</v>
      </c>
      <c r="C862" s="24" t="s">
        <v>150</v>
      </c>
      <c r="D862" s="24" t="s">
        <v>219</v>
      </c>
      <c r="E862" s="7" t="s">
        <v>958</v>
      </c>
      <c r="F862" s="24"/>
      <c r="G862" s="463">
        <f t="shared" ref="G862:H864" si="83">G863</f>
        <v>0</v>
      </c>
      <c r="H862" s="463">
        <f t="shared" si="83"/>
        <v>0</v>
      </c>
      <c r="I862" s="204"/>
    </row>
    <row r="863" spans="1:9" ht="15.75" hidden="1" x14ac:dyDescent="0.25">
      <c r="A863" s="29" t="s">
        <v>1001</v>
      </c>
      <c r="B863" s="16">
        <v>908</v>
      </c>
      <c r="C863" s="20" t="s">
        <v>150</v>
      </c>
      <c r="D863" s="20" t="s">
        <v>219</v>
      </c>
      <c r="E863" s="40" t="s">
        <v>1000</v>
      </c>
      <c r="F863" s="20"/>
      <c r="G863" s="467">
        <f t="shared" si="83"/>
        <v>0</v>
      </c>
      <c r="H863" s="467">
        <f t="shared" si="83"/>
        <v>0</v>
      </c>
      <c r="I863" s="204"/>
    </row>
    <row r="864" spans="1:9" ht="31.5" hidden="1" x14ac:dyDescent="0.25">
      <c r="A864" s="466" t="s">
        <v>131</v>
      </c>
      <c r="B864" s="16">
        <v>908</v>
      </c>
      <c r="C864" s="20" t="s">
        <v>150</v>
      </c>
      <c r="D864" s="20" t="s">
        <v>219</v>
      </c>
      <c r="E864" s="40" t="s">
        <v>1000</v>
      </c>
      <c r="F864" s="20" t="s">
        <v>132</v>
      </c>
      <c r="G864" s="467">
        <f t="shared" si="83"/>
        <v>0</v>
      </c>
      <c r="H864" s="467">
        <f t="shared" si="83"/>
        <v>0</v>
      </c>
      <c r="I864" s="204"/>
    </row>
    <row r="865" spans="1:13" ht="31.5" hidden="1" x14ac:dyDescent="0.25">
      <c r="A865" s="466" t="s">
        <v>133</v>
      </c>
      <c r="B865" s="16">
        <v>908</v>
      </c>
      <c r="C865" s="20" t="s">
        <v>150</v>
      </c>
      <c r="D865" s="20" t="s">
        <v>219</v>
      </c>
      <c r="E865" s="40" t="s">
        <v>1000</v>
      </c>
      <c r="F865" s="20" t="s">
        <v>134</v>
      </c>
      <c r="G865" s="467">
        <v>0</v>
      </c>
      <c r="H865" s="467">
        <v>0</v>
      </c>
      <c r="I865" s="204"/>
    </row>
    <row r="866" spans="1:13" ht="31.5" x14ac:dyDescent="0.25">
      <c r="A866" s="34" t="s">
        <v>1063</v>
      </c>
      <c r="B866" s="19">
        <v>908</v>
      </c>
      <c r="C866" s="24" t="s">
        <v>150</v>
      </c>
      <c r="D866" s="24" t="s">
        <v>219</v>
      </c>
      <c r="E866" s="24" t="s">
        <v>959</v>
      </c>
      <c r="F866" s="24"/>
      <c r="G866" s="463">
        <f t="shared" ref="G866:H870" si="84">G867</f>
        <v>2127.6</v>
      </c>
      <c r="H866" s="463">
        <f t="shared" si="84"/>
        <v>1949.1</v>
      </c>
      <c r="I866" s="204"/>
    </row>
    <row r="867" spans="1:13" ht="15.75" x14ac:dyDescent="0.25">
      <c r="A867" s="29" t="s">
        <v>511</v>
      </c>
      <c r="B867" s="16">
        <v>908</v>
      </c>
      <c r="C867" s="20" t="s">
        <v>150</v>
      </c>
      <c r="D867" s="20" t="s">
        <v>219</v>
      </c>
      <c r="E867" s="40" t="s">
        <v>1002</v>
      </c>
      <c r="F867" s="20"/>
      <c r="G867" s="467">
        <f>G870+G868</f>
        <v>2127.6</v>
      </c>
      <c r="H867" s="467">
        <f>H870+H868</f>
        <v>1949.1</v>
      </c>
      <c r="I867" s="204"/>
    </row>
    <row r="868" spans="1:13" s="203" customFormat="1" ht="78.75" x14ac:dyDescent="0.25">
      <c r="A868" s="466" t="s">
        <v>127</v>
      </c>
      <c r="B868" s="16">
        <v>908</v>
      </c>
      <c r="C868" s="20" t="s">
        <v>150</v>
      </c>
      <c r="D868" s="20" t="s">
        <v>219</v>
      </c>
      <c r="E868" s="40" t="s">
        <v>1002</v>
      </c>
      <c r="F868" s="20" t="s">
        <v>128</v>
      </c>
      <c r="G868" s="467">
        <f>G869</f>
        <v>1807</v>
      </c>
      <c r="H868" s="467">
        <f>H869</f>
        <v>1807</v>
      </c>
      <c r="I868" s="204"/>
    </row>
    <row r="869" spans="1:13" s="203" customFormat="1" ht="24" customHeight="1" x14ac:dyDescent="0.25">
      <c r="A869" s="466" t="s">
        <v>342</v>
      </c>
      <c r="B869" s="16">
        <v>908</v>
      </c>
      <c r="C869" s="20" t="s">
        <v>150</v>
      </c>
      <c r="D869" s="20" t="s">
        <v>219</v>
      </c>
      <c r="E869" s="40" t="s">
        <v>1002</v>
      </c>
      <c r="F869" s="20" t="s">
        <v>209</v>
      </c>
      <c r="G869" s="467">
        <v>1807</v>
      </c>
      <c r="H869" s="467">
        <f>G869</f>
        <v>1807</v>
      </c>
      <c r="I869" s="204"/>
    </row>
    <row r="870" spans="1:13" ht="31.5" x14ac:dyDescent="0.25">
      <c r="A870" s="466" t="s">
        <v>131</v>
      </c>
      <c r="B870" s="16">
        <v>908</v>
      </c>
      <c r="C870" s="20" t="s">
        <v>150</v>
      </c>
      <c r="D870" s="20" t="s">
        <v>219</v>
      </c>
      <c r="E870" s="40" t="s">
        <v>1002</v>
      </c>
      <c r="F870" s="20" t="s">
        <v>132</v>
      </c>
      <c r="G870" s="467">
        <f t="shared" si="84"/>
        <v>320.60000000000002</v>
      </c>
      <c r="H870" s="467">
        <f t="shared" si="84"/>
        <v>142.10000000000002</v>
      </c>
      <c r="I870" s="204"/>
    </row>
    <row r="871" spans="1:13" ht="31.5" x14ac:dyDescent="0.25">
      <c r="A871" s="466" t="s">
        <v>133</v>
      </c>
      <c r="B871" s="16">
        <v>908</v>
      </c>
      <c r="C871" s="20" t="s">
        <v>150</v>
      </c>
      <c r="D871" s="20" t="s">
        <v>219</v>
      </c>
      <c r="E871" s="40" t="s">
        <v>1002</v>
      </c>
      <c r="F871" s="20" t="s">
        <v>134</v>
      </c>
      <c r="G871" s="467">
        <f>1793+350-761+88.8-958.8-191.4</f>
        <v>320.60000000000002</v>
      </c>
      <c r="H871" s="467">
        <f>320.6-178.5</f>
        <v>142.10000000000002</v>
      </c>
      <c r="I871" s="204"/>
      <c r="L871">
        <v>-191.4</v>
      </c>
      <c r="M871">
        <v>-369.9</v>
      </c>
    </row>
    <row r="872" spans="1:13" ht="15.75" hidden="1" x14ac:dyDescent="0.25">
      <c r="A872" s="466" t="s">
        <v>135</v>
      </c>
      <c r="B872" s="16">
        <v>908</v>
      </c>
      <c r="C872" s="20" t="s">
        <v>150</v>
      </c>
      <c r="D872" s="20" t="s">
        <v>219</v>
      </c>
      <c r="E872" s="40" t="s">
        <v>1002</v>
      </c>
      <c r="F872" s="20" t="s">
        <v>145</v>
      </c>
      <c r="G872" s="467">
        <f>'Пр.4 ведом.21'!G1005</f>
        <v>0</v>
      </c>
      <c r="H872" s="467">
        <f t="shared" si="80"/>
        <v>0</v>
      </c>
      <c r="I872" s="204"/>
    </row>
    <row r="873" spans="1:13" ht="15.75" hidden="1" x14ac:dyDescent="0.25">
      <c r="A873" s="466" t="s">
        <v>568</v>
      </c>
      <c r="B873" s="16">
        <v>908</v>
      </c>
      <c r="C873" s="20" t="s">
        <v>150</v>
      </c>
      <c r="D873" s="20" t="s">
        <v>219</v>
      </c>
      <c r="E873" s="40" t="s">
        <v>1002</v>
      </c>
      <c r="F873" s="20" t="s">
        <v>138</v>
      </c>
      <c r="G873" s="467">
        <f>'Пр.4 ведом.21'!G1006</f>
        <v>0</v>
      </c>
      <c r="H873" s="467">
        <f t="shared" si="80"/>
        <v>0</v>
      </c>
      <c r="I873" s="204"/>
    </row>
    <row r="874" spans="1:13" ht="15.75" x14ac:dyDescent="0.25">
      <c r="A874" s="464" t="s">
        <v>390</v>
      </c>
      <c r="B874" s="19">
        <v>908</v>
      </c>
      <c r="C874" s="24" t="s">
        <v>234</v>
      </c>
      <c r="D874" s="24"/>
      <c r="E874" s="24"/>
      <c r="F874" s="24"/>
      <c r="G874" s="463">
        <f>G875+G889+G953+G1003</f>
        <v>39238.6</v>
      </c>
      <c r="H874" s="463">
        <f>H875+H889+H953+H1003</f>
        <v>47663.450000000004</v>
      </c>
      <c r="I874" s="204"/>
    </row>
    <row r="875" spans="1:13" ht="15.75" x14ac:dyDescent="0.25">
      <c r="A875" s="464" t="s">
        <v>391</v>
      </c>
      <c r="B875" s="19">
        <v>908</v>
      </c>
      <c r="C875" s="24" t="s">
        <v>234</v>
      </c>
      <c r="D875" s="24" t="s">
        <v>118</v>
      </c>
      <c r="E875" s="24"/>
      <c r="F875" s="24"/>
      <c r="G875" s="463">
        <f>G876</f>
        <v>5790</v>
      </c>
      <c r="H875" s="463">
        <f>H876</f>
        <v>5790</v>
      </c>
      <c r="I875" s="204"/>
    </row>
    <row r="876" spans="1:13" ht="15.75" x14ac:dyDescent="0.25">
      <c r="A876" s="464" t="s">
        <v>141</v>
      </c>
      <c r="B876" s="19">
        <v>908</v>
      </c>
      <c r="C876" s="24" t="s">
        <v>234</v>
      </c>
      <c r="D876" s="24" t="s">
        <v>118</v>
      </c>
      <c r="E876" s="24" t="s">
        <v>866</v>
      </c>
      <c r="F876" s="24"/>
      <c r="G876" s="463">
        <f>G877</f>
        <v>5790</v>
      </c>
      <c r="H876" s="463">
        <f>H877</f>
        <v>5790</v>
      </c>
      <c r="I876" s="204"/>
    </row>
    <row r="877" spans="1:13" ht="31.5" x14ac:dyDescent="0.25">
      <c r="A877" s="464" t="s">
        <v>870</v>
      </c>
      <c r="B877" s="19">
        <v>908</v>
      </c>
      <c r="C877" s="24" t="s">
        <v>234</v>
      </c>
      <c r="D877" s="24" t="s">
        <v>118</v>
      </c>
      <c r="E877" s="24" t="s">
        <v>865</v>
      </c>
      <c r="F877" s="24"/>
      <c r="G877" s="463">
        <f>G886+G883+G878</f>
        <v>5790</v>
      </c>
      <c r="H877" s="463">
        <f>H886+H883+H878</f>
        <v>5790</v>
      </c>
      <c r="I877" s="204"/>
    </row>
    <row r="878" spans="1:13" ht="15.75" hidden="1" x14ac:dyDescent="0.25">
      <c r="A878" s="466" t="s">
        <v>515</v>
      </c>
      <c r="B878" s="16">
        <v>908</v>
      </c>
      <c r="C878" s="20" t="s">
        <v>774</v>
      </c>
      <c r="D878" s="20" t="s">
        <v>118</v>
      </c>
      <c r="E878" s="20" t="s">
        <v>960</v>
      </c>
      <c r="F878" s="24"/>
      <c r="G878" s="467">
        <f>G879</f>
        <v>0</v>
      </c>
      <c r="H878" s="467">
        <f t="shared" si="80"/>
        <v>0</v>
      </c>
      <c r="I878" s="204"/>
    </row>
    <row r="879" spans="1:13" ht="31.5" hidden="1" x14ac:dyDescent="0.25">
      <c r="A879" s="466" t="s">
        <v>131</v>
      </c>
      <c r="B879" s="16">
        <v>908</v>
      </c>
      <c r="C879" s="20" t="s">
        <v>234</v>
      </c>
      <c r="D879" s="20" t="s">
        <v>118</v>
      </c>
      <c r="E879" s="20" t="s">
        <v>960</v>
      </c>
      <c r="F879" s="20" t="s">
        <v>132</v>
      </c>
      <c r="G879" s="467">
        <f>G880</f>
        <v>0</v>
      </c>
      <c r="H879" s="467">
        <f t="shared" si="80"/>
        <v>0</v>
      </c>
      <c r="I879" s="204"/>
    </row>
    <row r="880" spans="1:13" ht="31.5" hidden="1" x14ac:dyDescent="0.25">
      <c r="A880" s="466" t="s">
        <v>133</v>
      </c>
      <c r="B880" s="16">
        <v>908</v>
      </c>
      <c r="C880" s="20" t="s">
        <v>234</v>
      </c>
      <c r="D880" s="20" t="s">
        <v>118</v>
      </c>
      <c r="E880" s="20" t="s">
        <v>960</v>
      </c>
      <c r="F880" s="20" t="s">
        <v>134</v>
      </c>
      <c r="G880" s="467">
        <v>0</v>
      </c>
      <c r="H880" s="467">
        <f t="shared" si="80"/>
        <v>0</v>
      </c>
      <c r="I880" s="204"/>
    </row>
    <row r="881" spans="1:9" ht="15.75" hidden="1" x14ac:dyDescent="0.25">
      <c r="A881" s="466" t="s">
        <v>135</v>
      </c>
      <c r="B881" s="16">
        <v>908</v>
      </c>
      <c r="C881" s="20" t="s">
        <v>234</v>
      </c>
      <c r="D881" s="20" t="s">
        <v>118</v>
      </c>
      <c r="E881" s="20" t="s">
        <v>960</v>
      </c>
      <c r="F881" s="20" t="s">
        <v>145</v>
      </c>
      <c r="G881" s="467">
        <f>'Пр.4 ведом.21'!G1014</f>
        <v>0</v>
      </c>
      <c r="H881" s="467">
        <f t="shared" si="80"/>
        <v>0</v>
      </c>
      <c r="I881" s="204"/>
    </row>
    <row r="882" spans="1:9" ht="47.25" hidden="1" x14ac:dyDescent="0.25">
      <c r="A882" s="466" t="s">
        <v>184</v>
      </c>
      <c r="B882" s="16">
        <v>908</v>
      </c>
      <c r="C882" s="20" t="s">
        <v>234</v>
      </c>
      <c r="D882" s="20" t="s">
        <v>118</v>
      </c>
      <c r="E882" s="20" t="s">
        <v>960</v>
      </c>
      <c r="F882" s="20" t="s">
        <v>160</v>
      </c>
      <c r="G882" s="467">
        <f>'Пр.4 ведом.21'!G1015</f>
        <v>0</v>
      </c>
      <c r="H882" s="467">
        <f t="shared" si="80"/>
        <v>0</v>
      </c>
      <c r="I882" s="204"/>
    </row>
    <row r="883" spans="1:9" ht="31.5" x14ac:dyDescent="0.25">
      <c r="A883" s="29" t="s">
        <v>398</v>
      </c>
      <c r="B883" s="16">
        <v>908</v>
      </c>
      <c r="C883" s="20" t="s">
        <v>234</v>
      </c>
      <c r="D883" s="20" t="s">
        <v>118</v>
      </c>
      <c r="E883" s="20" t="s">
        <v>961</v>
      </c>
      <c r="F883" s="24"/>
      <c r="G883" s="467">
        <f>G884</f>
        <v>4650</v>
      </c>
      <c r="H883" s="467">
        <f>H884</f>
        <v>4650</v>
      </c>
      <c r="I883" s="204"/>
    </row>
    <row r="884" spans="1:9" ht="31.5" x14ac:dyDescent="0.25">
      <c r="A884" s="466" t="s">
        <v>131</v>
      </c>
      <c r="B884" s="16">
        <v>908</v>
      </c>
      <c r="C884" s="20" t="s">
        <v>234</v>
      </c>
      <c r="D884" s="20" t="s">
        <v>118</v>
      </c>
      <c r="E884" s="20" t="s">
        <v>961</v>
      </c>
      <c r="F884" s="20" t="s">
        <v>132</v>
      </c>
      <c r="G884" s="467">
        <f>G885</f>
        <v>4650</v>
      </c>
      <c r="H884" s="467">
        <f>H885</f>
        <v>4650</v>
      </c>
      <c r="I884" s="204"/>
    </row>
    <row r="885" spans="1:9" ht="31.5" x14ac:dyDescent="0.25">
      <c r="A885" s="466" t="s">
        <v>133</v>
      </c>
      <c r="B885" s="16">
        <v>908</v>
      </c>
      <c r="C885" s="20" t="s">
        <v>234</v>
      </c>
      <c r="D885" s="20" t="s">
        <v>118</v>
      </c>
      <c r="E885" s="20" t="s">
        <v>961</v>
      </c>
      <c r="F885" s="20" t="s">
        <v>134</v>
      </c>
      <c r="G885" s="467">
        <v>4650</v>
      </c>
      <c r="H885" s="467">
        <f t="shared" si="80"/>
        <v>4650</v>
      </c>
      <c r="I885" s="204"/>
    </row>
    <row r="886" spans="1:9" ht="31.5" x14ac:dyDescent="0.25">
      <c r="A886" s="29" t="s">
        <v>932</v>
      </c>
      <c r="B886" s="16">
        <v>908</v>
      </c>
      <c r="C886" s="20" t="s">
        <v>234</v>
      </c>
      <c r="D886" s="20" t="s">
        <v>118</v>
      </c>
      <c r="E886" s="20" t="s">
        <v>962</v>
      </c>
      <c r="F886" s="24"/>
      <c r="G886" s="467">
        <f>G887</f>
        <v>1140</v>
      </c>
      <c r="H886" s="467">
        <f>H887</f>
        <v>1140</v>
      </c>
      <c r="I886" s="204"/>
    </row>
    <row r="887" spans="1:9" ht="31.5" x14ac:dyDescent="0.25">
      <c r="A887" s="466" t="s">
        <v>131</v>
      </c>
      <c r="B887" s="16">
        <v>908</v>
      </c>
      <c r="C887" s="20" t="s">
        <v>234</v>
      </c>
      <c r="D887" s="20" t="s">
        <v>118</v>
      </c>
      <c r="E887" s="20" t="s">
        <v>962</v>
      </c>
      <c r="F887" s="20" t="s">
        <v>132</v>
      </c>
      <c r="G887" s="467">
        <f>G888</f>
        <v>1140</v>
      </c>
      <c r="H887" s="467">
        <f>H888</f>
        <v>1140</v>
      </c>
      <c r="I887" s="204"/>
    </row>
    <row r="888" spans="1:9" ht="31.5" x14ac:dyDescent="0.25">
      <c r="A888" s="466" t="s">
        <v>133</v>
      </c>
      <c r="B888" s="16">
        <v>908</v>
      </c>
      <c r="C888" s="20" t="s">
        <v>234</v>
      </c>
      <c r="D888" s="20" t="s">
        <v>118</v>
      </c>
      <c r="E888" s="20" t="s">
        <v>962</v>
      </c>
      <c r="F888" s="20" t="s">
        <v>134</v>
      </c>
      <c r="G888" s="467">
        <f>1140</f>
        <v>1140</v>
      </c>
      <c r="H888" s="467">
        <f t="shared" si="80"/>
        <v>1140</v>
      </c>
      <c r="I888" s="204"/>
    </row>
    <row r="889" spans="1:9" ht="15.75" x14ac:dyDescent="0.25">
      <c r="A889" s="464" t="s">
        <v>517</v>
      </c>
      <c r="B889" s="19">
        <v>908</v>
      </c>
      <c r="C889" s="24" t="s">
        <v>234</v>
      </c>
      <c r="D889" s="24" t="s">
        <v>213</v>
      </c>
      <c r="E889" s="24"/>
      <c r="F889" s="24"/>
      <c r="G889" s="463">
        <f>G890+G919+G948</f>
        <v>4334.0999999999985</v>
      </c>
      <c r="H889" s="463">
        <f>H890+H919+H948</f>
        <v>12505.950000000003</v>
      </c>
      <c r="I889" s="204"/>
    </row>
    <row r="890" spans="1:9" ht="15.75" x14ac:dyDescent="0.25">
      <c r="A890" s="464" t="s">
        <v>141</v>
      </c>
      <c r="B890" s="19">
        <v>908</v>
      </c>
      <c r="C890" s="24" t="s">
        <v>234</v>
      </c>
      <c r="D890" s="24" t="s">
        <v>213</v>
      </c>
      <c r="E890" s="24" t="s">
        <v>866</v>
      </c>
      <c r="F890" s="24"/>
      <c r="G890" s="463">
        <f>G891+G902</f>
        <v>3430.0999999999981</v>
      </c>
      <c r="H890" s="463">
        <f>H891+H902</f>
        <v>11590.950000000003</v>
      </c>
      <c r="I890" s="204"/>
    </row>
    <row r="891" spans="1:9" ht="31.5" x14ac:dyDescent="0.25">
      <c r="A891" s="464" t="s">
        <v>870</v>
      </c>
      <c r="B891" s="19">
        <v>908</v>
      </c>
      <c r="C891" s="24" t="s">
        <v>234</v>
      </c>
      <c r="D891" s="24" t="s">
        <v>213</v>
      </c>
      <c r="E891" s="24" t="s">
        <v>865</v>
      </c>
      <c r="F891" s="24"/>
      <c r="G891" s="463">
        <f>G892+G897</f>
        <v>3430.0999999999981</v>
      </c>
      <c r="H891" s="463">
        <f>H892+H897</f>
        <v>11590.950000000003</v>
      </c>
      <c r="I891" s="204"/>
    </row>
    <row r="892" spans="1:9" ht="15.75" hidden="1" x14ac:dyDescent="0.25">
      <c r="A892" s="35" t="s">
        <v>537</v>
      </c>
      <c r="B892" s="16">
        <v>908</v>
      </c>
      <c r="C892" s="20" t="s">
        <v>234</v>
      </c>
      <c r="D892" s="20" t="s">
        <v>213</v>
      </c>
      <c r="E892" s="20" t="s">
        <v>979</v>
      </c>
      <c r="F892" s="20"/>
      <c r="G892" s="467">
        <f>G893+G895</f>
        <v>0</v>
      </c>
      <c r="H892" s="467">
        <f t="shared" si="80"/>
        <v>0</v>
      </c>
      <c r="I892" s="204"/>
    </row>
    <row r="893" spans="1:9" ht="31.5" hidden="1" x14ac:dyDescent="0.25">
      <c r="A893" s="466" t="s">
        <v>131</v>
      </c>
      <c r="B893" s="16">
        <v>908</v>
      </c>
      <c r="C893" s="20" t="s">
        <v>234</v>
      </c>
      <c r="D893" s="20" t="s">
        <v>213</v>
      </c>
      <c r="E893" s="20" t="s">
        <v>979</v>
      </c>
      <c r="F893" s="20" t="s">
        <v>132</v>
      </c>
      <c r="G893" s="467">
        <f>G894</f>
        <v>0</v>
      </c>
      <c r="H893" s="467">
        <f t="shared" si="80"/>
        <v>0</v>
      </c>
      <c r="I893" s="204"/>
    </row>
    <row r="894" spans="1:9" ht="31.5" hidden="1" x14ac:dyDescent="0.25">
      <c r="A894" s="466" t="s">
        <v>133</v>
      </c>
      <c r="B894" s="16">
        <v>908</v>
      </c>
      <c r="C894" s="20" t="s">
        <v>234</v>
      </c>
      <c r="D894" s="20" t="s">
        <v>213</v>
      </c>
      <c r="E894" s="20" t="s">
        <v>979</v>
      </c>
      <c r="F894" s="20" t="s">
        <v>134</v>
      </c>
      <c r="G894" s="467">
        <v>0</v>
      </c>
      <c r="H894" s="467">
        <f t="shared" si="80"/>
        <v>0</v>
      </c>
      <c r="I894" s="204"/>
    </row>
    <row r="895" spans="1:9" ht="15.75" hidden="1" x14ac:dyDescent="0.25">
      <c r="A895" s="466" t="s">
        <v>135</v>
      </c>
      <c r="B895" s="16">
        <v>908</v>
      </c>
      <c r="C895" s="20" t="s">
        <v>234</v>
      </c>
      <c r="D895" s="20" t="s">
        <v>213</v>
      </c>
      <c r="E895" s="20" t="s">
        <v>979</v>
      </c>
      <c r="F895" s="20" t="s">
        <v>145</v>
      </c>
      <c r="G895" s="467">
        <f>G896</f>
        <v>0</v>
      </c>
      <c r="H895" s="467">
        <f t="shared" si="80"/>
        <v>0</v>
      </c>
      <c r="I895" s="204"/>
    </row>
    <row r="896" spans="1:9" ht="47.25" hidden="1" x14ac:dyDescent="0.25">
      <c r="A896" s="466" t="s">
        <v>184</v>
      </c>
      <c r="B896" s="16">
        <v>908</v>
      </c>
      <c r="C896" s="20" t="s">
        <v>234</v>
      </c>
      <c r="D896" s="20" t="s">
        <v>213</v>
      </c>
      <c r="E896" s="20" t="s">
        <v>979</v>
      </c>
      <c r="F896" s="20" t="s">
        <v>160</v>
      </c>
      <c r="G896" s="467">
        <f>'Пр.4 ведом.21'!G1032</f>
        <v>0</v>
      </c>
      <c r="H896" s="467">
        <f t="shared" si="80"/>
        <v>0</v>
      </c>
      <c r="I896" s="204"/>
    </row>
    <row r="897" spans="1:13" ht="31.5" x14ac:dyDescent="0.25">
      <c r="A897" s="29" t="s">
        <v>932</v>
      </c>
      <c r="B897" s="16">
        <v>908</v>
      </c>
      <c r="C897" s="20" t="s">
        <v>234</v>
      </c>
      <c r="D897" s="20" t="s">
        <v>213</v>
      </c>
      <c r="E897" s="20" t="s">
        <v>962</v>
      </c>
      <c r="F897" s="20"/>
      <c r="G897" s="467">
        <f>G898</f>
        <v>3430.0999999999981</v>
      </c>
      <c r="H897" s="467">
        <f>H898</f>
        <v>11590.950000000003</v>
      </c>
      <c r="I897" s="204"/>
    </row>
    <row r="898" spans="1:13" ht="31.5" x14ac:dyDescent="0.25">
      <c r="A898" s="466" t="s">
        <v>131</v>
      </c>
      <c r="B898" s="16">
        <v>908</v>
      </c>
      <c r="C898" s="20" t="s">
        <v>234</v>
      </c>
      <c r="D898" s="20" t="s">
        <v>213</v>
      </c>
      <c r="E898" s="20" t="s">
        <v>962</v>
      </c>
      <c r="F898" s="20" t="s">
        <v>132</v>
      </c>
      <c r="G898" s="467">
        <f>G899</f>
        <v>3430.0999999999981</v>
      </c>
      <c r="H898" s="467">
        <f>H899</f>
        <v>11590.950000000003</v>
      </c>
      <c r="I898" s="204"/>
    </row>
    <row r="899" spans="1:13" ht="31.5" x14ac:dyDescent="0.25">
      <c r="A899" s="466" t="s">
        <v>133</v>
      </c>
      <c r="B899" s="16">
        <v>908</v>
      </c>
      <c r="C899" s="20" t="s">
        <v>234</v>
      </c>
      <c r="D899" s="20" t="s">
        <v>213</v>
      </c>
      <c r="E899" s="20" t="s">
        <v>962</v>
      </c>
      <c r="F899" s="20" t="s">
        <v>134</v>
      </c>
      <c r="G899" s="467">
        <f>14881.91-4224.29+2030.8-4000-3375.3+394.08-633.8-1706.6+63.3</f>
        <v>3430.0999999999981</v>
      </c>
      <c r="H899" s="467">
        <f>16519.25-3375.3+411.6-633.8-1330.8</f>
        <v>11590.950000000003</v>
      </c>
      <c r="I899" s="204"/>
      <c r="L899">
        <v>-2340.4</v>
      </c>
      <c r="M899">
        <v>-1964.6</v>
      </c>
    </row>
    <row r="900" spans="1:13" ht="15.75" x14ac:dyDescent="0.25">
      <c r="A900" s="466" t="s">
        <v>135</v>
      </c>
      <c r="B900" s="16">
        <v>908</v>
      </c>
      <c r="C900" s="20" t="s">
        <v>234</v>
      </c>
      <c r="D900" s="20" t="s">
        <v>213</v>
      </c>
      <c r="E900" s="20" t="s">
        <v>962</v>
      </c>
      <c r="F900" s="20" t="s">
        <v>145</v>
      </c>
      <c r="G900" s="467">
        <f>'Пр.4 ведом.21'!G1037</f>
        <v>50</v>
      </c>
      <c r="H900" s="467">
        <f t="shared" si="80"/>
        <v>50</v>
      </c>
      <c r="I900" s="204"/>
    </row>
    <row r="901" spans="1:13" ht="15.75" x14ac:dyDescent="0.25">
      <c r="A901" s="466" t="s">
        <v>146</v>
      </c>
      <c r="B901" s="16">
        <v>908</v>
      </c>
      <c r="C901" s="20" t="s">
        <v>234</v>
      </c>
      <c r="D901" s="20" t="s">
        <v>213</v>
      </c>
      <c r="E901" s="20" t="s">
        <v>962</v>
      </c>
      <c r="F901" s="20" t="s">
        <v>147</v>
      </c>
      <c r="G901" s="467">
        <f>'Пр.4 ведом.21'!G1038</f>
        <v>50</v>
      </c>
      <c r="H901" s="467">
        <f t="shared" si="80"/>
        <v>50</v>
      </c>
      <c r="I901" s="204"/>
    </row>
    <row r="902" spans="1:13" ht="47.25" hidden="1" x14ac:dyDescent="0.25">
      <c r="A902" s="464" t="s">
        <v>1013</v>
      </c>
      <c r="B902" s="19">
        <v>908</v>
      </c>
      <c r="C902" s="24" t="s">
        <v>234</v>
      </c>
      <c r="D902" s="24" t="s">
        <v>213</v>
      </c>
      <c r="E902" s="24" t="s">
        <v>980</v>
      </c>
      <c r="F902" s="24"/>
      <c r="G902" s="463">
        <f>G903+G911+G908+G916</f>
        <v>0</v>
      </c>
      <c r="H902" s="463">
        <f>H903+H911+H908+H916</f>
        <v>0</v>
      </c>
      <c r="I902" s="204"/>
    </row>
    <row r="903" spans="1:13" ht="47.25" hidden="1" x14ac:dyDescent="0.25">
      <c r="A903" s="466" t="s">
        <v>827</v>
      </c>
      <c r="B903" s="16">
        <v>908</v>
      </c>
      <c r="C903" s="20" t="s">
        <v>234</v>
      </c>
      <c r="D903" s="20" t="s">
        <v>213</v>
      </c>
      <c r="E903" s="20" t="s">
        <v>981</v>
      </c>
      <c r="F903" s="20"/>
      <c r="G903" s="467">
        <f>G904</f>
        <v>0</v>
      </c>
      <c r="H903" s="467">
        <f t="shared" ref="H903:H973" si="85">G903</f>
        <v>0</v>
      </c>
      <c r="I903" s="204"/>
    </row>
    <row r="904" spans="1:13" ht="31.5" hidden="1" x14ac:dyDescent="0.25">
      <c r="A904" s="466" t="s">
        <v>131</v>
      </c>
      <c r="B904" s="16">
        <v>908</v>
      </c>
      <c r="C904" s="20" t="s">
        <v>234</v>
      </c>
      <c r="D904" s="20" t="s">
        <v>213</v>
      </c>
      <c r="E904" s="20" t="s">
        <v>981</v>
      </c>
      <c r="F904" s="20" t="s">
        <v>132</v>
      </c>
      <c r="G904" s="467">
        <f>G905</f>
        <v>0</v>
      </c>
      <c r="H904" s="467">
        <f t="shared" si="85"/>
        <v>0</v>
      </c>
      <c r="I904" s="204"/>
    </row>
    <row r="905" spans="1:13" ht="31.5" hidden="1" x14ac:dyDescent="0.25">
      <c r="A905" s="466" t="s">
        <v>133</v>
      </c>
      <c r="B905" s="16">
        <v>908</v>
      </c>
      <c r="C905" s="20" t="s">
        <v>234</v>
      </c>
      <c r="D905" s="20" t="s">
        <v>213</v>
      </c>
      <c r="E905" s="20" t="s">
        <v>981</v>
      </c>
      <c r="F905" s="20" t="s">
        <v>134</v>
      </c>
      <c r="G905" s="467">
        <v>0</v>
      </c>
      <c r="H905" s="467">
        <f t="shared" si="85"/>
        <v>0</v>
      </c>
      <c r="I905" s="204"/>
    </row>
    <row r="906" spans="1:13" ht="15.75" hidden="1" x14ac:dyDescent="0.25">
      <c r="A906" s="466" t="s">
        <v>135</v>
      </c>
      <c r="B906" s="16">
        <v>908</v>
      </c>
      <c r="C906" s="20" t="s">
        <v>234</v>
      </c>
      <c r="D906" s="20" t="s">
        <v>213</v>
      </c>
      <c r="E906" s="20" t="s">
        <v>981</v>
      </c>
      <c r="F906" s="20" t="s">
        <v>837</v>
      </c>
      <c r="G906" s="467">
        <f>'Пр.4 ведом.21'!G1043</f>
        <v>0</v>
      </c>
      <c r="H906" s="467">
        <f t="shared" si="85"/>
        <v>0</v>
      </c>
      <c r="I906" s="204"/>
    </row>
    <row r="907" spans="1:13" ht="15.75" hidden="1" x14ac:dyDescent="0.25">
      <c r="A907" s="466" t="s">
        <v>568</v>
      </c>
      <c r="B907" s="16">
        <v>908</v>
      </c>
      <c r="C907" s="20" t="s">
        <v>234</v>
      </c>
      <c r="D907" s="20" t="s">
        <v>213</v>
      </c>
      <c r="E907" s="20" t="s">
        <v>981</v>
      </c>
      <c r="F907" s="20" t="s">
        <v>1070</v>
      </c>
      <c r="G907" s="467">
        <f>'Пр.4 ведом.21'!G1044</f>
        <v>0</v>
      </c>
      <c r="H907" s="467">
        <f t="shared" si="85"/>
        <v>0</v>
      </c>
      <c r="I907" s="204"/>
    </row>
    <row r="908" spans="1:13" ht="63" hidden="1" x14ac:dyDescent="0.25">
      <c r="A908" s="466" t="s">
        <v>793</v>
      </c>
      <c r="B908" s="16">
        <v>908</v>
      </c>
      <c r="C908" s="20" t="s">
        <v>234</v>
      </c>
      <c r="D908" s="20" t="s">
        <v>213</v>
      </c>
      <c r="E908" s="20" t="s">
        <v>982</v>
      </c>
      <c r="F908" s="20"/>
      <c r="G908" s="467">
        <f>'Пр.4 ведом.21'!G1045</f>
        <v>0</v>
      </c>
      <c r="H908" s="467">
        <f t="shared" si="85"/>
        <v>0</v>
      </c>
      <c r="I908" s="204"/>
    </row>
    <row r="909" spans="1:13" ht="31.5" hidden="1" x14ac:dyDescent="0.25">
      <c r="A909" s="466" t="s">
        <v>131</v>
      </c>
      <c r="B909" s="16">
        <v>908</v>
      </c>
      <c r="C909" s="20" t="s">
        <v>234</v>
      </c>
      <c r="D909" s="20" t="s">
        <v>213</v>
      </c>
      <c r="E909" s="20" t="s">
        <v>982</v>
      </c>
      <c r="F909" s="20" t="s">
        <v>132</v>
      </c>
      <c r="G909" s="467">
        <f>'Пр.4 ведом.21'!G1046</f>
        <v>0</v>
      </c>
      <c r="H909" s="467">
        <f t="shared" si="85"/>
        <v>0</v>
      </c>
      <c r="I909" s="204"/>
    </row>
    <row r="910" spans="1:13" ht="31.5" hidden="1" x14ac:dyDescent="0.25">
      <c r="A910" s="466" t="s">
        <v>133</v>
      </c>
      <c r="B910" s="16">
        <v>908</v>
      </c>
      <c r="C910" s="20" t="s">
        <v>234</v>
      </c>
      <c r="D910" s="20" t="s">
        <v>213</v>
      </c>
      <c r="E910" s="20" t="s">
        <v>982</v>
      </c>
      <c r="F910" s="20" t="s">
        <v>134</v>
      </c>
      <c r="G910" s="467">
        <f>'Пр.4 ведом.21'!G1047</f>
        <v>0</v>
      </c>
      <c r="H910" s="467">
        <f t="shared" si="85"/>
        <v>0</v>
      </c>
      <c r="I910" s="204"/>
    </row>
    <row r="911" spans="1:13" ht="47.25" hidden="1" x14ac:dyDescent="0.25">
      <c r="A911" s="97" t="s">
        <v>833</v>
      </c>
      <c r="B911" s="16">
        <v>908</v>
      </c>
      <c r="C911" s="20" t="s">
        <v>234</v>
      </c>
      <c r="D911" s="20" t="s">
        <v>213</v>
      </c>
      <c r="E911" s="20" t="s">
        <v>983</v>
      </c>
      <c r="F911" s="20"/>
      <c r="G911" s="467">
        <f>'Пр.4 ведом.21'!G1048</f>
        <v>0</v>
      </c>
      <c r="H911" s="467">
        <f t="shared" si="85"/>
        <v>0</v>
      </c>
      <c r="I911" s="204"/>
    </row>
    <row r="912" spans="1:13" ht="31.5" hidden="1" x14ac:dyDescent="0.25">
      <c r="A912" s="466" t="s">
        <v>838</v>
      </c>
      <c r="B912" s="16">
        <v>908</v>
      </c>
      <c r="C912" s="20" t="s">
        <v>234</v>
      </c>
      <c r="D912" s="20" t="s">
        <v>213</v>
      </c>
      <c r="E912" s="20" t="s">
        <v>983</v>
      </c>
      <c r="F912" s="20" t="s">
        <v>837</v>
      </c>
      <c r="G912" s="467">
        <f>'Пр.4 ведом.21'!G1049</f>
        <v>0</v>
      </c>
      <c r="H912" s="467">
        <f t="shared" si="85"/>
        <v>0</v>
      </c>
      <c r="I912" s="204"/>
    </row>
    <row r="913" spans="1:9" ht="63" hidden="1" x14ac:dyDescent="0.25">
      <c r="A913" s="466" t="s">
        <v>1051</v>
      </c>
      <c r="B913" s="16">
        <v>908</v>
      </c>
      <c r="C913" s="20" t="s">
        <v>234</v>
      </c>
      <c r="D913" s="20" t="s">
        <v>213</v>
      </c>
      <c r="E913" s="20" t="s">
        <v>983</v>
      </c>
      <c r="F913" s="20" t="s">
        <v>1070</v>
      </c>
      <c r="G913" s="467">
        <f>'Пр.4 ведом.21'!G1050</f>
        <v>0</v>
      </c>
      <c r="H913" s="467">
        <f t="shared" si="85"/>
        <v>0</v>
      </c>
      <c r="I913" s="204"/>
    </row>
    <row r="914" spans="1:9" ht="15.75" hidden="1" x14ac:dyDescent="0.25">
      <c r="A914" s="466" t="s">
        <v>135</v>
      </c>
      <c r="B914" s="16">
        <v>908</v>
      </c>
      <c r="C914" s="20" t="s">
        <v>234</v>
      </c>
      <c r="D914" s="20" t="s">
        <v>213</v>
      </c>
      <c r="E914" s="20" t="s">
        <v>983</v>
      </c>
      <c r="F914" s="20" t="s">
        <v>145</v>
      </c>
      <c r="G914" s="467">
        <f>'Пр.4 ведом.21'!G1051</f>
        <v>0</v>
      </c>
      <c r="H914" s="467">
        <f t="shared" si="85"/>
        <v>0</v>
      </c>
      <c r="I914" s="204"/>
    </row>
    <row r="915" spans="1:9" ht="15.75" hidden="1" x14ac:dyDescent="0.25">
      <c r="A915" s="466" t="s">
        <v>704</v>
      </c>
      <c r="B915" s="16">
        <v>908</v>
      </c>
      <c r="C915" s="20" t="s">
        <v>234</v>
      </c>
      <c r="D915" s="20" t="s">
        <v>213</v>
      </c>
      <c r="E915" s="20" t="s">
        <v>983</v>
      </c>
      <c r="F915" s="20" t="s">
        <v>138</v>
      </c>
      <c r="G915" s="467">
        <f>'Пр.4 ведом.21'!G1052</f>
        <v>0</v>
      </c>
      <c r="H915" s="467">
        <f t="shared" si="85"/>
        <v>0</v>
      </c>
      <c r="I915" s="204"/>
    </row>
    <row r="916" spans="1:9" ht="31.5" hidden="1" x14ac:dyDescent="0.25">
      <c r="A916" s="466" t="s">
        <v>1071</v>
      </c>
      <c r="B916" s="16">
        <v>908</v>
      </c>
      <c r="C916" s="20" t="s">
        <v>234</v>
      </c>
      <c r="D916" s="20" t="s">
        <v>213</v>
      </c>
      <c r="E916" s="20" t="s">
        <v>1072</v>
      </c>
      <c r="F916" s="20"/>
      <c r="G916" s="467">
        <f>'Пр.4 ведом.21'!G1053</f>
        <v>0</v>
      </c>
      <c r="H916" s="467">
        <f t="shared" si="85"/>
        <v>0</v>
      </c>
      <c r="I916" s="204"/>
    </row>
    <row r="917" spans="1:9" ht="31.5" hidden="1" x14ac:dyDescent="0.25">
      <c r="A917" s="466" t="s">
        <v>131</v>
      </c>
      <c r="B917" s="16">
        <v>908</v>
      </c>
      <c r="C917" s="20" t="s">
        <v>234</v>
      </c>
      <c r="D917" s="20" t="s">
        <v>213</v>
      </c>
      <c r="E917" s="20" t="s">
        <v>1072</v>
      </c>
      <c r="F917" s="20" t="s">
        <v>132</v>
      </c>
      <c r="G917" s="467">
        <f>'Пр.4 ведом.21'!G1054</f>
        <v>0</v>
      </c>
      <c r="H917" s="467">
        <f t="shared" si="85"/>
        <v>0</v>
      </c>
      <c r="I917" s="204"/>
    </row>
    <row r="918" spans="1:9" ht="31.5" hidden="1" x14ac:dyDescent="0.25">
      <c r="A918" s="466" t="s">
        <v>133</v>
      </c>
      <c r="B918" s="16">
        <v>908</v>
      </c>
      <c r="C918" s="20" t="s">
        <v>234</v>
      </c>
      <c r="D918" s="20" t="s">
        <v>213</v>
      </c>
      <c r="E918" s="20" t="s">
        <v>1072</v>
      </c>
      <c r="F918" s="20" t="s">
        <v>134</v>
      </c>
      <c r="G918" s="467">
        <f>'Пр.4 ведом.21'!G1055</f>
        <v>0</v>
      </c>
      <c r="H918" s="467">
        <f t="shared" si="85"/>
        <v>0</v>
      </c>
      <c r="I918" s="204"/>
    </row>
    <row r="919" spans="1:9" ht="63" x14ac:dyDescent="0.25">
      <c r="A919" s="464" t="s">
        <v>1543</v>
      </c>
      <c r="B919" s="19">
        <v>908</v>
      </c>
      <c r="C919" s="24" t="s">
        <v>234</v>
      </c>
      <c r="D919" s="24" t="s">
        <v>213</v>
      </c>
      <c r="E919" s="24" t="s">
        <v>518</v>
      </c>
      <c r="F919" s="24"/>
      <c r="G919" s="463">
        <f>G920+G924+G928+G932+G944+G940</f>
        <v>700</v>
      </c>
      <c r="H919" s="463">
        <f>H920+H924+H928+H932+H944+H940</f>
        <v>700</v>
      </c>
      <c r="I919" s="204"/>
    </row>
    <row r="920" spans="1:9" ht="31.5" x14ac:dyDescent="0.25">
      <c r="A920" s="464" t="s">
        <v>963</v>
      </c>
      <c r="B920" s="19">
        <v>908</v>
      </c>
      <c r="C920" s="24" t="s">
        <v>234</v>
      </c>
      <c r="D920" s="24" t="s">
        <v>213</v>
      </c>
      <c r="E920" s="24" t="s">
        <v>965</v>
      </c>
      <c r="F920" s="24"/>
      <c r="G920" s="463">
        <f t="shared" ref="G920:H922" si="86">G921</f>
        <v>700</v>
      </c>
      <c r="H920" s="463">
        <f t="shared" si="86"/>
        <v>700</v>
      </c>
      <c r="I920" s="204"/>
    </row>
    <row r="921" spans="1:9" ht="15.75" x14ac:dyDescent="0.25">
      <c r="A921" s="45" t="s">
        <v>964</v>
      </c>
      <c r="B921" s="16">
        <v>908</v>
      </c>
      <c r="C921" s="40" t="s">
        <v>234</v>
      </c>
      <c r="D921" s="40" t="s">
        <v>213</v>
      </c>
      <c r="E921" s="20" t="s">
        <v>966</v>
      </c>
      <c r="F921" s="40"/>
      <c r="G921" s="467">
        <f t="shared" si="86"/>
        <v>700</v>
      </c>
      <c r="H921" s="467">
        <f t="shared" si="86"/>
        <v>700</v>
      </c>
      <c r="I921" s="204"/>
    </row>
    <row r="922" spans="1:9" ht="31.5" x14ac:dyDescent="0.25">
      <c r="A922" s="31" t="s">
        <v>131</v>
      </c>
      <c r="B922" s="16">
        <v>908</v>
      </c>
      <c r="C922" s="40" t="s">
        <v>234</v>
      </c>
      <c r="D922" s="40" t="s">
        <v>213</v>
      </c>
      <c r="E922" s="20" t="s">
        <v>966</v>
      </c>
      <c r="F922" s="40" t="s">
        <v>132</v>
      </c>
      <c r="G922" s="467">
        <f t="shared" si="86"/>
        <v>700</v>
      </c>
      <c r="H922" s="467">
        <f t="shared" si="86"/>
        <v>700</v>
      </c>
      <c r="I922" s="204"/>
    </row>
    <row r="923" spans="1:9" ht="31.5" x14ac:dyDescent="0.25">
      <c r="A923" s="31" t="s">
        <v>133</v>
      </c>
      <c r="B923" s="16">
        <v>908</v>
      </c>
      <c r="C923" s="40" t="s">
        <v>234</v>
      </c>
      <c r="D923" s="40" t="s">
        <v>213</v>
      </c>
      <c r="E923" s="20" t="s">
        <v>966</v>
      </c>
      <c r="F923" s="40" t="s">
        <v>134</v>
      </c>
      <c r="G923" s="467">
        <v>700</v>
      </c>
      <c r="H923" s="467">
        <v>700</v>
      </c>
      <c r="I923" s="204"/>
    </row>
    <row r="924" spans="1:9" ht="31.5" hidden="1" x14ac:dyDescent="0.25">
      <c r="A924" s="34" t="s">
        <v>967</v>
      </c>
      <c r="B924" s="19">
        <v>908</v>
      </c>
      <c r="C924" s="7" t="s">
        <v>234</v>
      </c>
      <c r="D924" s="7" t="s">
        <v>213</v>
      </c>
      <c r="E924" s="24" t="s">
        <v>968</v>
      </c>
      <c r="F924" s="7"/>
      <c r="G924" s="463">
        <f>G925</f>
        <v>0</v>
      </c>
      <c r="H924" s="463">
        <f>H925</f>
        <v>0</v>
      </c>
      <c r="I924" s="204"/>
    </row>
    <row r="925" spans="1:9" ht="15.75" hidden="1" x14ac:dyDescent="0.25">
      <c r="A925" s="45" t="s">
        <v>523</v>
      </c>
      <c r="B925" s="16">
        <v>908</v>
      </c>
      <c r="C925" s="40" t="s">
        <v>234</v>
      </c>
      <c r="D925" s="40" t="s">
        <v>213</v>
      </c>
      <c r="E925" s="20" t="s">
        <v>971</v>
      </c>
      <c r="F925" s="40"/>
      <c r="G925" s="467">
        <f>G926</f>
        <v>0</v>
      </c>
      <c r="H925" s="467">
        <f t="shared" si="85"/>
        <v>0</v>
      </c>
      <c r="I925" s="204"/>
    </row>
    <row r="926" spans="1:9" ht="31.5" hidden="1" x14ac:dyDescent="0.25">
      <c r="A926" s="31" t="s">
        <v>131</v>
      </c>
      <c r="B926" s="16">
        <v>908</v>
      </c>
      <c r="C926" s="40" t="s">
        <v>234</v>
      </c>
      <c r="D926" s="40" t="s">
        <v>213</v>
      </c>
      <c r="E926" s="20" t="s">
        <v>971</v>
      </c>
      <c r="F926" s="40" t="s">
        <v>132</v>
      </c>
      <c r="G926" s="467">
        <f>G927</f>
        <v>0</v>
      </c>
      <c r="H926" s="467">
        <f t="shared" si="85"/>
        <v>0</v>
      </c>
      <c r="I926" s="204"/>
    </row>
    <row r="927" spans="1:9" ht="31.5" hidden="1" x14ac:dyDescent="0.25">
      <c r="A927" s="31" t="s">
        <v>133</v>
      </c>
      <c r="B927" s="16">
        <v>908</v>
      </c>
      <c r="C927" s="40" t="s">
        <v>234</v>
      </c>
      <c r="D927" s="40" t="s">
        <v>213</v>
      </c>
      <c r="E927" s="20" t="s">
        <v>971</v>
      </c>
      <c r="F927" s="40" t="s">
        <v>134</v>
      </c>
      <c r="G927" s="467">
        <v>0</v>
      </c>
      <c r="H927" s="467">
        <f t="shared" si="85"/>
        <v>0</v>
      </c>
      <c r="I927" s="204"/>
    </row>
    <row r="928" spans="1:9" ht="31.5" hidden="1" x14ac:dyDescent="0.25">
      <c r="A928" s="58" t="s">
        <v>969</v>
      </c>
      <c r="B928" s="19">
        <v>908</v>
      </c>
      <c r="C928" s="7" t="s">
        <v>234</v>
      </c>
      <c r="D928" s="7" t="s">
        <v>213</v>
      </c>
      <c r="E928" s="24" t="s">
        <v>970</v>
      </c>
      <c r="F928" s="7"/>
      <c r="G928" s="458">
        <f>G929</f>
        <v>0</v>
      </c>
      <c r="H928" s="458">
        <f>H929</f>
        <v>0</v>
      </c>
      <c r="I928" s="204"/>
    </row>
    <row r="929" spans="1:9" ht="15.75" hidden="1" x14ac:dyDescent="0.25">
      <c r="A929" s="45" t="s">
        <v>525</v>
      </c>
      <c r="B929" s="16">
        <v>908</v>
      </c>
      <c r="C929" s="40" t="s">
        <v>234</v>
      </c>
      <c r="D929" s="40" t="s">
        <v>213</v>
      </c>
      <c r="E929" s="20" t="s">
        <v>972</v>
      </c>
      <c r="F929" s="40"/>
      <c r="G929" s="467">
        <f>'Пр.4 ведом.21'!G1066</f>
        <v>0</v>
      </c>
      <c r="H929" s="467">
        <f t="shared" si="85"/>
        <v>0</v>
      </c>
      <c r="I929" s="204"/>
    </row>
    <row r="930" spans="1:9" ht="31.5" hidden="1" x14ac:dyDescent="0.25">
      <c r="A930" s="31" t="s">
        <v>131</v>
      </c>
      <c r="B930" s="16">
        <v>908</v>
      </c>
      <c r="C930" s="40" t="s">
        <v>234</v>
      </c>
      <c r="D930" s="40" t="s">
        <v>213</v>
      </c>
      <c r="E930" s="20" t="s">
        <v>972</v>
      </c>
      <c r="F930" s="40" t="s">
        <v>132</v>
      </c>
      <c r="G930" s="467">
        <f>'Пр.4 ведом.21'!G1067</f>
        <v>0</v>
      </c>
      <c r="H930" s="467">
        <f t="shared" si="85"/>
        <v>0</v>
      </c>
      <c r="I930" s="204"/>
    </row>
    <row r="931" spans="1:9" ht="31.5" hidden="1" x14ac:dyDescent="0.25">
      <c r="A931" s="31" t="s">
        <v>133</v>
      </c>
      <c r="B931" s="16">
        <v>908</v>
      </c>
      <c r="C931" s="40" t="s">
        <v>234</v>
      </c>
      <c r="D931" s="40" t="s">
        <v>213</v>
      </c>
      <c r="E931" s="20" t="s">
        <v>972</v>
      </c>
      <c r="F931" s="40" t="s">
        <v>134</v>
      </c>
      <c r="G931" s="467">
        <f>'Пр.4 ведом.21'!G1068</f>
        <v>0</v>
      </c>
      <c r="H931" s="467">
        <f t="shared" si="85"/>
        <v>0</v>
      </c>
      <c r="I931" s="204"/>
    </row>
    <row r="932" spans="1:9" ht="31.5" hidden="1" x14ac:dyDescent="0.25">
      <c r="A932" s="58" t="s">
        <v>973</v>
      </c>
      <c r="B932" s="19">
        <v>908</v>
      </c>
      <c r="C932" s="7" t="s">
        <v>234</v>
      </c>
      <c r="D932" s="7" t="s">
        <v>213</v>
      </c>
      <c r="E932" s="24" t="s">
        <v>974</v>
      </c>
      <c r="F932" s="7"/>
      <c r="G932" s="458">
        <f>G933</f>
        <v>0</v>
      </c>
      <c r="H932" s="458">
        <f>H933</f>
        <v>0</v>
      </c>
      <c r="I932" s="204"/>
    </row>
    <row r="933" spans="1:9" ht="15.75" hidden="1" x14ac:dyDescent="0.25">
      <c r="A933" s="45" t="s">
        <v>527</v>
      </c>
      <c r="B933" s="16">
        <v>908</v>
      </c>
      <c r="C933" s="40" t="s">
        <v>234</v>
      </c>
      <c r="D933" s="40" t="s">
        <v>213</v>
      </c>
      <c r="E933" s="20" t="s">
        <v>975</v>
      </c>
      <c r="F933" s="40"/>
      <c r="G933" s="467">
        <f>G934</f>
        <v>0</v>
      </c>
      <c r="H933" s="467">
        <f t="shared" si="85"/>
        <v>0</v>
      </c>
      <c r="I933" s="204"/>
    </row>
    <row r="934" spans="1:9" ht="31.5" hidden="1" x14ac:dyDescent="0.25">
      <c r="A934" s="31" t="s">
        <v>131</v>
      </c>
      <c r="B934" s="16">
        <v>908</v>
      </c>
      <c r="C934" s="40" t="s">
        <v>234</v>
      </c>
      <c r="D934" s="40" t="s">
        <v>213</v>
      </c>
      <c r="E934" s="20" t="s">
        <v>975</v>
      </c>
      <c r="F934" s="40" t="s">
        <v>132</v>
      </c>
      <c r="G934" s="467">
        <f>G935</f>
        <v>0</v>
      </c>
      <c r="H934" s="467">
        <f t="shared" si="85"/>
        <v>0</v>
      </c>
      <c r="I934" s="204"/>
    </row>
    <row r="935" spans="1:9" ht="31.5" hidden="1" x14ac:dyDescent="0.25">
      <c r="A935" s="31" t="s">
        <v>133</v>
      </c>
      <c r="B935" s="16">
        <v>908</v>
      </c>
      <c r="C935" s="40" t="s">
        <v>234</v>
      </c>
      <c r="D935" s="40" t="s">
        <v>213</v>
      </c>
      <c r="E935" s="20" t="s">
        <v>975</v>
      </c>
      <c r="F935" s="40" t="s">
        <v>134</v>
      </c>
      <c r="G935" s="467">
        <v>0</v>
      </c>
      <c r="H935" s="467">
        <f t="shared" si="85"/>
        <v>0</v>
      </c>
      <c r="I935" s="204"/>
    </row>
    <row r="936" spans="1:9" ht="31.5" hidden="1" x14ac:dyDescent="0.25">
      <c r="A936" s="34" t="s">
        <v>1014</v>
      </c>
      <c r="B936" s="19">
        <v>908</v>
      </c>
      <c r="C936" s="7" t="s">
        <v>234</v>
      </c>
      <c r="D936" s="7" t="s">
        <v>213</v>
      </c>
      <c r="E936" s="24" t="s">
        <v>1015</v>
      </c>
      <c r="F936" s="7"/>
      <c r="G936" s="458">
        <f>G937</f>
        <v>0</v>
      </c>
      <c r="H936" s="458">
        <f>H937</f>
        <v>0</v>
      </c>
      <c r="I936" s="204"/>
    </row>
    <row r="937" spans="1:9" ht="15.75" hidden="1" x14ac:dyDescent="0.25">
      <c r="A937" s="45" t="s">
        <v>529</v>
      </c>
      <c r="B937" s="16">
        <v>908</v>
      </c>
      <c r="C937" s="40" t="s">
        <v>234</v>
      </c>
      <c r="D937" s="40" t="s">
        <v>213</v>
      </c>
      <c r="E937" s="20" t="s">
        <v>1018</v>
      </c>
      <c r="F937" s="40"/>
      <c r="G937" s="467">
        <f>G938</f>
        <v>0</v>
      </c>
      <c r="H937" s="467">
        <f t="shared" si="85"/>
        <v>0</v>
      </c>
      <c r="I937" s="204"/>
    </row>
    <row r="938" spans="1:9" ht="31.5" hidden="1" x14ac:dyDescent="0.25">
      <c r="A938" s="31" t="s">
        <v>131</v>
      </c>
      <c r="B938" s="16">
        <v>908</v>
      </c>
      <c r="C938" s="40" t="s">
        <v>234</v>
      </c>
      <c r="D938" s="40" t="s">
        <v>213</v>
      </c>
      <c r="E938" s="20" t="s">
        <v>1018</v>
      </c>
      <c r="F938" s="40" t="s">
        <v>132</v>
      </c>
      <c r="G938" s="467">
        <f>G939</f>
        <v>0</v>
      </c>
      <c r="H938" s="467">
        <f t="shared" si="85"/>
        <v>0</v>
      </c>
      <c r="I938" s="204"/>
    </row>
    <row r="939" spans="1:9" ht="31.5" hidden="1" x14ac:dyDescent="0.25">
      <c r="A939" s="31" t="s">
        <v>133</v>
      </c>
      <c r="B939" s="16">
        <v>908</v>
      </c>
      <c r="C939" s="40" t="s">
        <v>234</v>
      </c>
      <c r="D939" s="40" t="s">
        <v>213</v>
      </c>
      <c r="E939" s="20" t="s">
        <v>1018</v>
      </c>
      <c r="F939" s="40" t="s">
        <v>134</v>
      </c>
      <c r="G939" s="467">
        <v>0</v>
      </c>
      <c r="H939" s="467">
        <f t="shared" si="85"/>
        <v>0</v>
      </c>
      <c r="I939" s="204"/>
    </row>
    <row r="940" spans="1:9" ht="31.5" hidden="1" x14ac:dyDescent="0.25">
      <c r="A940" s="219" t="s">
        <v>1016</v>
      </c>
      <c r="B940" s="19">
        <v>908</v>
      </c>
      <c r="C940" s="7" t="s">
        <v>234</v>
      </c>
      <c r="D940" s="7" t="s">
        <v>213</v>
      </c>
      <c r="E940" s="24" t="s">
        <v>1017</v>
      </c>
      <c r="F940" s="7"/>
      <c r="G940" s="463">
        <f>G941</f>
        <v>0</v>
      </c>
      <c r="H940" s="463">
        <f>H941</f>
        <v>0</v>
      </c>
      <c r="I940" s="204"/>
    </row>
    <row r="941" spans="1:9" ht="31.5" hidden="1" x14ac:dyDescent="0.25">
      <c r="A941" s="174" t="s">
        <v>531</v>
      </c>
      <c r="B941" s="16">
        <v>908</v>
      </c>
      <c r="C941" s="40" t="s">
        <v>234</v>
      </c>
      <c r="D941" s="40" t="s">
        <v>213</v>
      </c>
      <c r="E941" s="20" t="s">
        <v>1019</v>
      </c>
      <c r="F941" s="40"/>
      <c r="G941" s="467">
        <f>'Пр.4 ведом.21'!G1078</f>
        <v>0</v>
      </c>
      <c r="H941" s="467">
        <f t="shared" si="85"/>
        <v>0</v>
      </c>
      <c r="I941" s="204"/>
    </row>
    <row r="942" spans="1:9" ht="31.5" hidden="1" x14ac:dyDescent="0.25">
      <c r="A942" s="31" t="s">
        <v>131</v>
      </c>
      <c r="B942" s="16">
        <v>908</v>
      </c>
      <c r="C942" s="40" t="s">
        <v>234</v>
      </c>
      <c r="D942" s="40" t="s">
        <v>213</v>
      </c>
      <c r="E942" s="20" t="s">
        <v>1019</v>
      </c>
      <c r="F942" s="40" t="s">
        <v>132</v>
      </c>
      <c r="G942" s="467">
        <f>'Пр.4 ведом.21'!G1079</f>
        <v>0</v>
      </c>
      <c r="H942" s="467">
        <f t="shared" si="85"/>
        <v>0</v>
      </c>
      <c r="I942" s="204"/>
    </row>
    <row r="943" spans="1:9" ht="31.5" hidden="1" x14ac:dyDescent="0.25">
      <c r="A943" s="31" t="s">
        <v>133</v>
      </c>
      <c r="B943" s="16">
        <v>908</v>
      </c>
      <c r="C943" s="40" t="s">
        <v>234</v>
      </c>
      <c r="D943" s="40" t="s">
        <v>213</v>
      </c>
      <c r="E943" s="20" t="s">
        <v>1019</v>
      </c>
      <c r="F943" s="40" t="s">
        <v>134</v>
      </c>
      <c r="G943" s="467">
        <f>'Пр.4 ведом.21'!G1080</f>
        <v>0</v>
      </c>
      <c r="H943" s="467">
        <f t="shared" si="85"/>
        <v>0</v>
      </c>
      <c r="I943" s="204"/>
    </row>
    <row r="944" spans="1:9" ht="31.5" hidden="1" x14ac:dyDescent="0.25">
      <c r="A944" s="219" t="s">
        <v>977</v>
      </c>
      <c r="B944" s="19">
        <v>908</v>
      </c>
      <c r="C944" s="7" t="s">
        <v>234</v>
      </c>
      <c r="D944" s="7" t="s">
        <v>213</v>
      </c>
      <c r="E944" s="24" t="s">
        <v>978</v>
      </c>
      <c r="F944" s="7"/>
      <c r="G944" s="463">
        <f>G945</f>
        <v>0</v>
      </c>
      <c r="H944" s="463">
        <f>H945</f>
        <v>0</v>
      </c>
      <c r="I944" s="204"/>
    </row>
    <row r="945" spans="1:9" ht="15.75" hidden="1" x14ac:dyDescent="0.25">
      <c r="A945" s="174" t="s">
        <v>533</v>
      </c>
      <c r="B945" s="16">
        <v>908</v>
      </c>
      <c r="C945" s="40" t="s">
        <v>234</v>
      </c>
      <c r="D945" s="40" t="s">
        <v>213</v>
      </c>
      <c r="E945" s="20" t="s">
        <v>976</v>
      </c>
      <c r="F945" s="40"/>
      <c r="G945" s="467">
        <f>G946</f>
        <v>0</v>
      </c>
      <c r="H945" s="467">
        <f t="shared" si="85"/>
        <v>0</v>
      </c>
      <c r="I945" s="204"/>
    </row>
    <row r="946" spans="1:9" ht="31.5" hidden="1" x14ac:dyDescent="0.25">
      <c r="A946" s="466" t="s">
        <v>131</v>
      </c>
      <c r="B946" s="16">
        <v>908</v>
      </c>
      <c r="C946" s="40" t="s">
        <v>234</v>
      </c>
      <c r="D946" s="40" t="s">
        <v>213</v>
      </c>
      <c r="E946" s="20" t="s">
        <v>976</v>
      </c>
      <c r="F946" s="40" t="s">
        <v>132</v>
      </c>
      <c r="G946" s="467">
        <f>G947</f>
        <v>0</v>
      </c>
      <c r="H946" s="467">
        <f t="shared" si="85"/>
        <v>0</v>
      </c>
      <c r="I946" s="204"/>
    </row>
    <row r="947" spans="1:9" ht="31.5" hidden="1" x14ac:dyDescent="0.25">
      <c r="A947" s="466" t="s">
        <v>133</v>
      </c>
      <c r="B947" s="16">
        <v>908</v>
      </c>
      <c r="C947" s="40" t="s">
        <v>234</v>
      </c>
      <c r="D947" s="40" t="s">
        <v>213</v>
      </c>
      <c r="E947" s="20" t="s">
        <v>976</v>
      </c>
      <c r="F947" s="40" t="s">
        <v>134</v>
      </c>
      <c r="G947" s="467">
        <v>0</v>
      </c>
      <c r="H947" s="467">
        <f t="shared" si="85"/>
        <v>0</v>
      </c>
      <c r="I947" s="204"/>
    </row>
    <row r="948" spans="1:9" s="203" customFormat="1" ht="47.25" x14ac:dyDescent="0.25">
      <c r="A948" s="464" t="s">
        <v>1545</v>
      </c>
      <c r="B948" s="19">
        <v>908</v>
      </c>
      <c r="C948" s="7" t="s">
        <v>234</v>
      </c>
      <c r="D948" s="7" t="s">
        <v>213</v>
      </c>
      <c r="E948" s="24" t="s">
        <v>1146</v>
      </c>
      <c r="F948" s="7"/>
      <c r="G948" s="463">
        <f t="shared" ref="G948:H951" si="87">G949</f>
        <v>204</v>
      </c>
      <c r="H948" s="463">
        <f t="shared" si="87"/>
        <v>215</v>
      </c>
      <c r="I948" s="204"/>
    </row>
    <row r="949" spans="1:9" s="203" customFormat="1" ht="31.5" x14ac:dyDescent="0.25">
      <c r="A949" s="464" t="s">
        <v>1549</v>
      </c>
      <c r="B949" s="19">
        <v>908</v>
      </c>
      <c r="C949" s="7" t="s">
        <v>234</v>
      </c>
      <c r="D949" s="7" t="s">
        <v>213</v>
      </c>
      <c r="E949" s="24" t="s">
        <v>1148</v>
      </c>
      <c r="F949" s="7"/>
      <c r="G949" s="463">
        <f t="shared" si="87"/>
        <v>204</v>
      </c>
      <c r="H949" s="463">
        <f t="shared" si="87"/>
        <v>215</v>
      </c>
      <c r="I949" s="204"/>
    </row>
    <row r="950" spans="1:9" s="203" customFormat="1" ht="15.75" x14ac:dyDescent="0.25">
      <c r="A950" s="466" t="s">
        <v>537</v>
      </c>
      <c r="B950" s="16">
        <v>908</v>
      </c>
      <c r="C950" s="40" t="s">
        <v>234</v>
      </c>
      <c r="D950" s="40" t="s">
        <v>213</v>
      </c>
      <c r="E950" s="20" t="s">
        <v>1149</v>
      </c>
      <c r="F950" s="40"/>
      <c r="G950" s="467">
        <f t="shared" si="87"/>
        <v>204</v>
      </c>
      <c r="H950" s="467">
        <f t="shared" si="87"/>
        <v>215</v>
      </c>
      <c r="I950" s="204"/>
    </row>
    <row r="951" spans="1:9" s="203" customFormat="1" ht="31.5" x14ac:dyDescent="0.25">
      <c r="A951" s="466" t="s">
        <v>131</v>
      </c>
      <c r="B951" s="16">
        <v>908</v>
      </c>
      <c r="C951" s="40" t="s">
        <v>234</v>
      </c>
      <c r="D951" s="40" t="s">
        <v>213</v>
      </c>
      <c r="E951" s="20" t="s">
        <v>1149</v>
      </c>
      <c r="F951" s="40" t="s">
        <v>132</v>
      </c>
      <c r="G951" s="467">
        <f t="shared" si="87"/>
        <v>204</v>
      </c>
      <c r="H951" s="467">
        <f t="shared" si="87"/>
        <v>215</v>
      </c>
      <c r="I951" s="204"/>
    </row>
    <row r="952" spans="1:9" s="203" customFormat="1" ht="31.7" customHeight="1" x14ac:dyDescent="0.25">
      <c r="A952" s="466" t="s">
        <v>133</v>
      </c>
      <c r="B952" s="16">
        <v>908</v>
      </c>
      <c r="C952" s="40" t="s">
        <v>234</v>
      </c>
      <c r="D952" s="40" t="s">
        <v>213</v>
      </c>
      <c r="E952" s="20" t="s">
        <v>1149</v>
      </c>
      <c r="F952" s="40" t="s">
        <v>134</v>
      </c>
      <c r="G952" s="467">
        <v>204</v>
      </c>
      <c r="H952" s="467">
        <v>215</v>
      </c>
      <c r="I952" s="204"/>
    </row>
    <row r="953" spans="1:9" ht="15.75" x14ac:dyDescent="0.25">
      <c r="A953" s="464" t="s">
        <v>541</v>
      </c>
      <c r="B953" s="19">
        <v>908</v>
      </c>
      <c r="C953" s="24" t="s">
        <v>234</v>
      </c>
      <c r="D953" s="24" t="s">
        <v>215</v>
      </c>
      <c r="E953" s="24"/>
      <c r="F953" s="24"/>
      <c r="G953" s="463">
        <f>G954+G959+G998</f>
        <v>3810</v>
      </c>
      <c r="H953" s="463">
        <f>H954+H959+H998</f>
        <v>4063</v>
      </c>
      <c r="I953" s="204"/>
    </row>
    <row r="954" spans="1:9" ht="15.75" x14ac:dyDescent="0.25">
      <c r="A954" s="464" t="s">
        <v>141</v>
      </c>
      <c r="B954" s="19">
        <v>908</v>
      </c>
      <c r="C954" s="24" t="s">
        <v>234</v>
      </c>
      <c r="D954" s="24" t="s">
        <v>215</v>
      </c>
      <c r="E954" s="24" t="s">
        <v>866</v>
      </c>
      <c r="F954" s="24"/>
      <c r="G954" s="463">
        <f t="shared" ref="G954:H957" si="88">G955</f>
        <v>1390</v>
      </c>
      <c r="H954" s="463">
        <f t="shared" si="88"/>
        <v>1390</v>
      </c>
      <c r="I954" s="204"/>
    </row>
    <row r="955" spans="1:9" ht="31.5" x14ac:dyDescent="0.25">
      <c r="A955" s="464" t="s">
        <v>870</v>
      </c>
      <c r="B955" s="19">
        <v>908</v>
      </c>
      <c r="C955" s="24" t="s">
        <v>234</v>
      </c>
      <c r="D955" s="24" t="s">
        <v>215</v>
      </c>
      <c r="E955" s="24" t="s">
        <v>865</v>
      </c>
      <c r="F955" s="24"/>
      <c r="G955" s="463">
        <f t="shared" si="88"/>
        <v>1390</v>
      </c>
      <c r="H955" s="463">
        <f t="shared" si="88"/>
        <v>1390</v>
      </c>
      <c r="I955" s="204"/>
    </row>
    <row r="956" spans="1:9" ht="15.75" x14ac:dyDescent="0.25">
      <c r="A956" s="466" t="s">
        <v>564</v>
      </c>
      <c r="B956" s="16">
        <v>908</v>
      </c>
      <c r="C956" s="20" t="s">
        <v>234</v>
      </c>
      <c r="D956" s="20" t="s">
        <v>215</v>
      </c>
      <c r="E956" s="20" t="s">
        <v>1077</v>
      </c>
      <c r="F956" s="20"/>
      <c r="G956" s="467">
        <f t="shared" si="88"/>
        <v>1390</v>
      </c>
      <c r="H956" s="467">
        <f t="shared" si="88"/>
        <v>1390</v>
      </c>
      <c r="I956" s="204"/>
    </row>
    <row r="957" spans="1:9" ht="31.5" x14ac:dyDescent="0.25">
      <c r="A957" s="466" t="s">
        <v>131</v>
      </c>
      <c r="B957" s="16">
        <v>908</v>
      </c>
      <c r="C957" s="20" t="s">
        <v>234</v>
      </c>
      <c r="D957" s="20" t="s">
        <v>215</v>
      </c>
      <c r="E957" s="20" t="s">
        <v>1077</v>
      </c>
      <c r="F957" s="20" t="s">
        <v>132</v>
      </c>
      <c r="G957" s="467">
        <f t="shared" si="88"/>
        <v>1390</v>
      </c>
      <c r="H957" s="467">
        <f t="shared" si="88"/>
        <v>1390</v>
      </c>
      <c r="I957" s="204"/>
    </row>
    <row r="958" spans="1:9" ht="33.4" customHeight="1" x14ac:dyDescent="0.25">
      <c r="A958" s="466" t="s">
        <v>133</v>
      </c>
      <c r="B958" s="16">
        <v>908</v>
      </c>
      <c r="C958" s="20" t="s">
        <v>234</v>
      </c>
      <c r="D958" s="20" t="s">
        <v>215</v>
      </c>
      <c r="E958" s="20" t="s">
        <v>1077</v>
      </c>
      <c r="F958" s="20" t="s">
        <v>134</v>
      </c>
      <c r="G958" s="467">
        <f>390+1000</f>
        <v>1390</v>
      </c>
      <c r="H958" s="467">
        <f t="shared" si="85"/>
        <v>1390</v>
      </c>
      <c r="I958" s="204"/>
    </row>
    <row r="959" spans="1:9" ht="31.5" x14ac:dyDescent="0.25">
      <c r="A959" s="464" t="s">
        <v>1373</v>
      </c>
      <c r="B959" s="19">
        <v>908</v>
      </c>
      <c r="C959" s="24" t="s">
        <v>234</v>
      </c>
      <c r="D959" s="24" t="s">
        <v>215</v>
      </c>
      <c r="E959" s="24" t="s">
        <v>543</v>
      </c>
      <c r="F959" s="24"/>
      <c r="G959" s="463">
        <f>G960+G964+G991</f>
        <v>1920</v>
      </c>
      <c r="H959" s="463">
        <f>H960+H964+H991</f>
        <v>2173</v>
      </c>
      <c r="I959" s="204"/>
    </row>
    <row r="960" spans="1:9" s="203" customFormat="1" ht="47.25" hidden="1" x14ac:dyDescent="0.25">
      <c r="A960" s="464" t="s">
        <v>1443</v>
      </c>
      <c r="B960" s="19">
        <v>908</v>
      </c>
      <c r="C960" s="24" t="s">
        <v>234</v>
      </c>
      <c r="D960" s="24" t="s">
        <v>215</v>
      </c>
      <c r="E960" s="24" t="s">
        <v>1278</v>
      </c>
      <c r="F960" s="24"/>
      <c r="G960" s="463">
        <f t="shared" ref="G960:H962" si="89">G961</f>
        <v>0</v>
      </c>
      <c r="H960" s="463">
        <f t="shared" si="89"/>
        <v>0</v>
      </c>
      <c r="I960" s="204"/>
    </row>
    <row r="961" spans="1:9" s="203" customFormat="1" ht="31.5" hidden="1" x14ac:dyDescent="0.25">
      <c r="A961" s="322" t="s">
        <v>1444</v>
      </c>
      <c r="B961" s="16">
        <v>908</v>
      </c>
      <c r="C961" s="20" t="s">
        <v>234</v>
      </c>
      <c r="D961" s="20" t="s">
        <v>215</v>
      </c>
      <c r="E961" s="20" t="s">
        <v>1431</v>
      </c>
      <c r="F961" s="20"/>
      <c r="G961" s="467">
        <f t="shared" si="89"/>
        <v>0</v>
      </c>
      <c r="H961" s="467">
        <f t="shared" si="89"/>
        <v>0</v>
      </c>
      <c r="I961" s="204"/>
    </row>
    <row r="962" spans="1:9" s="203" customFormat="1" ht="31.5" hidden="1" x14ac:dyDescent="0.25">
      <c r="A962" s="466" t="s">
        <v>131</v>
      </c>
      <c r="B962" s="16">
        <v>908</v>
      </c>
      <c r="C962" s="20" t="s">
        <v>234</v>
      </c>
      <c r="D962" s="20" t="s">
        <v>215</v>
      </c>
      <c r="E962" s="20" t="s">
        <v>1431</v>
      </c>
      <c r="F962" s="20" t="s">
        <v>132</v>
      </c>
      <c r="G962" s="467">
        <f t="shared" si="89"/>
        <v>0</v>
      </c>
      <c r="H962" s="467">
        <f t="shared" si="89"/>
        <v>0</v>
      </c>
      <c r="I962" s="204"/>
    </row>
    <row r="963" spans="1:9" s="203" customFormat="1" ht="31.5" hidden="1" x14ac:dyDescent="0.25">
      <c r="A963" s="466" t="s">
        <v>133</v>
      </c>
      <c r="B963" s="16">
        <v>908</v>
      </c>
      <c r="C963" s="20" t="s">
        <v>234</v>
      </c>
      <c r="D963" s="20" t="s">
        <v>215</v>
      </c>
      <c r="E963" s="20" t="s">
        <v>1431</v>
      </c>
      <c r="F963" s="20" t="s">
        <v>134</v>
      </c>
      <c r="G963" s="467">
        <v>0</v>
      </c>
      <c r="H963" s="467">
        <v>0</v>
      </c>
      <c r="I963" s="204"/>
    </row>
    <row r="964" spans="1:9" s="203" customFormat="1" ht="31.5" x14ac:dyDescent="0.25">
      <c r="A964" s="464" t="s">
        <v>1463</v>
      </c>
      <c r="B964" s="19">
        <v>908</v>
      </c>
      <c r="C964" s="24" t="s">
        <v>234</v>
      </c>
      <c r="D964" s="24" t="s">
        <v>215</v>
      </c>
      <c r="E964" s="24" t="s">
        <v>1279</v>
      </c>
      <c r="F964" s="24"/>
      <c r="G964" s="463">
        <f>G965+G968+G974+G977+G980+G985+G988</f>
        <v>1920</v>
      </c>
      <c r="H964" s="463">
        <f>H965+H968+H974+H977+H980+H985+H988</f>
        <v>2173</v>
      </c>
      <c r="I964" s="204"/>
    </row>
    <row r="965" spans="1:9" ht="15.75" x14ac:dyDescent="0.25">
      <c r="A965" s="466" t="s">
        <v>546</v>
      </c>
      <c r="B965" s="16">
        <v>908</v>
      </c>
      <c r="C965" s="20" t="s">
        <v>234</v>
      </c>
      <c r="D965" s="20" t="s">
        <v>215</v>
      </c>
      <c r="E965" s="20" t="s">
        <v>1442</v>
      </c>
      <c r="F965" s="20"/>
      <c r="G965" s="467">
        <f>G966</f>
        <v>365</v>
      </c>
      <c r="H965" s="467">
        <f>H966</f>
        <v>365</v>
      </c>
      <c r="I965" s="204"/>
    </row>
    <row r="966" spans="1:9" ht="31.5" x14ac:dyDescent="0.25">
      <c r="A966" s="466" t="s">
        <v>131</v>
      </c>
      <c r="B966" s="16">
        <v>908</v>
      </c>
      <c r="C966" s="20" t="s">
        <v>234</v>
      </c>
      <c r="D966" s="20" t="s">
        <v>215</v>
      </c>
      <c r="E966" s="20" t="s">
        <v>1442</v>
      </c>
      <c r="F966" s="20" t="s">
        <v>132</v>
      </c>
      <c r="G966" s="467">
        <f>G967</f>
        <v>365</v>
      </c>
      <c r="H966" s="467">
        <f>H967</f>
        <v>365</v>
      </c>
      <c r="I966" s="204"/>
    </row>
    <row r="967" spans="1:9" ht="31.5" x14ac:dyDescent="0.25">
      <c r="A967" s="466" t="s">
        <v>133</v>
      </c>
      <c r="B967" s="16">
        <v>908</v>
      </c>
      <c r="C967" s="20" t="s">
        <v>234</v>
      </c>
      <c r="D967" s="20" t="s">
        <v>215</v>
      </c>
      <c r="E967" s="20" t="s">
        <v>1442</v>
      </c>
      <c r="F967" s="20" t="s">
        <v>134</v>
      </c>
      <c r="G967" s="467">
        <v>365</v>
      </c>
      <c r="H967" s="467">
        <v>365</v>
      </c>
      <c r="I967" s="204"/>
    </row>
    <row r="968" spans="1:9" ht="15.75" x14ac:dyDescent="0.25">
      <c r="A968" s="466" t="s">
        <v>1090</v>
      </c>
      <c r="B968" s="16">
        <v>908</v>
      </c>
      <c r="C968" s="20" t="s">
        <v>234</v>
      </c>
      <c r="D968" s="20" t="s">
        <v>215</v>
      </c>
      <c r="E968" s="20" t="s">
        <v>1430</v>
      </c>
      <c r="F968" s="20"/>
      <c r="G968" s="467">
        <f>G969</f>
        <v>1080</v>
      </c>
      <c r="H968" s="467">
        <f>H969</f>
        <v>1188</v>
      </c>
      <c r="I968" s="204"/>
    </row>
    <row r="969" spans="1:9" ht="31.5" x14ac:dyDescent="0.25">
      <c r="A969" s="466" t="s">
        <v>131</v>
      </c>
      <c r="B969" s="16">
        <v>908</v>
      </c>
      <c r="C969" s="20" t="s">
        <v>234</v>
      </c>
      <c r="D969" s="20" t="s">
        <v>215</v>
      </c>
      <c r="E969" s="20" t="s">
        <v>1430</v>
      </c>
      <c r="F969" s="20" t="s">
        <v>132</v>
      </c>
      <c r="G969" s="467">
        <f>G970</f>
        <v>1080</v>
      </c>
      <c r="H969" s="467">
        <f>H970</f>
        <v>1188</v>
      </c>
      <c r="I969" s="204"/>
    </row>
    <row r="970" spans="1:9" ht="31.5" x14ac:dyDescent="0.25">
      <c r="A970" s="466" t="s">
        <v>133</v>
      </c>
      <c r="B970" s="16">
        <v>908</v>
      </c>
      <c r="C970" s="20" t="s">
        <v>234</v>
      </c>
      <c r="D970" s="20" t="s">
        <v>215</v>
      </c>
      <c r="E970" s="20" t="s">
        <v>1430</v>
      </c>
      <c r="F970" s="20" t="s">
        <v>134</v>
      </c>
      <c r="G970" s="467">
        <v>1080</v>
      </c>
      <c r="H970" s="467">
        <v>1188</v>
      </c>
      <c r="I970" s="204"/>
    </row>
    <row r="971" spans="1:9" ht="15.75" hidden="1" x14ac:dyDescent="0.25">
      <c r="A971" s="466" t="s">
        <v>135</v>
      </c>
      <c r="B971" s="16">
        <v>908</v>
      </c>
      <c r="C971" s="20" t="s">
        <v>234</v>
      </c>
      <c r="D971" s="20" t="s">
        <v>215</v>
      </c>
      <c r="E971" s="20" t="s">
        <v>1430</v>
      </c>
      <c r="F971" s="20" t="s">
        <v>145</v>
      </c>
      <c r="G971" s="467">
        <f>'Пр.4 ведом.21'!G1112</f>
        <v>0</v>
      </c>
      <c r="H971" s="467">
        <f t="shared" si="85"/>
        <v>0</v>
      </c>
      <c r="I971" s="204"/>
    </row>
    <row r="972" spans="1:9" ht="47.25" hidden="1" x14ac:dyDescent="0.25">
      <c r="A972" s="466" t="s">
        <v>836</v>
      </c>
      <c r="B972" s="16">
        <v>908</v>
      </c>
      <c r="C972" s="20" t="s">
        <v>234</v>
      </c>
      <c r="D972" s="20" t="s">
        <v>215</v>
      </c>
      <c r="E972" s="20" t="s">
        <v>1430</v>
      </c>
      <c r="F972" s="20" t="s">
        <v>147</v>
      </c>
      <c r="G972" s="467">
        <f>'Пр.4 ведом.21'!G1113</f>
        <v>0</v>
      </c>
      <c r="H972" s="467">
        <f t="shared" si="85"/>
        <v>0</v>
      </c>
      <c r="I972" s="204"/>
    </row>
    <row r="973" spans="1:9" ht="15.75" hidden="1" x14ac:dyDescent="0.25">
      <c r="A973" s="466" t="s">
        <v>704</v>
      </c>
      <c r="B973" s="16">
        <v>908</v>
      </c>
      <c r="C973" s="20" t="s">
        <v>234</v>
      </c>
      <c r="D973" s="20" t="s">
        <v>215</v>
      </c>
      <c r="E973" s="20" t="s">
        <v>1430</v>
      </c>
      <c r="F973" s="20" t="s">
        <v>138</v>
      </c>
      <c r="G973" s="467">
        <f>'Пр.4 ведом.21'!G1114</f>
        <v>0</v>
      </c>
      <c r="H973" s="467">
        <f t="shared" si="85"/>
        <v>0</v>
      </c>
      <c r="I973" s="204"/>
    </row>
    <row r="974" spans="1:9" ht="15.75" hidden="1" x14ac:dyDescent="0.25">
      <c r="A974" s="466" t="s">
        <v>550</v>
      </c>
      <c r="B974" s="16">
        <v>908</v>
      </c>
      <c r="C974" s="20" t="s">
        <v>234</v>
      </c>
      <c r="D974" s="20" t="s">
        <v>215</v>
      </c>
      <c r="E974" s="20" t="s">
        <v>1303</v>
      </c>
      <c r="F974" s="20"/>
      <c r="G974" s="467">
        <f>G975</f>
        <v>0</v>
      </c>
      <c r="H974" s="467">
        <f>H975</f>
        <v>0</v>
      </c>
      <c r="I974" s="204"/>
    </row>
    <row r="975" spans="1:9" ht="31.5" hidden="1" x14ac:dyDescent="0.25">
      <c r="A975" s="466" t="s">
        <v>131</v>
      </c>
      <c r="B975" s="16">
        <v>908</v>
      </c>
      <c r="C975" s="20" t="s">
        <v>234</v>
      </c>
      <c r="D975" s="20" t="s">
        <v>215</v>
      </c>
      <c r="E975" s="20" t="s">
        <v>1303</v>
      </c>
      <c r="F975" s="20" t="s">
        <v>132</v>
      </c>
      <c r="G975" s="467">
        <f>G976</f>
        <v>0</v>
      </c>
      <c r="H975" s="467">
        <f>H976</f>
        <v>0</v>
      </c>
      <c r="I975" s="204"/>
    </row>
    <row r="976" spans="1:9" ht="31.5" hidden="1" x14ac:dyDescent="0.25">
      <c r="A976" s="466" t="s">
        <v>133</v>
      </c>
      <c r="B976" s="16">
        <v>908</v>
      </c>
      <c r="C976" s="20" t="s">
        <v>234</v>
      </c>
      <c r="D976" s="20" t="s">
        <v>215</v>
      </c>
      <c r="E976" s="20" t="s">
        <v>1303</v>
      </c>
      <c r="F976" s="20" t="s">
        <v>134</v>
      </c>
      <c r="G976" s="467">
        <v>0</v>
      </c>
      <c r="H976" s="467">
        <v>0</v>
      </c>
      <c r="I976" s="204"/>
    </row>
    <row r="977" spans="1:9" ht="15.75" x14ac:dyDescent="0.25">
      <c r="A977" s="466" t="s">
        <v>555</v>
      </c>
      <c r="B977" s="16">
        <v>908</v>
      </c>
      <c r="C977" s="20" t="s">
        <v>234</v>
      </c>
      <c r="D977" s="20" t="s">
        <v>215</v>
      </c>
      <c r="E977" s="20" t="s">
        <v>1280</v>
      </c>
      <c r="F977" s="20"/>
      <c r="G977" s="467">
        <f>G978</f>
        <v>50</v>
      </c>
      <c r="H977" s="467">
        <f>H978</f>
        <v>55</v>
      </c>
      <c r="I977" s="204"/>
    </row>
    <row r="978" spans="1:9" ht="31.5" x14ac:dyDescent="0.25">
      <c r="A978" s="466" t="s">
        <v>131</v>
      </c>
      <c r="B978" s="16">
        <v>908</v>
      </c>
      <c r="C978" s="20" t="s">
        <v>234</v>
      </c>
      <c r="D978" s="20" t="s">
        <v>215</v>
      </c>
      <c r="E978" s="20" t="s">
        <v>1280</v>
      </c>
      <c r="F978" s="20" t="s">
        <v>132</v>
      </c>
      <c r="G978" s="467">
        <f>G979</f>
        <v>50</v>
      </c>
      <c r="H978" s="467">
        <f>H979</f>
        <v>55</v>
      </c>
      <c r="I978" s="204"/>
    </row>
    <row r="979" spans="1:9" ht="31.5" x14ac:dyDescent="0.25">
      <c r="A979" s="466" t="s">
        <v>133</v>
      </c>
      <c r="B979" s="16">
        <v>908</v>
      </c>
      <c r="C979" s="20" t="s">
        <v>234</v>
      </c>
      <c r="D979" s="20" t="s">
        <v>215</v>
      </c>
      <c r="E979" s="20" t="s">
        <v>1280</v>
      </c>
      <c r="F979" s="20" t="s">
        <v>134</v>
      </c>
      <c r="G979" s="467">
        <v>50</v>
      </c>
      <c r="H979" s="467">
        <v>55</v>
      </c>
      <c r="I979" s="204"/>
    </row>
    <row r="980" spans="1:9" ht="31.5" x14ac:dyDescent="0.25">
      <c r="A980" s="320" t="s">
        <v>1445</v>
      </c>
      <c r="B980" s="16">
        <v>908</v>
      </c>
      <c r="C980" s="20" t="s">
        <v>234</v>
      </c>
      <c r="D980" s="20" t="s">
        <v>215</v>
      </c>
      <c r="E980" s="20" t="s">
        <v>1281</v>
      </c>
      <c r="F980" s="20"/>
      <c r="G980" s="467">
        <f>G981+G983</f>
        <v>375</v>
      </c>
      <c r="H980" s="467">
        <f>H981+H983</f>
        <v>375</v>
      </c>
      <c r="I980" s="204"/>
    </row>
    <row r="981" spans="1:9" ht="31.5" x14ac:dyDescent="0.25">
      <c r="A981" s="466" t="s">
        <v>131</v>
      </c>
      <c r="B981" s="16">
        <v>908</v>
      </c>
      <c r="C981" s="20" t="s">
        <v>234</v>
      </c>
      <c r="D981" s="20" t="s">
        <v>215</v>
      </c>
      <c r="E981" s="20" t="s">
        <v>1281</v>
      </c>
      <c r="F981" s="20" t="s">
        <v>132</v>
      </c>
      <c r="G981" s="467">
        <f>G982</f>
        <v>300</v>
      </c>
      <c r="H981" s="467">
        <f>H982</f>
        <v>300</v>
      </c>
      <c r="I981" s="204"/>
    </row>
    <row r="982" spans="1:9" ht="31.5" x14ac:dyDescent="0.25">
      <c r="A982" s="466" t="s">
        <v>133</v>
      </c>
      <c r="B982" s="16">
        <v>908</v>
      </c>
      <c r="C982" s="20" t="s">
        <v>234</v>
      </c>
      <c r="D982" s="20" t="s">
        <v>215</v>
      </c>
      <c r="E982" s="20" t="s">
        <v>1281</v>
      </c>
      <c r="F982" s="20" t="s">
        <v>134</v>
      </c>
      <c r="G982" s="467">
        <f>300</f>
        <v>300</v>
      </c>
      <c r="H982" s="467">
        <v>300</v>
      </c>
      <c r="I982" s="204"/>
    </row>
    <row r="983" spans="1:9" ht="15.75" x14ac:dyDescent="0.25">
      <c r="A983" s="466" t="s">
        <v>135</v>
      </c>
      <c r="B983" s="16">
        <v>908</v>
      </c>
      <c r="C983" s="20" t="s">
        <v>234</v>
      </c>
      <c r="D983" s="20" t="s">
        <v>215</v>
      </c>
      <c r="E983" s="20" t="s">
        <v>1281</v>
      </c>
      <c r="F983" s="20" t="s">
        <v>145</v>
      </c>
      <c r="G983" s="467">
        <f>G984</f>
        <v>75</v>
      </c>
      <c r="H983" s="467">
        <f>H984</f>
        <v>75</v>
      </c>
      <c r="I983" s="204"/>
    </row>
    <row r="984" spans="1:9" ht="15.75" x14ac:dyDescent="0.25">
      <c r="A984" s="466" t="s">
        <v>704</v>
      </c>
      <c r="B984" s="16">
        <v>908</v>
      </c>
      <c r="C984" s="20" t="s">
        <v>234</v>
      </c>
      <c r="D984" s="20" t="s">
        <v>215</v>
      </c>
      <c r="E984" s="20" t="s">
        <v>1281</v>
      </c>
      <c r="F984" s="20" t="s">
        <v>138</v>
      </c>
      <c r="G984" s="467">
        <f>75</f>
        <v>75</v>
      </c>
      <c r="H984" s="467">
        <f t="shared" ref="H984:H1032" si="90">G984</f>
        <v>75</v>
      </c>
      <c r="I984" s="204"/>
    </row>
    <row r="985" spans="1:9" ht="25.5" hidden="1" customHeight="1" x14ac:dyDescent="0.25">
      <c r="A985" s="45" t="s">
        <v>559</v>
      </c>
      <c r="B985" s="16">
        <v>908</v>
      </c>
      <c r="C985" s="20" t="s">
        <v>234</v>
      </c>
      <c r="D985" s="20" t="s">
        <v>215</v>
      </c>
      <c r="E985" s="20" t="s">
        <v>1282</v>
      </c>
      <c r="F985" s="20"/>
      <c r="G985" s="467">
        <f>'Пр.4 ведом.21'!G1126</f>
        <v>0</v>
      </c>
      <c r="H985" s="467">
        <f>H986</f>
        <v>130</v>
      </c>
      <c r="I985" s="204"/>
    </row>
    <row r="986" spans="1:9" ht="31.5" hidden="1" x14ac:dyDescent="0.25">
      <c r="A986" s="466" t="s">
        <v>131</v>
      </c>
      <c r="B986" s="16">
        <v>908</v>
      </c>
      <c r="C986" s="20" t="s">
        <v>234</v>
      </c>
      <c r="D986" s="20" t="s">
        <v>215</v>
      </c>
      <c r="E986" s="20" t="s">
        <v>1282</v>
      </c>
      <c r="F986" s="20" t="s">
        <v>132</v>
      </c>
      <c r="G986" s="467">
        <f>'Пр.4 ведом.21'!G1127</f>
        <v>0</v>
      </c>
      <c r="H986" s="467">
        <f>H987</f>
        <v>130</v>
      </c>
      <c r="I986" s="204"/>
    </row>
    <row r="987" spans="1:9" ht="31.5" hidden="1" x14ac:dyDescent="0.25">
      <c r="A987" s="466" t="s">
        <v>133</v>
      </c>
      <c r="B987" s="16">
        <v>908</v>
      </c>
      <c r="C987" s="20" t="s">
        <v>234</v>
      </c>
      <c r="D987" s="20" t="s">
        <v>215</v>
      </c>
      <c r="E987" s="20" t="s">
        <v>1282</v>
      </c>
      <c r="F987" s="20" t="s">
        <v>134</v>
      </c>
      <c r="G987" s="467">
        <f>0</f>
        <v>0</v>
      </c>
      <c r="H987" s="467">
        <v>130</v>
      </c>
      <c r="I987" s="204"/>
    </row>
    <row r="988" spans="1:9" s="203" customFormat="1" ht="31.5" x14ac:dyDescent="0.25">
      <c r="A988" s="228" t="s">
        <v>1092</v>
      </c>
      <c r="B988" s="16">
        <v>908</v>
      </c>
      <c r="C988" s="20" t="s">
        <v>234</v>
      </c>
      <c r="D988" s="20" t="s">
        <v>215</v>
      </c>
      <c r="E988" s="20" t="s">
        <v>1283</v>
      </c>
      <c r="F988" s="20"/>
      <c r="G988" s="467">
        <f>G989</f>
        <v>50</v>
      </c>
      <c r="H988" s="467">
        <f>H989</f>
        <v>60</v>
      </c>
      <c r="I988" s="204"/>
    </row>
    <row r="989" spans="1:9" s="203" customFormat="1" ht="31.5" x14ac:dyDescent="0.25">
      <c r="A989" s="466" t="s">
        <v>131</v>
      </c>
      <c r="B989" s="16">
        <v>908</v>
      </c>
      <c r="C989" s="20" t="s">
        <v>234</v>
      </c>
      <c r="D989" s="20" t="s">
        <v>215</v>
      </c>
      <c r="E989" s="20" t="s">
        <v>1283</v>
      </c>
      <c r="F989" s="20" t="s">
        <v>132</v>
      </c>
      <c r="G989" s="467">
        <f>G990</f>
        <v>50</v>
      </c>
      <c r="H989" s="467">
        <f>H990</f>
        <v>60</v>
      </c>
      <c r="I989" s="204"/>
    </row>
    <row r="990" spans="1:9" s="203" customFormat="1" ht="40.15" customHeight="1" x14ac:dyDescent="0.25">
      <c r="A990" s="466" t="s">
        <v>133</v>
      </c>
      <c r="B990" s="16">
        <v>908</v>
      </c>
      <c r="C990" s="20" t="s">
        <v>234</v>
      </c>
      <c r="D990" s="20" t="s">
        <v>215</v>
      </c>
      <c r="E990" s="20" t="s">
        <v>1283</v>
      </c>
      <c r="F990" s="20" t="s">
        <v>134</v>
      </c>
      <c r="G990" s="467">
        <v>50</v>
      </c>
      <c r="H990" s="467">
        <v>60</v>
      </c>
      <c r="I990" s="204"/>
    </row>
    <row r="991" spans="1:9" ht="31.5" hidden="1" x14ac:dyDescent="0.25">
      <c r="A991" s="464" t="s">
        <v>891</v>
      </c>
      <c r="B991" s="19">
        <v>908</v>
      </c>
      <c r="C991" s="24" t="s">
        <v>234</v>
      </c>
      <c r="D991" s="24" t="s">
        <v>215</v>
      </c>
      <c r="E991" s="24" t="s">
        <v>1301</v>
      </c>
      <c r="F991" s="24"/>
      <c r="G991" s="463">
        <f>G992+G995</f>
        <v>0</v>
      </c>
      <c r="H991" s="463">
        <f>H992+H995</f>
        <v>0</v>
      </c>
      <c r="I991" s="204"/>
    </row>
    <row r="992" spans="1:9" ht="31.5" hidden="1" x14ac:dyDescent="0.25">
      <c r="A992" s="466" t="s">
        <v>690</v>
      </c>
      <c r="B992" s="16">
        <v>908</v>
      </c>
      <c r="C992" s="20" t="s">
        <v>234</v>
      </c>
      <c r="D992" s="20" t="s">
        <v>215</v>
      </c>
      <c r="E992" s="20" t="s">
        <v>1334</v>
      </c>
      <c r="F992" s="20"/>
      <c r="G992" s="467">
        <f>'Пр.4 ведом.21'!G1133</f>
        <v>0</v>
      </c>
      <c r="H992" s="467">
        <f t="shared" si="90"/>
        <v>0</v>
      </c>
      <c r="I992" s="204"/>
    </row>
    <row r="993" spans="1:9" ht="31.5" hidden="1" x14ac:dyDescent="0.25">
      <c r="A993" s="466" t="s">
        <v>131</v>
      </c>
      <c r="B993" s="16">
        <v>908</v>
      </c>
      <c r="C993" s="20" t="s">
        <v>234</v>
      </c>
      <c r="D993" s="20" t="s">
        <v>215</v>
      </c>
      <c r="E993" s="20" t="s">
        <v>1334</v>
      </c>
      <c r="F993" s="20" t="s">
        <v>132</v>
      </c>
      <c r="G993" s="467">
        <f>'Пр.4 ведом.21'!G1134</f>
        <v>0</v>
      </c>
      <c r="H993" s="467">
        <f t="shared" si="90"/>
        <v>0</v>
      </c>
      <c r="I993" s="204"/>
    </row>
    <row r="994" spans="1:9" ht="31.5" hidden="1" x14ac:dyDescent="0.25">
      <c r="A994" s="466" t="s">
        <v>133</v>
      </c>
      <c r="B994" s="16">
        <v>908</v>
      </c>
      <c r="C994" s="20" t="s">
        <v>234</v>
      </c>
      <c r="D994" s="20" t="s">
        <v>215</v>
      </c>
      <c r="E994" s="20" t="s">
        <v>1334</v>
      </c>
      <c r="F994" s="20" t="s">
        <v>134</v>
      </c>
      <c r="G994" s="467">
        <f>'Пр.4 ведом.21'!G1135</f>
        <v>0</v>
      </c>
      <c r="H994" s="467">
        <f t="shared" si="90"/>
        <v>0</v>
      </c>
      <c r="I994" s="204"/>
    </row>
    <row r="995" spans="1:9" ht="63" hidden="1" x14ac:dyDescent="0.25">
      <c r="A995" s="466" t="s">
        <v>1073</v>
      </c>
      <c r="B995" s="16">
        <v>908</v>
      </c>
      <c r="C995" s="20" t="s">
        <v>234</v>
      </c>
      <c r="D995" s="20" t="s">
        <v>215</v>
      </c>
      <c r="E995" s="20" t="s">
        <v>1300</v>
      </c>
      <c r="F995" s="20"/>
      <c r="G995" s="467">
        <f>G996</f>
        <v>0</v>
      </c>
      <c r="H995" s="467">
        <f>H996</f>
        <v>0</v>
      </c>
      <c r="I995" s="204"/>
    </row>
    <row r="996" spans="1:9" ht="31.5" hidden="1" x14ac:dyDescent="0.25">
      <c r="A996" s="466" t="s">
        <v>131</v>
      </c>
      <c r="B996" s="16">
        <v>908</v>
      </c>
      <c r="C996" s="20" t="s">
        <v>234</v>
      </c>
      <c r="D996" s="20" t="s">
        <v>215</v>
      </c>
      <c r="E996" s="20" t="s">
        <v>1300</v>
      </c>
      <c r="F996" s="20" t="s">
        <v>132</v>
      </c>
      <c r="G996" s="467">
        <f>G997</f>
        <v>0</v>
      </c>
      <c r="H996" s="467">
        <f>H997</f>
        <v>0</v>
      </c>
      <c r="I996" s="204"/>
    </row>
    <row r="997" spans="1:9" ht="31.5" hidden="1" x14ac:dyDescent="0.25">
      <c r="A997" s="466" t="s">
        <v>133</v>
      </c>
      <c r="B997" s="16">
        <v>908</v>
      </c>
      <c r="C997" s="20" t="s">
        <v>234</v>
      </c>
      <c r="D997" s="20" t="s">
        <v>215</v>
      </c>
      <c r="E997" s="20" t="s">
        <v>1300</v>
      </c>
      <c r="F997" s="20" t="s">
        <v>134</v>
      </c>
      <c r="G997" s="467"/>
      <c r="H997" s="467"/>
      <c r="I997" s="204"/>
    </row>
    <row r="998" spans="1:9" ht="63" x14ac:dyDescent="0.25">
      <c r="A998" s="464" t="s">
        <v>1547</v>
      </c>
      <c r="B998" s="19">
        <v>908</v>
      </c>
      <c r="C998" s="24" t="s">
        <v>234</v>
      </c>
      <c r="D998" s="24" t="s">
        <v>215</v>
      </c>
      <c r="E998" s="24" t="s">
        <v>711</v>
      </c>
      <c r="F998" s="24"/>
      <c r="G998" s="463">
        <f t="shared" ref="G998:H1001" si="91">G999</f>
        <v>500</v>
      </c>
      <c r="H998" s="463">
        <f t="shared" si="91"/>
        <v>500</v>
      </c>
      <c r="I998" s="204"/>
    </row>
    <row r="999" spans="1:9" ht="31.5" x14ac:dyDescent="0.25">
      <c r="A999" s="464" t="s">
        <v>1069</v>
      </c>
      <c r="B999" s="19">
        <v>908</v>
      </c>
      <c r="C999" s="24" t="s">
        <v>234</v>
      </c>
      <c r="D999" s="24" t="s">
        <v>215</v>
      </c>
      <c r="E999" s="24" t="s">
        <v>1091</v>
      </c>
      <c r="F999" s="24"/>
      <c r="G999" s="463">
        <f t="shared" si="91"/>
        <v>500</v>
      </c>
      <c r="H999" s="463">
        <f t="shared" si="91"/>
        <v>500</v>
      </c>
      <c r="I999" s="204"/>
    </row>
    <row r="1000" spans="1:9" ht="47.25" x14ac:dyDescent="0.25">
      <c r="A1000" s="80" t="s">
        <v>693</v>
      </c>
      <c r="B1000" s="16">
        <v>908</v>
      </c>
      <c r="C1000" s="20" t="s">
        <v>234</v>
      </c>
      <c r="D1000" s="20" t="s">
        <v>215</v>
      </c>
      <c r="E1000" s="20" t="s">
        <v>835</v>
      </c>
      <c r="F1000" s="20"/>
      <c r="G1000" s="467">
        <f t="shared" si="91"/>
        <v>500</v>
      </c>
      <c r="H1000" s="467">
        <f t="shared" si="91"/>
        <v>500</v>
      </c>
      <c r="I1000" s="204"/>
    </row>
    <row r="1001" spans="1:9" ht="31.5" x14ac:dyDescent="0.25">
      <c r="A1001" s="466" t="s">
        <v>131</v>
      </c>
      <c r="B1001" s="16">
        <v>908</v>
      </c>
      <c r="C1001" s="20" t="s">
        <v>234</v>
      </c>
      <c r="D1001" s="20" t="s">
        <v>215</v>
      </c>
      <c r="E1001" s="20" t="s">
        <v>835</v>
      </c>
      <c r="F1001" s="20" t="s">
        <v>132</v>
      </c>
      <c r="G1001" s="467">
        <f t="shared" si="91"/>
        <v>500</v>
      </c>
      <c r="H1001" s="467">
        <f t="shared" si="91"/>
        <v>500</v>
      </c>
      <c r="I1001" s="204"/>
    </row>
    <row r="1002" spans="1:9" ht="31.5" x14ac:dyDescent="0.25">
      <c r="A1002" s="466" t="s">
        <v>133</v>
      </c>
      <c r="B1002" s="16">
        <v>908</v>
      </c>
      <c r="C1002" s="20" t="s">
        <v>234</v>
      </c>
      <c r="D1002" s="20" t="s">
        <v>215</v>
      </c>
      <c r="E1002" s="20" t="s">
        <v>835</v>
      </c>
      <c r="F1002" s="20" t="s">
        <v>134</v>
      </c>
      <c r="G1002" s="467">
        <f>500</f>
        <v>500</v>
      </c>
      <c r="H1002" s="467">
        <f t="shared" si="90"/>
        <v>500</v>
      </c>
      <c r="I1002" s="204"/>
    </row>
    <row r="1003" spans="1:9" ht="31.5" x14ac:dyDescent="0.25">
      <c r="A1003" s="464" t="s">
        <v>569</v>
      </c>
      <c r="B1003" s="19">
        <v>908</v>
      </c>
      <c r="C1003" s="24" t="s">
        <v>234</v>
      </c>
      <c r="D1003" s="24" t="s">
        <v>234</v>
      </c>
      <c r="E1003" s="24"/>
      <c r="F1003" s="24"/>
      <c r="G1003" s="463">
        <f>G1004+G1016+G1033</f>
        <v>25304.5</v>
      </c>
      <c r="H1003" s="463">
        <f>H1004+H1016+H1033</f>
        <v>25304.5</v>
      </c>
      <c r="I1003" s="204"/>
    </row>
    <row r="1004" spans="1:9" ht="31.5" x14ac:dyDescent="0.25">
      <c r="A1004" s="464" t="s">
        <v>917</v>
      </c>
      <c r="B1004" s="19">
        <v>908</v>
      </c>
      <c r="C1004" s="24" t="s">
        <v>234</v>
      </c>
      <c r="D1004" s="24" t="s">
        <v>234</v>
      </c>
      <c r="E1004" s="24" t="s">
        <v>858</v>
      </c>
      <c r="F1004" s="24"/>
      <c r="G1004" s="463">
        <f>G1005</f>
        <v>12879.3</v>
      </c>
      <c r="H1004" s="463">
        <f>H1005</f>
        <v>12879.3</v>
      </c>
      <c r="I1004" s="204"/>
    </row>
    <row r="1005" spans="1:9" ht="15.75" x14ac:dyDescent="0.25">
      <c r="A1005" s="464" t="s">
        <v>918</v>
      </c>
      <c r="B1005" s="19">
        <v>908</v>
      </c>
      <c r="C1005" s="24" t="s">
        <v>234</v>
      </c>
      <c r="D1005" s="24" t="s">
        <v>234</v>
      </c>
      <c r="E1005" s="24" t="s">
        <v>859</v>
      </c>
      <c r="F1005" s="24"/>
      <c r="G1005" s="463">
        <f>G1006+G1013</f>
        <v>12879.3</v>
      </c>
      <c r="H1005" s="463">
        <f>H1006+H1013</f>
        <v>12879.3</v>
      </c>
      <c r="I1005" s="204"/>
    </row>
    <row r="1006" spans="1:9" ht="31.5" x14ac:dyDescent="0.25">
      <c r="A1006" s="466" t="s">
        <v>897</v>
      </c>
      <c r="B1006" s="16">
        <v>908</v>
      </c>
      <c r="C1006" s="20" t="s">
        <v>234</v>
      </c>
      <c r="D1006" s="20" t="s">
        <v>234</v>
      </c>
      <c r="E1006" s="20" t="s">
        <v>860</v>
      </c>
      <c r="F1006" s="20"/>
      <c r="G1006" s="467">
        <f>G1007+G1009+G1011</f>
        <v>12511.3</v>
      </c>
      <c r="H1006" s="467">
        <f>H1007+H1009+H1011</f>
        <v>12511.3</v>
      </c>
      <c r="I1006" s="204"/>
    </row>
    <row r="1007" spans="1:9" ht="78.75" x14ac:dyDescent="0.25">
      <c r="A1007" s="466" t="s">
        <v>127</v>
      </c>
      <c r="B1007" s="16">
        <v>908</v>
      </c>
      <c r="C1007" s="20" t="s">
        <v>234</v>
      </c>
      <c r="D1007" s="20" t="s">
        <v>234</v>
      </c>
      <c r="E1007" s="20" t="s">
        <v>860</v>
      </c>
      <c r="F1007" s="20" t="s">
        <v>128</v>
      </c>
      <c r="G1007" s="467">
        <f>G1008</f>
        <v>12439.3</v>
      </c>
      <c r="H1007" s="467">
        <f>H1008</f>
        <v>12439.3</v>
      </c>
      <c r="I1007" s="204"/>
    </row>
    <row r="1008" spans="1:9" ht="31.5" x14ac:dyDescent="0.25">
      <c r="A1008" s="466" t="s">
        <v>129</v>
      </c>
      <c r="B1008" s="16">
        <v>908</v>
      </c>
      <c r="C1008" s="20" t="s">
        <v>234</v>
      </c>
      <c r="D1008" s="20" t="s">
        <v>234</v>
      </c>
      <c r="E1008" s="20" t="s">
        <v>860</v>
      </c>
      <c r="F1008" s="20" t="s">
        <v>130</v>
      </c>
      <c r="G1008" s="467">
        <v>12439.3</v>
      </c>
      <c r="H1008" s="467">
        <f t="shared" si="90"/>
        <v>12439.3</v>
      </c>
      <c r="I1008" s="204"/>
    </row>
    <row r="1009" spans="1:9" ht="31.5" x14ac:dyDescent="0.25">
      <c r="A1009" s="466" t="s">
        <v>131</v>
      </c>
      <c r="B1009" s="16">
        <v>908</v>
      </c>
      <c r="C1009" s="20" t="s">
        <v>234</v>
      </c>
      <c r="D1009" s="20" t="s">
        <v>234</v>
      </c>
      <c r="E1009" s="20" t="s">
        <v>860</v>
      </c>
      <c r="F1009" s="20" t="s">
        <v>132</v>
      </c>
      <c r="G1009" s="467">
        <f>G1010</f>
        <v>25</v>
      </c>
      <c r="H1009" s="467">
        <f>H1010</f>
        <v>25</v>
      </c>
      <c r="I1009" s="204"/>
    </row>
    <row r="1010" spans="1:9" ht="31.5" x14ac:dyDescent="0.25">
      <c r="A1010" s="466" t="s">
        <v>133</v>
      </c>
      <c r="B1010" s="16">
        <v>908</v>
      </c>
      <c r="C1010" s="20" t="s">
        <v>234</v>
      </c>
      <c r="D1010" s="20" t="s">
        <v>234</v>
      </c>
      <c r="E1010" s="20" t="s">
        <v>860</v>
      </c>
      <c r="F1010" s="20" t="s">
        <v>134</v>
      </c>
      <c r="G1010" s="467">
        <f>25</f>
        <v>25</v>
      </c>
      <c r="H1010" s="467">
        <f t="shared" si="90"/>
        <v>25</v>
      </c>
      <c r="I1010" s="204"/>
    </row>
    <row r="1011" spans="1:9" ht="15.75" x14ac:dyDescent="0.25">
      <c r="A1011" s="466" t="s">
        <v>135</v>
      </c>
      <c r="B1011" s="16">
        <v>908</v>
      </c>
      <c r="C1011" s="20" t="s">
        <v>234</v>
      </c>
      <c r="D1011" s="20" t="s">
        <v>234</v>
      </c>
      <c r="E1011" s="20" t="s">
        <v>860</v>
      </c>
      <c r="F1011" s="20" t="s">
        <v>145</v>
      </c>
      <c r="G1011" s="467">
        <f>G1012</f>
        <v>47</v>
      </c>
      <c r="H1011" s="467">
        <f>H1012</f>
        <v>47</v>
      </c>
      <c r="I1011" s="204"/>
    </row>
    <row r="1012" spans="1:9" ht="15.75" x14ac:dyDescent="0.25">
      <c r="A1012" s="466" t="s">
        <v>568</v>
      </c>
      <c r="B1012" s="16">
        <v>908</v>
      </c>
      <c r="C1012" s="20" t="s">
        <v>234</v>
      </c>
      <c r="D1012" s="20" t="s">
        <v>234</v>
      </c>
      <c r="E1012" s="20" t="s">
        <v>860</v>
      </c>
      <c r="F1012" s="20" t="s">
        <v>138</v>
      </c>
      <c r="G1012" s="467">
        <f>47</f>
        <v>47</v>
      </c>
      <c r="H1012" s="467">
        <f t="shared" si="90"/>
        <v>47</v>
      </c>
      <c r="I1012" s="204"/>
    </row>
    <row r="1013" spans="1:9" ht="47.25" x14ac:dyDescent="0.25">
      <c r="A1013" s="466" t="s">
        <v>839</v>
      </c>
      <c r="B1013" s="16">
        <v>908</v>
      </c>
      <c r="C1013" s="20" t="s">
        <v>234</v>
      </c>
      <c r="D1013" s="20" t="s">
        <v>234</v>
      </c>
      <c r="E1013" s="20" t="s">
        <v>862</v>
      </c>
      <c r="F1013" s="20"/>
      <c r="G1013" s="467">
        <f>G1014</f>
        <v>368</v>
      </c>
      <c r="H1013" s="467">
        <f>H1014</f>
        <v>368</v>
      </c>
      <c r="I1013" s="204"/>
    </row>
    <row r="1014" spans="1:9" ht="78.75" x14ac:dyDescent="0.25">
      <c r="A1014" s="466" t="s">
        <v>127</v>
      </c>
      <c r="B1014" s="16">
        <v>908</v>
      </c>
      <c r="C1014" s="20" t="s">
        <v>234</v>
      </c>
      <c r="D1014" s="20" t="s">
        <v>234</v>
      </c>
      <c r="E1014" s="20" t="s">
        <v>862</v>
      </c>
      <c r="F1014" s="20" t="s">
        <v>128</v>
      </c>
      <c r="G1014" s="467">
        <f>G1015</f>
        <v>368</v>
      </c>
      <c r="H1014" s="467">
        <f>H1015</f>
        <v>368</v>
      </c>
      <c r="I1014" s="204"/>
    </row>
    <row r="1015" spans="1:9" ht="31.5" x14ac:dyDescent="0.25">
      <c r="A1015" s="466" t="s">
        <v>129</v>
      </c>
      <c r="B1015" s="16">
        <v>908</v>
      </c>
      <c r="C1015" s="20" t="s">
        <v>234</v>
      </c>
      <c r="D1015" s="20" t="s">
        <v>234</v>
      </c>
      <c r="E1015" s="20" t="s">
        <v>862</v>
      </c>
      <c r="F1015" s="20" t="s">
        <v>130</v>
      </c>
      <c r="G1015" s="467">
        <v>368</v>
      </c>
      <c r="H1015" s="467">
        <f t="shared" si="90"/>
        <v>368</v>
      </c>
      <c r="I1015" s="204"/>
    </row>
    <row r="1016" spans="1:9" ht="15.75" x14ac:dyDescent="0.25">
      <c r="A1016" s="464" t="s">
        <v>141</v>
      </c>
      <c r="B1016" s="19">
        <v>908</v>
      </c>
      <c r="C1016" s="24" t="s">
        <v>234</v>
      </c>
      <c r="D1016" s="24" t="s">
        <v>234</v>
      </c>
      <c r="E1016" s="24" t="s">
        <v>866</v>
      </c>
      <c r="F1016" s="24"/>
      <c r="G1016" s="463">
        <f>G1017+G1024</f>
        <v>12425.2</v>
      </c>
      <c r="H1016" s="463">
        <f>H1017+H1024</f>
        <v>12425.2</v>
      </c>
      <c r="I1016" s="204"/>
    </row>
    <row r="1017" spans="1:9" ht="31.5" x14ac:dyDescent="0.25">
      <c r="A1017" s="464" t="s">
        <v>870</v>
      </c>
      <c r="B1017" s="19">
        <v>908</v>
      </c>
      <c r="C1017" s="24" t="s">
        <v>234</v>
      </c>
      <c r="D1017" s="24" t="s">
        <v>234</v>
      </c>
      <c r="E1017" s="24" t="s">
        <v>865</v>
      </c>
      <c r="F1017" s="24"/>
      <c r="G1017" s="463">
        <f>G1018+G1021</f>
        <v>982</v>
      </c>
      <c r="H1017" s="463">
        <f>H1018+H1021</f>
        <v>982</v>
      </c>
      <c r="I1017" s="204"/>
    </row>
    <row r="1018" spans="1:9" ht="31.5" x14ac:dyDescent="0.25">
      <c r="A1018" s="466" t="s">
        <v>570</v>
      </c>
      <c r="B1018" s="16">
        <v>908</v>
      </c>
      <c r="C1018" s="20" t="s">
        <v>234</v>
      </c>
      <c r="D1018" s="20" t="s">
        <v>234</v>
      </c>
      <c r="E1018" s="20" t="s">
        <v>984</v>
      </c>
      <c r="F1018" s="20"/>
      <c r="G1018" s="467">
        <f>G1019</f>
        <v>982</v>
      </c>
      <c r="H1018" s="467">
        <f>H1019</f>
        <v>982</v>
      </c>
      <c r="I1018" s="204"/>
    </row>
    <row r="1019" spans="1:9" ht="15.75" x14ac:dyDescent="0.25">
      <c r="A1019" s="466" t="s">
        <v>135</v>
      </c>
      <c r="B1019" s="16">
        <v>908</v>
      </c>
      <c r="C1019" s="20" t="s">
        <v>234</v>
      </c>
      <c r="D1019" s="20" t="s">
        <v>234</v>
      </c>
      <c r="E1019" s="20" t="s">
        <v>984</v>
      </c>
      <c r="F1019" s="20" t="s">
        <v>145</v>
      </c>
      <c r="G1019" s="467">
        <f>G1020</f>
        <v>982</v>
      </c>
      <c r="H1019" s="467">
        <f>H1020</f>
        <v>982</v>
      </c>
      <c r="I1019" s="204"/>
    </row>
    <row r="1020" spans="1:9" ht="47.25" x14ac:dyDescent="0.25">
      <c r="A1020" s="466" t="s">
        <v>184</v>
      </c>
      <c r="B1020" s="16">
        <v>908</v>
      </c>
      <c r="C1020" s="20" t="s">
        <v>234</v>
      </c>
      <c r="D1020" s="20" t="s">
        <v>234</v>
      </c>
      <c r="E1020" s="20" t="s">
        <v>984</v>
      </c>
      <c r="F1020" s="20" t="s">
        <v>160</v>
      </c>
      <c r="G1020" s="467">
        <v>982</v>
      </c>
      <c r="H1020" s="467">
        <f t="shared" si="90"/>
        <v>982</v>
      </c>
      <c r="I1020" s="204"/>
    </row>
    <row r="1021" spans="1:9" ht="31.5" hidden="1" x14ac:dyDescent="0.25">
      <c r="A1021" s="466" t="s">
        <v>823</v>
      </c>
      <c r="B1021" s="16">
        <v>908</v>
      </c>
      <c r="C1021" s="20" t="s">
        <v>234</v>
      </c>
      <c r="D1021" s="20" t="s">
        <v>234</v>
      </c>
      <c r="E1021" s="20" t="s">
        <v>1074</v>
      </c>
      <c r="F1021" s="20"/>
      <c r="G1021" s="467">
        <f>G1022</f>
        <v>0</v>
      </c>
      <c r="H1021" s="467">
        <f t="shared" si="90"/>
        <v>0</v>
      </c>
      <c r="I1021" s="204"/>
    </row>
    <row r="1022" spans="1:9" ht="15.75" hidden="1" x14ac:dyDescent="0.25">
      <c r="A1022" s="466" t="s">
        <v>135</v>
      </c>
      <c r="B1022" s="16">
        <v>908</v>
      </c>
      <c r="C1022" s="20" t="s">
        <v>234</v>
      </c>
      <c r="D1022" s="20" t="s">
        <v>234</v>
      </c>
      <c r="E1022" s="20" t="s">
        <v>1074</v>
      </c>
      <c r="F1022" s="20" t="s">
        <v>145</v>
      </c>
      <c r="G1022" s="467">
        <f>G1023</f>
        <v>0</v>
      </c>
      <c r="H1022" s="467">
        <f t="shared" si="90"/>
        <v>0</v>
      </c>
      <c r="I1022" s="204"/>
    </row>
    <row r="1023" spans="1:9" ht="47.25" hidden="1" x14ac:dyDescent="0.25">
      <c r="A1023" s="466" t="s">
        <v>184</v>
      </c>
      <c r="B1023" s="16">
        <v>908</v>
      </c>
      <c r="C1023" s="20" t="s">
        <v>234</v>
      </c>
      <c r="D1023" s="20" t="s">
        <v>234</v>
      </c>
      <c r="E1023" s="20" t="s">
        <v>1074</v>
      </c>
      <c r="F1023" s="20" t="s">
        <v>160</v>
      </c>
      <c r="G1023" s="467">
        <v>0</v>
      </c>
      <c r="H1023" s="467">
        <f t="shared" si="90"/>
        <v>0</v>
      </c>
      <c r="I1023" s="204"/>
    </row>
    <row r="1024" spans="1:9" ht="31.5" x14ac:dyDescent="0.25">
      <c r="A1024" s="464" t="s">
        <v>929</v>
      </c>
      <c r="B1024" s="19">
        <v>908</v>
      </c>
      <c r="C1024" s="24" t="s">
        <v>234</v>
      </c>
      <c r="D1024" s="24" t="s">
        <v>234</v>
      </c>
      <c r="E1024" s="24" t="s">
        <v>914</v>
      </c>
      <c r="F1024" s="24"/>
      <c r="G1024" s="44">
        <f>G1025+G1030</f>
        <v>11443.2</v>
      </c>
      <c r="H1024" s="44">
        <f>H1025+H1030</f>
        <v>11443.2</v>
      </c>
      <c r="I1024" s="204"/>
    </row>
    <row r="1025" spans="1:9" ht="31.5" x14ac:dyDescent="0.25">
      <c r="A1025" s="466" t="s">
        <v>903</v>
      </c>
      <c r="B1025" s="16">
        <v>908</v>
      </c>
      <c r="C1025" s="20" t="s">
        <v>234</v>
      </c>
      <c r="D1025" s="20" t="s">
        <v>234</v>
      </c>
      <c r="E1025" s="20" t="s">
        <v>915</v>
      </c>
      <c r="F1025" s="20"/>
      <c r="G1025" s="467">
        <f>G1026+G1028</f>
        <v>10845.2</v>
      </c>
      <c r="H1025" s="467">
        <f>H1026+H1028</f>
        <v>10845.2</v>
      </c>
      <c r="I1025" s="204"/>
    </row>
    <row r="1026" spans="1:9" ht="78.75" x14ac:dyDescent="0.25">
      <c r="A1026" s="466" t="s">
        <v>127</v>
      </c>
      <c r="B1026" s="16">
        <v>908</v>
      </c>
      <c r="C1026" s="20" t="s">
        <v>234</v>
      </c>
      <c r="D1026" s="20" t="s">
        <v>234</v>
      </c>
      <c r="E1026" s="20" t="s">
        <v>915</v>
      </c>
      <c r="F1026" s="20" t="s">
        <v>128</v>
      </c>
      <c r="G1026" s="467">
        <f>G1027</f>
        <v>9193</v>
      </c>
      <c r="H1026" s="467">
        <f>H1027</f>
        <v>9193</v>
      </c>
      <c r="I1026" s="204"/>
    </row>
    <row r="1027" spans="1:9" ht="31.5" x14ac:dyDescent="0.25">
      <c r="A1027" s="466" t="s">
        <v>342</v>
      </c>
      <c r="B1027" s="16">
        <v>908</v>
      </c>
      <c r="C1027" s="20" t="s">
        <v>234</v>
      </c>
      <c r="D1027" s="20" t="s">
        <v>234</v>
      </c>
      <c r="E1027" s="20" t="s">
        <v>915</v>
      </c>
      <c r="F1027" s="20" t="s">
        <v>209</v>
      </c>
      <c r="G1027" s="467">
        <v>9193</v>
      </c>
      <c r="H1027" s="467">
        <f t="shared" si="90"/>
        <v>9193</v>
      </c>
      <c r="I1027" s="204"/>
    </row>
    <row r="1028" spans="1:9" ht="31.5" x14ac:dyDescent="0.25">
      <c r="A1028" s="466" t="s">
        <v>131</v>
      </c>
      <c r="B1028" s="16">
        <v>908</v>
      </c>
      <c r="C1028" s="20" t="s">
        <v>234</v>
      </c>
      <c r="D1028" s="20" t="s">
        <v>234</v>
      </c>
      <c r="E1028" s="20" t="s">
        <v>915</v>
      </c>
      <c r="F1028" s="20" t="s">
        <v>132</v>
      </c>
      <c r="G1028" s="467">
        <f>G1029</f>
        <v>1652.2</v>
      </c>
      <c r="H1028" s="467">
        <f>H1029</f>
        <v>1652.2</v>
      </c>
      <c r="I1028" s="204"/>
    </row>
    <row r="1029" spans="1:9" ht="31.5" x14ac:dyDescent="0.25">
      <c r="A1029" s="466" t="s">
        <v>133</v>
      </c>
      <c r="B1029" s="16">
        <v>908</v>
      </c>
      <c r="C1029" s="20" t="s">
        <v>234</v>
      </c>
      <c r="D1029" s="20" t="s">
        <v>234</v>
      </c>
      <c r="E1029" s="20" t="s">
        <v>915</v>
      </c>
      <c r="F1029" s="20" t="s">
        <v>134</v>
      </c>
      <c r="G1029" s="467">
        <v>1652.2</v>
      </c>
      <c r="H1029" s="467">
        <f t="shared" si="90"/>
        <v>1652.2</v>
      </c>
      <c r="I1029" s="204"/>
    </row>
    <row r="1030" spans="1:9" ht="47.25" x14ac:dyDescent="0.25">
      <c r="A1030" s="466" t="s">
        <v>839</v>
      </c>
      <c r="B1030" s="16">
        <v>908</v>
      </c>
      <c r="C1030" s="20" t="s">
        <v>234</v>
      </c>
      <c r="D1030" s="20" t="s">
        <v>234</v>
      </c>
      <c r="E1030" s="20" t="s">
        <v>916</v>
      </c>
      <c r="F1030" s="20"/>
      <c r="G1030" s="467">
        <f>G1031</f>
        <v>598</v>
      </c>
      <c r="H1030" s="467">
        <f>H1031</f>
        <v>598</v>
      </c>
      <c r="I1030" s="204"/>
    </row>
    <row r="1031" spans="1:9" ht="78.75" x14ac:dyDescent="0.25">
      <c r="A1031" s="466" t="s">
        <v>127</v>
      </c>
      <c r="B1031" s="16">
        <v>908</v>
      </c>
      <c r="C1031" s="20" t="s">
        <v>234</v>
      </c>
      <c r="D1031" s="20" t="s">
        <v>234</v>
      </c>
      <c r="E1031" s="20" t="s">
        <v>916</v>
      </c>
      <c r="F1031" s="20" t="s">
        <v>128</v>
      </c>
      <c r="G1031" s="467">
        <f>G1032</f>
        <v>598</v>
      </c>
      <c r="H1031" s="467">
        <f>H1032</f>
        <v>598</v>
      </c>
      <c r="I1031" s="204"/>
    </row>
    <row r="1032" spans="1:9" ht="23.25" customHeight="1" x14ac:dyDescent="0.25">
      <c r="A1032" s="466" t="s">
        <v>342</v>
      </c>
      <c r="B1032" s="16">
        <v>908</v>
      </c>
      <c r="C1032" s="20" t="s">
        <v>234</v>
      </c>
      <c r="D1032" s="20" t="s">
        <v>234</v>
      </c>
      <c r="E1032" s="20" t="s">
        <v>916</v>
      </c>
      <c r="F1032" s="20" t="s">
        <v>209</v>
      </c>
      <c r="G1032" s="467">
        <v>598</v>
      </c>
      <c r="H1032" s="467">
        <f t="shared" si="90"/>
        <v>598</v>
      </c>
      <c r="I1032" s="204"/>
    </row>
    <row r="1033" spans="1:9" s="203" customFormat="1" ht="47.25" hidden="1" x14ac:dyDescent="0.25">
      <c r="A1033" s="34" t="s">
        <v>1368</v>
      </c>
      <c r="B1033" s="19">
        <v>908</v>
      </c>
      <c r="C1033" s="24" t="s">
        <v>234</v>
      </c>
      <c r="D1033" s="24" t="s">
        <v>234</v>
      </c>
      <c r="E1033" s="24" t="s">
        <v>324</v>
      </c>
      <c r="F1033" s="24"/>
      <c r="G1033" s="463">
        <f t="shared" ref="G1033:H1036" si="92">G1034</f>
        <v>0</v>
      </c>
      <c r="H1033" s="463">
        <f t="shared" si="92"/>
        <v>0</v>
      </c>
      <c r="I1033" s="204"/>
    </row>
    <row r="1034" spans="1:9" s="203" customFormat="1" ht="63" hidden="1" x14ac:dyDescent="0.25">
      <c r="A1034" s="34" t="s">
        <v>1009</v>
      </c>
      <c r="B1034" s="19">
        <v>908</v>
      </c>
      <c r="C1034" s="24" t="s">
        <v>234</v>
      </c>
      <c r="D1034" s="24" t="s">
        <v>234</v>
      </c>
      <c r="E1034" s="24" t="s">
        <v>934</v>
      </c>
      <c r="F1034" s="24"/>
      <c r="G1034" s="463">
        <f t="shared" si="92"/>
        <v>0</v>
      </c>
      <c r="H1034" s="463">
        <f t="shared" si="92"/>
        <v>0</v>
      </c>
      <c r="I1034" s="204"/>
    </row>
    <row r="1035" spans="1:9" s="203" customFormat="1" ht="47.25" hidden="1" x14ac:dyDescent="0.25">
      <c r="A1035" s="31" t="s">
        <v>1083</v>
      </c>
      <c r="B1035" s="16">
        <v>908</v>
      </c>
      <c r="C1035" s="20" t="s">
        <v>234</v>
      </c>
      <c r="D1035" s="20" t="s">
        <v>234</v>
      </c>
      <c r="E1035" s="20" t="s">
        <v>1026</v>
      </c>
      <c r="F1035" s="20"/>
      <c r="G1035" s="467">
        <f t="shared" si="92"/>
        <v>0</v>
      </c>
      <c r="H1035" s="467">
        <f t="shared" si="92"/>
        <v>0</v>
      </c>
      <c r="I1035" s="204"/>
    </row>
    <row r="1036" spans="1:9" s="203" customFormat="1" ht="31.5" hidden="1" x14ac:dyDescent="0.25">
      <c r="A1036" s="466" t="s">
        <v>131</v>
      </c>
      <c r="B1036" s="16">
        <v>908</v>
      </c>
      <c r="C1036" s="20" t="s">
        <v>234</v>
      </c>
      <c r="D1036" s="20" t="s">
        <v>234</v>
      </c>
      <c r="E1036" s="20" t="s">
        <v>1026</v>
      </c>
      <c r="F1036" s="20" t="s">
        <v>132</v>
      </c>
      <c r="G1036" s="467">
        <f t="shared" si="92"/>
        <v>0</v>
      </c>
      <c r="H1036" s="467">
        <f t="shared" si="92"/>
        <v>0</v>
      </c>
      <c r="I1036" s="204"/>
    </row>
    <row r="1037" spans="1:9" s="203" customFormat="1" ht="31.5" hidden="1" x14ac:dyDescent="0.25">
      <c r="A1037" s="466" t="s">
        <v>133</v>
      </c>
      <c r="B1037" s="16">
        <v>908</v>
      </c>
      <c r="C1037" s="20" t="s">
        <v>234</v>
      </c>
      <c r="D1037" s="20" t="s">
        <v>234</v>
      </c>
      <c r="E1037" s="20" t="s">
        <v>1026</v>
      </c>
      <c r="F1037" s="20" t="s">
        <v>134</v>
      </c>
      <c r="G1037" s="467">
        <v>0</v>
      </c>
      <c r="H1037" s="467">
        <v>0</v>
      </c>
      <c r="I1037" s="204"/>
    </row>
    <row r="1038" spans="1:9" ht="15.75" x14ac:dyDescent="0.25">
      <c r="A1038" s="464" t="s">
        <v>243</v>
      </c>
      <c r="B1038" s="19">
        <v>908</v>
      </c>
      <c r="C1038" s="24" t="s">
        <v>244</v>
      </c>
      <c r="D1038" s="24"/>
      <c r="E1038" s="24"/>
      <c r="F1038" s="24"/>
      <c r="G1038" s="463">
        <f t="shared" ref="G1038:H1039" si="93">G1039</f>
        <v>87</v>
      </c>
      <c r="H1038" s="463">
        <f t="shared" si="93"/>
        <v>87</v>
      </c>
      <c r="I1038" s="204"/>
    </row>
    <row r="1039" spans="1:9" ht="15.75" x14ac:dyDescent="0.25">
      <c r="A1039" s="464" t="s">
        <v>258</v>
      </c>
      <c r="B1039" s="19">
        <v>908</v>
      </c>
      <c r="C1039" s="24" t="s">
        <v>244</v>
      </c>
      <c r="D1039" s="24" t="s">
        <v>120</v>
      </c>
      <c r="E1039" s="24"/>
      <c r="F1039" s="24"/>
      <c r="G1039" s="463">
        <f t="shared" si="93"/>
        <v>87</v>
      </c>
      <c r="H1039" s="463">
        <f t="shared" si="93"/>
        <v>87</v>
      </c>
      <c r="I1039" s="204"/>
    </row>
    <row r="1040" spans="1:9" ht="15.75" x14ac:dyDescent="0.25">
      <c r="A1040" s="464" t="s">
        <v>141</v>
      </c>
      <c r="B1040" s="19">
        <v>908</v>
      </c>
      <c r="C1040" s="24" t="s">
        <v>244</v>
      </c>
      <c r="D1040" s="24" t="s">
        <v>120</v>
      </c>
      <c r="E1040" s="24" t="s">
        <v>866</v>
      </c>
      <c r="F1040" s="24"/>
      <c r="G1040" s="463">
        <f t="shared" ref="G1040:H1042" si="94">G1041</f>
        <v>87</v>
      </c>
      <c r="H1040" s="463">
        <f t="shared" si="94"/>
        <v>87</v>
      </c>
      <c r="I1040" s="204"/>
    </row>
    <row r="1041" spans="1:9" ht="15.75" x14ac:dyDescent="0.25">
      <c r="A1041" s="464" t="s">
        <v>141</v>
      </c>
      <c r="B1041" s="19">
        <v>908</v>
      </c>
      <c r="C1041" s="24" t="s">
        <v>244</v>
      </c>
      <c r="D1041" s="24" t="s">
        <v>120</v>
      </c>
      <c r="E1041" s="24" t="s">
        <v>865</v>
      </c>
      <c r="F1041" s="24"/>
      <c r="G1041" s="463">
        <f t="shared" si="94"/>
        <v>87</v>
      </c>
      <c r="H1041" s="463">
        <f t="shared" si="94"/>
        <v>87</v>
      </c>
      <c r="I1041" s="204"/>
    </row>
    <row r="1042" spans="1:9" ht="31.5" x14ac:dyDescent="0.25">
      <c r="A1042" s="464" t="s">
        <v>870</v>
      </c>
      <c r="B1042" s="19">
        <v>908</v>
      </c>
      <c r="C1042" s="24" t="s">
        <v>244</v>
      </c>
      <c r="D1042" s="24" t="s">
        <v>120</v>
      </c>
      <c r="E1042" s="24" t="s">
        <v>865</v>
      </c>
      <c r="F1042" s="24"/>
      <c r="G1042" s="463">
        <f t="shared" si="94"/>
        <v>87</v>
      </c>
      <c r="H1042" s="463">
        <f t="shared" si="94"/>
        <v>87</v>
      </c>
      <c r="I1042" s="204"/>
    </row>
    <row r="1043" spans="1:9" ht="15.75" x14ac:dyDescent="0.25">
      <c r="A1043" s="466" t="s">
        <v>572</v>
      </c>
      <c r="B1043" s="16">
        <v>908</v>
      </c>
      <c r="C1043" s="20" t="s">
        <v>244</v>
      </c>
      <c r="D1043" s="20" t="s">
        <v>120</v>
      </c>
      <c r="E1043" s="20" t="s">
        <v>985</v>
      </c>
      <c r="F1043" s="20"/>
      <c r="G1043" s="467">
        <f>G1044</f>
        <v>87</v>
      </c>
      <c r="H1043" s="467">
        <f>H1044</f>
        <v>87</v>
      </c>
      <c r="I1043" s="204"/>
    </row>
    <row r="1044" spans="1:9" ht="31.5" x14ac:dyDescent="0.25">
      <c r="A1044" s="466" t="s">
        <v>131</v>
      </c>
      <c r="B1044" s="16">
        <v>908</v>
      </c>
      <c r="C1044" s="20" t="s">
        <v>244</v>
      </c>
      <c r="D1044" s="20" t="s">
        <v>120</v>
      </c>
      <c r="E1044" s="20" t="s">
        <v>985</v>
      </c>
      <c r="F1044" s="20" t="s">
        <v>132</v>
      </c>
      <c r="G1044" s="467">
        <f>G1045</f>
        <v>87</v>
      </c>
      <c r="H1044" s="467">
        <f>H1045</f>
        <v>87</v>
      </c>
      <c r="I1044" s="204"/>
    </row>
    <row r="1045" spans="1:9" ht="31.5" x14ac:dyDescent="0.25">
      <c r="A1045" s="466" t="s">
        <v>133</v>
      </c>
      <c r="B1045" s="16">
        <v>908</v>
      </c>
      <c r="C1045" s="20" t="s">
        <v>244</v>
      </c>
      <c r="D1045" s="20" t="s">
        <v>120</v>
      </c>
      <c r="E1045" s="20" t="s">
        <v>985</v>
      </c>
      <c r="F1045" s="20" t="s">
        <v>134</v>
      </c>
      <c r="G1045" s="467">
        <f>87</f>
        <v>87</v>
      </c>
      <c r="H1045" s="467">
        <f t="shared" ref="H1045:H1093" si="95">G1045</f>
        <v>87</v>
      </c>
      <c r="I1045" s="204"/>
    </row>
    <row r="1046" spans="1:9" ht="31.5" x14ac:dyDescent="0.25">
      <c r="A1046" s="461" t="s">
        <v>1382</v>
      </c>
      <c r="B1046" s="19">
        <v>910</v>
      </c>
      <c r="C1046" s="47"/>
      <c r="D1046" s="47"/>
      <c r="E1046" s="47"/>
      <c r="F1046" s="47"/>
      <c r="G1046" s="463">
        <f>G1047</f>
        <v>7286.5</v>
      </c>
      <c r="H1046" s="463">
        <f>H1047</f>
        <v>7286.5</v>
      </c>
      <c r="I1046" s="204"/>
    </row>
    <row r="1047" spans="1:9" ht="15.75" x14ac:dyDescent="0.25">
      <c r="A1047" s="464" t="s">
        <v>117</v>
      </c>
      <c r="B1047" s="19">
        <v>910</v>
      </c>
      <c r="C1047" s="24" t="s">
        <v>118</v>
      </c>
      <c r="D1047" s="24"/>
      <c r="E1047" s="24"/>
      <c r="F1047" s="24"/>
      <c r="G1047" s="463">
        <f>G1048+G1067+G1083</f>
        <v>7286.5</v>
      </c>
      <c r="H1047" s="463">
        <f>H1048+H1067+H1083</f>
        <v>7286.5</v>
      </c>
      <c r="I1047" s="204"/>
    </row>
    <row r="1048" spans="1:9" ht="47.25" hidden="1" x14ac:dyDescent="0.25">
      <c r="A1048" s="464" t="s">
        <v>575</v>
      </c>
      <c r="B1048" s="19">
        <v>910</v>
      </c>
      <c r="C1048" s="24" t="s">
        <v>118</v>
      </c>
      <c r="D1048" s="24" t="s">
        <v>213</v>
      </c>
      <c r="E1048" s="24"/>
      <c r="F1048" s="24"/>
      <c r="G1048" s="463">
        <f>G1049+G1059</f>
        <v>0</v>
      </c>
      <c r="H1048" s="463">
        <f>H1049+H1059</f>
        <v>0</v>
      </c>
      <c r="I1048" s="204"/>
    </row>
    <row r="1049" spans="1:9" ht="31.5" hidden="1" x14ac:dyDescent="0.25">
      <c r="A1049" s="464" t="s">
        <v>917</v>
      </c>
      <c r="B1049" s="19">
        <v>910</v>
      </c>
      <c r="C1049" s="24" t="s">
        <v>118</v>
      </c>
      <c r="D1049" s="24" t="s">
        <v>213</v>
      </c>
      <c r="E1049" s="24" t="s">
        <v>858</v>
      </c>
      <c r="F1049" s="24"/>
      <c r="G1049" s="463">
        <f>G1050</f>
        <v>0</v>
      </c>
      <c r="H1049" s="463">
        <f>H1050</f>
        <v>0</v>
      </c>
      <c r="I1049" s="204"/>
    </row>
    <row r="1050" spans="1:9" ht="31.5" hidden="1" x14ac:dyDescent="0.25">
      <c r="A1050" s="464" t="s">
        <v>986</v>
      </c>
      <c r="B1050" s="19">
        <v>910</v>
      </c>
      <c r="C1050" s="24" t="s">
        <v>118</v>
      </c>
      <c r="D1050" s="24" t="s">
        <v>213</v>
      </c>
      <c r="E1050" s="24" t="s">
        <v>987</v>
      </c>
      <c r="F1050" s="24"/>
      <c r="G1050" s="463">
        <f>G1051+G1056</f>
        <v>0</v>
      </c>
      <c r="H1050" s="463">
        <f>H1051+H1056</f>
        <v>0</v>
      </c>
      <c r="I1050" s="204"/>
    </row>
    <row r="1051" spans="1:9" ht="31.5" hidden="1" x14ac:dyDescent="0.25">
      <c r="A1051" s="466" t="s">
        <v>576</v>
      </c>
      <c r="B1051" s="16">
        <v>910</v>
      </c>
      <c r="C1051" s="20" t="s">
        <v>118</v>
      </c>
      <c r="D1051" s="20" t="s">
        <v>213</v>
      </c>
      <c r="E1051" s="20" t="s">
        <v>988</v>
      </c>
      <c r="F1051" s="20"/>
      <c r="G1051" s="467">
        <f>G1052+G1054</f>
        <v>0</v>
      </c>
      <c r="H1051" s="467">
        <f>H1052+H1054</f>
        <v>0</v>
      </c>
      <c r="I1051" s="204"/>
    </row>
    <row r="1052" spans="1:9" ht="78.75" hidden="1" x14ac:dyDescent="0.25">
      <c r="A1052" s="466" t="s">
        <v>127</v>
      </c>
      <c r="B1052" s="16">
        <v>910</v>
      </c>
      <c r="C1052" s="20" t="s">
        <v>118</v>
      </c>
      <c r="D1052" s="20" t="s">
        <v>213</v>
      </c>
      <c r="E1052" s="20" t="s">
        <v>988</v>
      </c>
      <c r="F1052" s="20" t="s">
        <v>128</v>
      </c>
      <c r="G1052" s="467">
        <f>G1053</f>
        <v>0</v>
      </c>
      <c r="H1052" s="467">
        <f>H1053</f>
        <v>0</v>
      </c>
      <c r="I1052" s="204"/>
    </row>
    <row r="1053" spans="1:9" ht="31.5" hidden="1" x14ac:dyDescent="0.25">
      <c r="A1053" s="466" t="s">
        <v>129</v>
      </c>
      <c r="B1053" s="16">
        <v>910</v>
      </c>
      <c r="C1053" s="20" t="s">
        <v>118</v>
      </c>
      <c r="D1053" s="20" t="s">
        <v>213</v>
      </c>
      <c r="E1053" s="20" t="s">
        <v>988</v>
      </c>
      <c r="F1053" s="20" t="s">
        <v>130</v>
      </c>
      <c r="G1053" s="467">
        <v>0</v>
      </c>
      <c r="H1053" s="467">
        <v>0</v>
      </c>
      <c r="I1053" s="204"/>
    </row>
    <row r="1054" spans="1:9" ht="31.5" hidden="1" x14ac:dyDescent="0.25">
      <c r="A1054" s="466" t="s">
        <v>198</v>
      </c>
      <c r="B1054" s="16">
        <v>910</v>
      </c>
      <c r="C1054" s="20" t="s">
        <v>118</v>
      </c>
      <c r="D1054" s="20" t="s">
        <v>213</v>
      </c>
      <c r="E1054" s="20" t="s">
        <v>988</v>
      </c>
      <c r="F1054" s="20" t="s">
        <v>132</v>
      </c>
      <c r="G1054" s="467">
        <f>G1055</f>
        <v>0</v>
      </c>
      <c r="H1054" s="467">
        <f>H1055</f>
        <v>0</v>
      </c>
      <c r="I1054" s="204"/>
    </row>
    <row r="1055" spans="1:9" ht="31.5" hidden="1" x14ac:dyDescent="0.25">
      <c r="A1055" s="466" t="s">
        <v>133</v>
      </c>
      <c r="B1055" s="16">
        <v>910</v>
      </c>
      <c r="C1055" s="20" t="s">
        <v>118</v>
      </c>
      <c r="D1055" s="20" t="s">
        <v>213</v>
      </c>
      <c r="E1055" s="20" t="s">
        <v>988</v>
      </c>
      <c r="F1055" s="20" t="s">
        <v>134</v>
      </c>
      <c r="G1055" s="467">
        <v>0</v>
      </c>
      <c r="H1055" s="467">
        <v>0</v>
      </c>
      <c r="I1055" s="204"/>
    </row>
    <row r="1056" spans="1:9" ht="47.25" hidden="1" x14ac:dyDescent="0.25">
      <c r="A1056" s="466" t="s">
        <v>839</v>
      </c>
      <c r="B1056" s="16">
        <v>910</v>
      </c>
      <c r="C1056" s="20" t="s">
        <v>118</v>
      </c>
      <c r="D1056" s="20" t="s">
        <v>213</v>
      </c>
      <c r="E1056" s="20" t="s">
        <v>989</v>
      </c>
      <c r="F1056" s="20"/>
      <c r="G1056" s="467">
        <f>G1057</f>
        <v>0</v>
      </c>
      <c r="H1056" s="467">
        <f>H1057</f>
        <v>0</v>
      </c>
      <c r="I1056" s="204"/>
    </row>
    <row r="1057" spans="1:9" ht="78.75" hidden="1" x14ac:dyDescent="0.25">
      <c r="A1057" s="466" t="s">
        <v>127</v>
      </c>
      <c r="B1057" s="16">
        <v>910</v>
      </c>
      <c r="C1057" s="20" t="s">
        <v>118</v>
      </c>
      <c r="D1057" s="20" t="s">
        <v>213</v>
      </c>
      <c r="E1057" s="20" t="s">
        <v>989</v>
      </c>
      <c r="F1057" s="20" t="s">
        <v>128</v>
      </c>
      <c r="G1057" s="467">
        <f>G1058</f>
        <v>0</v>
      </c>
      <c r="H1057" s="467">
        <f>H1058</f>
        <v>0</v>
      </c>
      <c r="I1057" s="204"/>
    </row>
    <row r="1058" spans="1:9" ht="31.5" hidden="1" x14ac:dyDescent="0.25">
      <c r="A1058" s="466" t="s">
        <v>129</v>
      </c>
      <c r="B1058" s="16">
        <v>910</v>
      </c>
      <c r="C1058" s="20" t="s">
        <v>118</v>
      </c>
      <c r="D1058" s="20" t="s">
        <v>213</v>
      </c>
      <c r="E1058" s="20" t="s">
        <v>989</v>
      </c>
      <c r="F1058" s="20" t="s">
        <v>130</v>
      </c>
      <c r="G1058" s="467">
        <v>0</v>
      </c>
      <c r="H1058" s="467">
        <v>0</v>
      </c>
      <c r="I1058" s="204"/>
    </row>
    <row r="1059" spans="1:9" ht="47.25" hidden="1" x14ac:dyDescent="0.25">
      <c r="A1059" s="464" t="s">
        <v>1183</v>
      </c>
      <c r="B1059" s="19">
        <v>910</v>
      </c>
      <c r="C1059" s="24" t="s">
        <v>118</v>
      </c>
      <c r="D1059" s="24" t="s">
        <v>213</v>
      </c>
      <c r="E1059" s="24" t="s">
        <v>162</v>
      </c>
      <c r="F1059" s="24"/>
      <c r="G1059" s="463">
        <f>G1060</f>
        <v>0</v>
      </c>
      <c r="H1059" s="463">
        <f>H1060</f>
        <v>0</v>
      </c>
      <c r="I1059" s="204"/>
    </row>
    <row r="1060" spans="1:9" ht="63" hidden="1" x14ac:dyDescent="0.25">
      <c r="A1060" s="219" t="s">
        <v>843</v>
      </c>
      <c r="B1060" s="19">
        <v>910</v>
      </c>
      <c r="C1060" s="24" t="s">
        <v>118</v>
      </c>
      <c r="D1060" s="24" t="s">
        <v>213</v>
      </c>
      <c r="E1060" s="24" t="s">
        <v>850</v>
      </c>
      <c r="F1060" s="24"/>
      <c r="G1060" s="463">
        <f>G1061+G1064</f>
        <v>0</v>
      </c>
      <c r="H1060" s="463">
        <f>H1061+H1064</f>
        <v>0</v>
      </c>
      <c r="I1060" s="204"/>
    </row>
    <row r="1061" spans="1:9" ht="47.25" hidden="1" x14ac:dyDescent="0.25">
      <c r="A1061" s="31" t="s">
        <v>695</v>
      </c>
      <c r="B1061" s="16">
        <v>910</v>
      </c>
      <c r="C1061" s="20" t="s">
        <v>118</v>
      </c>
      <c r="D1061" s="20" t="s">
        <v>213</v>
      </c>
      <c r="E1061" s="40" t="s">
        <v>993</v>
      </c>
      <c r="F1061" s="20"/>
      <c r="G1061" s="467">
        <f>G1062</f>
        <v>0</v>
      </c>
      <c r="H1061" s="467">
        <f>H1062</f>
        <v>0</v>
      </c>
      <c r="I1061" s="204"/>
    </row>
    <row r="1062" spans="1:9" ht="31.5" hidden="1" x14ac:dyDescent="0.25">
      <c r="A1062" s="466" t="s">
        <v>131</v>
      </c>
      <c r="B1062" s="16">
        <v>910</v>
      </c>
      <c r="C1062" s="20" t="s">
        <v>118</v>
      </c>
      <c r="D1062" s="20" t="s">
        <v>213</v>
      </c>
      <c r="E1062" s="40" t="s">
        <v>993</v>
      </c>
      <c r="F1062" s="20" t="s">
        <v>132</v>
      </c>
      <c r="G1062" s="467">
        <f>G1063</f>
        <v>0</v>
      </c>
      <c r="H1062" s="467">
        <f>H1063</f>
        <v>0</v>
      </c>
      <c r="I1062" s="204"/>
    </row>
    <row r="1063" spans="1:9" ht="31.5" hidden="1" x14ac:dyDescent="0.25">
      <c r="A1063" s="466" t="s">
        <v>133</v>
      </c>
      <c r="B1063" s="16">
        <v>910</v>
      </c>
      <c r="C1063" s="20" t="s">
        <v>118</v>
      </c>
      <c r="D1063" s="20" t="s">
        <v>213</v>
      </c>
      <c r="E1063" s="40" t="s">
        <v>696</v>
      </c>
      <c r="F1063" s="20" t="s">
        <v>134</v>
      </c>
      <c r="G1063" s="467">
        <v>0</v>
      </c>
      <c r="H1063" s="467">
        <v>0</v>
      </c>
      <c r="I1063" s="204"/>
    </row>
    <row r="1064" spans="1:9" ht="47.25" hidden="1" x14ac:dyDescent="0.25">
      <c r="A1064" s="31" t="s">
        <v>695</v>
      </c>
      <c r="B1064" s="16">
        <v>910</v>
      </c>
      <c r="C1064" s="20" t="s">
        <v>118</v>
      </c>
      <c r="D1064" s="20" t="s">
        <v>213</v>
      </c>
      <c r="E1064" s="20" t="s">
        <v>992</v>
      </c>
      <c r="F1064" s="20"/>
      <c r="G1064" s="467">
        <f>G1065</f>
        <v>0</v>
      </c>
      <c r="H1064" s="467">
        <f>H1065</f>
        <v>0</v>
      </c>
      <c r="I1064" s="204"/>
    </row>
    <row r="1065" spans="1:9" ht="31.5" hidden="1" x14ac:dyDescent="0.25">
      <c r="A1065" s="466" t="s">
        <v>131</v>
      </c>
      <c r="B1065" s="16">
        <v>910</v>
      </c>
      <c r="C1065" s="20" t="s">
        <v>118</v>
      </c>
      <c r="D1065" s="20" t="s">
        <v>213</v>
      </c>
      <c r="E1065" s="20" t="s">
        <v>992</v>
      </c>
      <c r="F1065" s="20" t="s">
        <v>132</v>
      </c>
      <c r="G1065" s="467">
        <f>G1066</f>
        <v>0</v>
      </c>
      <c r="H1065" s="467">
        <f>H1066</f>
        <v>0</v>
      </c>
      <c r="I1065" s="204"/>
    </row>
    <row r="1066" spans="1:9" ht="31.5" hidden="1" x14ac:dyDescent="0.25">
      <c r="A1066" s="466" t="s">
        <v>133</v>
      </c>
      <c r="B1066" s="16">
        <v>910</v>
      </c>
      <c r="C1066" s="20" t="s">
        <v>118</v>
      </c>
      <c r="D1066" s="20" t="s">
        <v>213</v>
      </c>
      <c r="E1066" s="20" t="s">
        <v>992</v>
      </c>
      <c r="F1066" s="20" t="s">
        <v>134</v>
      </c>
      <c r="G1066" s="467">
        <v>0</v>
      </c>
      <c r="H1066" s="467">
        <v>0</v>
      </c>
      <c r="I1066" s="204"/>
    </row>
    <row r="1067" spans="1:9" ht="63" x14ac:dyDescent="0.25">
      <c r="A1067" s="464" t="s">
        <v>578</v>
      </c>
      <c r="B1067" s="19">
        <v>910</v>
      </c>
      <c r="C1067" s="24" t="s">
        <v>118</v>
      </c>
      <c r="D1067" s="24" t="s">
        <v>215</v>
      </c>
      <c r="E1067" s="24"/>
      <c r="F1067" s="24"/>
      <c r="G1067" s="463">
        <f>G1068</f>
        <v>5488</v>
      </c>
      <c r="H1067" s="463">
        <f>H1068</f>
        <v>5488</v>
      </c>
      <c r="I1067" s="204"/>
    </row>
    <row r="1068" spans="1:9" ht="31.5" x14ac:dyDescent="0.25">
      <c r="A1068" s="464" t="s">
        <v>917</v>
      </c>
      <c r="B1068" s="19">
        <v>910</v>
      </c>
      <c r="C1068" s="24" t="s">
        <v>118</v>
      </c>
      <c r="D1068" s="24" t="s">
        <v>215</v>
      </c>
      <c r="E1068" s="24" t="s">
        <v>858</v>
      </c>
      <c r="F1068" s="24"/>
      <c r="G1068" s="463">
        <f>G1069</f>
        <v>5488</v>
      </c>
      <c r="H1068" s="463">
        <f>H1069</f>
        <v>5488</v>
      </c>
      <c r="I1068" s="204"/>
    </row>
    <row r="1069" spans="1:9" ht="31.5" x14ac:dyDescent="0.25">
      <c r="A1069" s="464" t="s">
        <v>986</v>
      </c>
      <c r="B1069" s="19">
        <v>910</v>
      </c>
      <c r="C1069" s="24" t="s">
        <v>118</v>
      </c>
      <c r="D1069" s="24" t="s">
        <v>215</v>
      </c>
      <c r="E1069" s="24" t="s">
        <v>987</v>
      </c>
      <c r="F1069" s="24"/>
      <c r="G1069" s="463">
        <f>G1075+G1080+G1070</f>
        <v>5488</v>
      </c>
      <c r="H1069" s="463">
        <f>H1075+H1080+H1070</f>
        <v>5488</v>
      </c>
      <c r="I1069" s="204"/>
    </row>
    <row r="1070" spans="1:9" s="203" customFormat="1" ht="47.25" x14ac:dyDescent="0.25">
      <c r="A1070" s="285" t="s">
        <v>1374</v>
      </c>
      <c r="B1070" s="16">
        <v>910</v>
      </c>
      <c r="C1070" s="20" t="s">
        <v>118</v>
      </c>
      <c r="D1070" s="20" t="s">
        <v>215</v>
      </c>
      <c r="E1070" s="20" t="s">
        <v>1412</v>
      </c>
      <c r="F1070" s="24"/>
      <c r="G1070" s="467">
        <f>G1071+G1073</f>
        <v>4247.6000000000004</v>
      </c>
      <c r="H1070" s="467">
        <f>H1071+H1073</f>
        <v>4247.6000000000004</v>
      </c>
      <c r="I1070" s="204"/>
    </row>
    <row r="1071" spans="1:9" s="203" customFormat="1" ht="78.75" x14ac:dyDescent="0.25">
      <c r="A1071" s="466" t="s">
        <v>127</v>
      </c>
      <c r="B1071" s="16">
        <v>910</v>
      </c>
      <c r="C1071" s="20" t="s">
        <v>118</v>
      </c>
      <c r="D1071" s="20" t="s">
        <v>215</v>
      </c>
      <c r="E1071" s="20" t="s">
        <v>1412</v>
      </c>
      <c r="F1071" s="20" t="s">
        <v>128</v>
      </c>
      <c r="G1071" s="467">
        <f>G1072</f>
        <v>4154.6000000000004</v>
      </c>
      <c r="H1071" s="467">
        <f>H1072</f>
        <v>4154.6000000000004</v>
      </c>
      <c r="I1071" s="204"/>
    </row>
    <row r="1072" spans="1:9" s="203" customFormat="1" ht="31.5" x14ac:dyDescent="0.25">
      <c r="A1072" s="466" t="s">
        <v>129</v>
      </c>
      <c r="B1072" s="16">
        <v>910</v>
      </c>
      <c r="C1072" s="20" t="s">
        <v>118</v>
      </c>
      <c r="D1072" s="20" t="s">
        <v>215</v>
      </c>
      <c r="E1072" s="20" t="s">
        <v>1412</v>
      </c>
      <c r="F1072" s="20" t="s">
        <v>130</v>
      </c>
      <c r="G1072" s="467">
        <v>4154.6000000000004</v>
      </c>
      <c r="H1072" s="467">
        <f>G1072</f>
        <v>4154.6000000000004</v>
      </c>
      <c r="I1072" s="204"/>
    </row>
    <row r="1073" spans="1:9" s="203" customFormat="1" ht="31.5" x14ac:dyDescent="0.25">
      <c r="A1073" s="466" t="s">
        <v>198</v>
      </c>
      <c r="B1073" s="16">
        <v>910</v>
      </c>
      <c r="C1073" s="20" t="s">
        <v>118</v>
      </c>
      <c r="D1073" s="20" t="s">
        <v>215</v>
      </c>
      <c r="E1073" s="20" t="s">
        <v>1412</v>
      </c>
      <c r="F1073" s="20" t="s">
        <v>132</v>
      </c>
      <c r="G1073" s="467">
        <f>G1074</f>
        <v>93</v>
      </c>
      <c r="H1073" s="467">
        <f>H1074</f>
        <v>93</v>
      </c>
      <c r="I1073" s="204"/>
    </row>
    <row r="1074" spans="1:9" s="203" customFormat="1" ht="31.5" x14ac:dyDescent="0.25">
      <c r="A1074" s="466" t="s">
        <v>133</v>
      </c>
      <c r="B1074" s="16">
        <v>910</v>
      </c>
      <c r="C1074" s="20" t="s">
        <v>118</v>
      </c>
      <c r="D1074" s="20" t="s">
        <v>215</v>
      </c>
      <c r="E1074" s="20" t="s">
        <v>1412</v>
      </c>
      <c r="F1074" s="20" t="s">
        <v>134</v>
      </c>
      <c r="G1074" s="467">
        <v>93</v>
      </c>
      <c r="H1074" s="467">
        <f>G1074</f>
        <v>93</v>
      </c>
      <c r="I1074" s="204"/>
    </row>
    <row r="1075" spans="1:9" ht="31.5" x14ac:dyDescent="0.25">
      <c r="A1075" s="466" t="s">
        <v>990</v>
      </c>
      <c r="B1075" s="16">
        <v>910</v>
      </c>
      <c r="C1075" s="20" t="s">
        <v>118</v>
      </c>
      <c r="D1075" s="20" t="s">
        <v>215</v>
      </c>
      <c r="E1075" s="20" t="s">
        <v>991</v>
      </c>
      <c r="F1075" s="20"/>
      <c r="G1075" s="467">
        <f>G1076+G1078</f>
        <v>1240.4000000000001</v>
      </c>
      <c r="H1075" s="467">
        <f>H1076+H1078</f>
        <v>1240.4000000000001</v>
      </c>
      <c r="I1075" s="204"/>
    </row>
    <row r="1076" spans="1:9" ht="78.75" x14ac:dyDescent="0.25">
      <c r="A1076" s="466" t="s">
        <v>127</v>
      </c>
      <c r="B1076" s="16">
        <v>910</v>
      </c>
      <c r="C1076" s="20" t="s">
        <v>118</v>
      </c>
      <c r="D1076" s="20" t="s">
        <v>215</v>
      </c>
      <c r="E1076" s="20" t="s">
        <v>991</v>
      </c>
      <c r="F1076" s="20" t="s">
        <v>128</v>
      </c>
      <c r="G1076" s="467">
        <f>G1077</f>
        <v>1240.4000000000001</v>
      </c>
      <c r="H1076" s="467">
        <f>H1077</f>
        <v>1240.4000000000001</v>
      </c>
      <c r="I1076" s="204"/>
    </row>
    <row r="1077" spans="1:9" ht="31.5" x14ac:dyDescent="0.25">
      <c r="A1077" s="466" t="s">
        <v>129</v>
      </c>
      <c r="B1077" s="16">
        <v>910</v>
      </c>
      <c r="C1077" s="20" t="s">
        <v>118</v>
      </c>
      <c r="D1077" s="20" t="s">
        <v>215</v>
      </c>
      <c r="E1077" s="20" t="s">
        <v>991</v>
      </c>
      <c r="F1077" s="20" t="s">
        <v>130</v>
      </c>
      <c r="G1077" s="467">
        <v>1240.4000000000001</v>
      </c>
      <c r="H1077" s="467">
        <f t="shared" si="95"/>
        <v>1240.4000000000001</v>
      </c>
      <c r="I1077" s="204"/>
    </row>
    <row r="1078" spans="1:9" ht="31.5" hidden="1" x14ac:dyDescent="0.25">
      <c r="A1078" s="466" t="s">
        <v>198</v>
      </c>
      <c r="B1078" s="16">
        <v>910</v>
      </c>
      <c r="C1078" s="20" t="s">
        <v>118</v>
      </c>
      <c r="D1078" s="20" t="s">
        <v>215</v>
      </c>
      <c r="E1078" s="20" t="s">
        <v>991</v>
      </c>
      <c r="F1078" s="20" t="s">
        <v>132</v>
      </c>
      <c r="G1078" s="467">
        <f>G1079</f>
        <v>0</v>
      </c>
      <c r="H1078" s="467">
        <f>H1079</f>
        <v>0</v>
      </c>
      <c r="I1078" s="204"/>
    </row>
    <row r="1079" spans="1:9" ht="31.5" hidden="1" x14ac:dyDescent="0.25">
      <c r="A1079" s="466" t="s">
        <v>133</v>
      </c>
      <c r="B1079" s="16">
        <v>910</v>
      </c>
      <c r="C1079" s="20" t="s">
        <v>118</v>
      </c>
      <c r="D1079" s="20" t="s">
        <v>215</v>
      </c>
      <c r="E1079" s="20" t="s">
        <v>991</v>
      </c>
      <c r="F1079" s="20" t="s">
        <v>134</v>
      </c>
      <c r="G1079" s="467">
        <v>0</v>
      </c>
      <c r="H1079" s="467">
        <f t="shared" si="95"/>
        <v>0</v>
      </c>
      <c r="I1079" s="204"/>
    </row>
    <row r="1080" spans="1:9" ht="47.25" hidden="1" x14ac:dyDescent="0.25">
      <c r="A1080" s="466" t="s">
        <v>839</v>
      </c>
      <c r="B1080" s="16">
        <v>910</v>
      </c>
      <c r="C1080" s="20" t="s">
        <v>118</v>
      </c>
      <c r="D1080" s="20" t="s">
        <v>215</v>
      </c>
      <c r="E1080" s="20" t="s">
        <v>989</v>
      </c>
      <c r="F1080" s="20"/>
      <c r="G1080" s="467">
        <f>G1081</f>
        <v>0</v>
      </c>
      <c r="H1080" s="467">
        <f t="shared" si="95"/>
        <v>0</v>
      </c>
      <c r="I1080" s="204"/>
    </row>
    <row r="1081" spans="1:9" ht="78.75" hidden="1" x14ac:dyDescent="0.25">
      <c r="A1081" s="466" t="s">
        <v>127</v>
      </c>
      <c r="B1081" s="16">
        <v>910</v>
      </c>
      <c r="C1081" s="20" t="s">
        <v>118</v>
      </c>
      <c r="D1081" s="20" t="s">
        <v>215</v>
      </c>
      <c r="E1081" s="20" t="s">
        <v>989</v>
      </c>
      <c r="F1081" s="20" t="s">
        <v>128</v>
      </c>
      <c r="G1081" s="467">
        <f>G1082</f>
        <v>0</v>
      </c>
      <c r="H1081" s="467">
        <f t="shared" si="95"/>
        <v>0</v>
      </c>
      <c r="I1081" s="204"/>
    </row>
    <row r="1082" spans="1:9" ht="31.5" hidden="1" x14ac:dyDescent="0.25">
      <c r="A1082" s="466" t="s">
        <v>129</v>
      </c>
      <c r="B1082" s="16">
        <v>910</v>
      </c>
      <c r="C1082" s="20" t="s">
        <v>118</v>
      </c>
      <c r="D1082" s="20" t="s">
        <v>215</v>
      </c>
      <c r="E1082" s="20" t="s">
        <v>989</v>
      </c>
      <c r="F1082" s="20" t="s">
        <v>130</v>
      </c>
      <c r="G1082" s="467">
        <v>0</v>
      </c>
      <c r="H1082" s="467">
        <f t="shared" si="95"/>
        <v>0</v>
      </c>
      <c r="I1082" s="204"/>
    </row>
    <row r="1083" spans="1:9" ht="47.25" x14ac:dyDescent="0.25">
      <c r="A1083" s="464" t="s">
        <v>119</v>
      </c>
      <c r="B1083" s="19">
        <v>910</v>
      </c>
      <c r="C1083" s="24" t="s">
        <v>118</v>
      </c>
      <c r="D1083" s="24" t="s">
        <v>120</v>
      </c>
      <c r="E1083" s="24"/>
      <c r="F1083" s="24"/>
      <c r="G1083" s="463">
        <f>G1084</f>
        <v>1798.5</v>
      </c>
      <c r="H1083" s="463">
        <f>H1084</f>
        <v>1798.5</v>
      </c>
      <c r="I1083" s="204"/>
    </row>
    <row r="1084" spans="1:9" ht="31.5" x14ac:dyDescent="0.25">
      <c r="A1084" s="464" t="s">
        <v>917</v>
      </c>
      <c r="B1084" s="19">
        <v>910</v>
      </c>
      <c r="C1084" s="24" t="s">
        <v>118</v>
      </c>
      <c r="D1084" s="24" t="s">
        <v>120</v>
      </c>
      <c r="E1084" s="24" t="s">
        <v>858</v>
      </c>
      <c r="F1084" s="24"/>
      <c r="G1084" s="463">
        <f>G1085</f>
        <v>1798.5</v>
      </c>
      <c r="H1084" s="463">
        <f>H1085</f>
        <v>1798.5</v>
      </c>
      <c r="I1084" s="204"/>
    </row>
    <row r="1085" spans="1:9" ht="31.5" x14ac:dyDescent="0.25">
      <c r="A1085" s="464" t="s">
        <v>986</v>
      </c>
      <c r="B1085" s="19">
        <v>910</v>
      </c>
      <c r="C1085" s="24" t="s">
        <v>118</v>
      </c>
      <c r="D1085" s="24" t="s">
        <v>120</v>
      </c>
      <c r="E1085" s="24" t="s">
        <v>987</v>
      </c>
      <c r="F1085" s="24"/>
      <c r="G1085" s="463">
        <f>G1086+G1091</f>
        <v>1798.5</v>
      </c>
      <c r="H1085" s="463">
        <f>H1086+H1091</f>
        <v>1798.5</v>
      </c>
      <c r="I1085" s="204"/>
    </row>
    <row r="1086" spans="1:9" ht="31.5" x14ac:dyDescent="0.25">
      <c r="A1086" s="466" t="s">
        <v>897</v>
      </c>
      <c r="B1086" s="16">
        <v>910</v>
      </c>
      <c r="C1086" s="20" t="s">
        <v>118</v>
      </c>
      <c r="D1086" s="20" t="s">
        <v>120</v>
      </c>
      <c r="E1086" s="20" t="s">
        <v>991</v>
      </c>
      <c r="F1086" s="20"/>
      <c r="G1086" s="467">
        <f>G1087+G1089</f>
        <v>1752.5</v>
      </c>
      <c r="H1086" s="467">
        <f>H1087+H1089</f>
        <v>1752.5</v>
      </c>
      <c r="I1086" s="204"/>
    </row>
    <row r="1087" spans="1:9" ht="78.75" x14ac:dyDescent="0.25">
      <c r="A1087" s="466" t="s">
        <v>127</v>
      </c>
      <c r="B1087" s="16">
        <v>910</v>
      </c>
      <c r="C1087" s="20" t="s">
        <v>118</v>
      </c>
      <c r="D1087" s="20" t="s">
        <v>120</v>
      </c>
      <c r="E1087" s="20" t="s">
        <v>991</v>
      </c>
      <c r="F1087" s="20" t="s">
        <v>128</v>
      </c>
      <c r="G1087" s="467">
        <f>G1088</f>
        <v>1734.5</v>
      </c>
      <c r="H1087" s="467">
        <f>H1088</f>
        <v>1734.5</v>
      </c>
      <c r="I1087" s="204"/>
    </row>
    <row r="1088" spans="1:9" ht="31.5" x14ac:dyDescent="0.25">
      <c r="A1088" s="466" t="s">
        <v>129</v>
      </c>
      <c r="B1088" s="16">
        <v>910</v>
      </c>
      <c r="C1088" s="20" t="s">
        <v>118</v>
      </c>
      <c r="D1088" s="20" t="s">
        <v>120</v>
      </c>
      <c r="E1088" s="20" t="s">
        <v>991</v>
      </c>
      <c r="F1088" s="20" t="s">
        <v>130</v>
      </c>
      <c r="G1088" s="467">
        <v>1734.5</v>
      </c>
      <c r="H1088" s="467">
        <f t="shared" si="95"/>
        <v>1734.5</v>
      </c>
      <c r="I1088" s="204"/>
    </row>
    <row r="1089" spans="1:41" ht="31.5" x14ac:dyDescent="0.25">
      <c r="A1089" s="466" t="s">
        <v>198</v>
      </c>
      <c r="B1089" s="16">
        <v>910</v>
      </c>
      <c r="C1089" s="20" t="s">
        <v>118</v>
      </c>
      <c r="D1089" s="20" t="s">
        <v>120</v>
      </c>
      <c r="E1089" s="20" t="s">
        <v>991</v>
      </c>
      <c r="F1089" s="20" t="s">
        <v>132</v>
      </c>
      <c r="G1089" s="467">
        <f>G1090</f>
        <v>18</v>
      </c>
      <c r="H1089" s="467">
        <f>H1090</f>
        <v>18</v>
      </c>
      <c r="I1089" s="204"/>
    </row>
    <row r="1090" spans="1:41" ht="34.700000000000003" customHeight="1" x14ac:dyDescent="0.25">
      <c r="A1090" s="466" t="s">
        <v>133</v>
      </c>
      <c r="B1090" s="16">
        <v>910</v>
      </c>
      <c r="C1090" s="20" t="s">
        <v>118</v>
      </c>
      <c r="D1090" s="20" t="s">
        <v>120</v>
      </c>
      <c r="E1090" s="20" t="s">
        <v>991</v>
      </c>
      <c r="F1090" s="20" t="s">
        <v>134</v>
      </c>
      <c r="G1090" s="467">
        <f>18</f>
        <v>18</v>
      </c>
      <c r="H1090" s="467">
        <f t="shared" si="95"/>
        <v>18</v>
      </c>
      <c r="I1090" s="204"/>
    </row>
    <row r="1091" spans="1:41" ht="47.25" x14ac:dyDescent="0.25">
      <c r="A1091" s="466" t="s">
        <v>839</v>
      </c>
      <c r="B1091" s="16">
        <v>910</v>
      </c>
      <c r="C1091" s="20" t="s">
        <v>118</v>
      </c>
      <c r="D1091" s="20" t="s">
        <v>120</v>
      </c>
      <c r="E1091" s="20" t="s">
        <v>989</v>
      </c>
      <c r="F1091" s="20"/>
      <c r="G1091" s="467">
        <f>G1092</f>
        <v>46</v>
      </c>
      <c r="H1091" s="467">
        <f>H1092</f>
        <v>46</v>
      </c>
      <c r="I1091" s="204"/>
    </row>
    <row r="1092" spans="1:41" ht="78.75" x14ac:dyDescent="0.25">
      <c r="A1092" s="466" t="s">
        <v>127</v>
      </c>
      <c r="B1092" s="16">
        <v>910</v>
      </c>
      <c r="C1092" s="20" t="s">
        <v>118</v>
      </c>
      <c r="D1092" s="20" t="s">
        <v>120</v>
      </c>
      <c r="E1092" s="20" t="s">
        <v>989</v>
      </c>
      <c r="F1092" s="20" t="s">
        <v>128</v>
      </c>
      <c r="G1092" s="467">
        <f>G1093</f>
        <v>46</v>
      </c>
      <c r="H1092" s="467">
        <f>H1093</f>
        <v>46</v>
      </c>
      <c r="I1092" s="204"/>
    </row>
    <row r="1093" spans="1:41" ht="31.5" x14ac:dyDescent="0.25">
      <c r="A1093" s="466" t="s">
        <v>129</v>
      </c>
      <c r="B1093" s="16">
        <v>910</v>
      </c>
      <c r="C1093" s="20" t="s">
        <v>118</v>
      </c>
      <c r="D1093" s="20" t="s">
        <v>120</v>
      </c>
      <c r="E1093" s="20" t="s">
        <v>989</v>
      </c>
      <c r="F1093" s="20" t="s">
        <v>130</v>
      </c>
      <c r="G1093" s="467">
        <v>46</v>
      </c>
      <c r="H1093" s="467">
        <f t="shared" si="95"/>
        <v>46</v>
      </c>
      <c r="I1093" s="204"/>
    </row>
    <row r="1094" spans="1:41" ht="15.75" x14ac:dyDescent="0.25">
      <c r="A1094" s="48" t="s">
        <v>587</v>
      </c>
      <c r="B1094" s="48"/>
      <c r="C1094" s="24"/>
      <c r="D1094" s="24"/>
      <c r="E1094" s="24"/>
      <c r="F1094" s="24"/>
      <c r="G1094" s="385">
        <f>G1046+G831+G756+G537+G488+G242+G31+G10+G9</f>
        <v>733748.7178499999</v>
      </c>
      <c r="H1094" s="385">
        <f>H1046+H831+H756+H537+H488+H242+H31+H10+H9</f>
        <v>776239.04999999993</v>
      </c>
      <c r="I1094" s="204"/>
      <c r="N1094" s="630" t="s">
        <v>1562</v>
      </c>
      <c r="O1094" s="630"/>
      <c r="P1094" s="630"/>
      <c r="Q1094" s="630"/>
      <c r="R1094" s="630"/>
      <c r="S1094" s="630"/>
      <c r="T1094" s="630"/>
      <c r="U1094" s="630"/>
      <c r="V1094" s="630"/>
      <c r="W1094" s="630"/>
      <c r="X1094" s="630" t="s">
        <v>1563</v>
      </c>
      <c r="Y1094" s="630"/>
      <c r="Z1094" s="630"/>
      <c r="AA1094" s="630"/>
      <c r="AB1094" s="630"/>
      <c r="AC1094" s="630"/>
      <c r="AD1094" s="630"/>
      <c r="AE1094" s="630"/>
      <c r="AF1094" s="630"/>
      <c r="AG1094" s="630"/>
      <c r="AH1094" s="413"/>
      <c r="AI1094" s="413"/>
      <c r="AJ1094" s="413"/>
    </row>
    <row r="1095" spans="1:41" ht="48" hidden="1" x14ac:dyDescent="0.25">
      <c r="A1095" s="50"/>
      <c r="B1095" s="50"/>
      <c r="C1095" s="50"/>
      <c r="D1095" s="50"/>
      <c r="E1095" s="352">
        <f>G1096-G1095</f>
        <v>-1.6689054085873067E-2</v>
      </c>
      <c r="F1095" s="50"/>
      <c r="G1095" s="390">
        <f>'Пр.1.1. дох.22-23'!C159</f>
        <v>496615.91400000005</v>
      </c>
      <c r="H1095" s="390">
        <f>'Пр.1.1. дох.22-23'!D159</f>
        <v>506703.054</v>
      </c>
      <c r="L1095" s="229">
        <f>H1096-H1095</f>
        <v>-5.5089109053369612E-2</v>
      </c>
      <c r="M1095" s="204"/>
      <c r="N1095" s="319" t="s">
        <v>1285</v>
      </c>
      <c r="O1095" s="319" t="s">
        <v>1286</v>
      </c>
      <c r="P1095" s="319" t="s">
        <v>1287</v>
      </c>
      <c r="Q1095" s="319" t="s">
        <v>1288</v>
      </c>
      <c r="R1095" s="319" t="s">
        <v>1341</v>
      </c>
      <c r="S1095" s="319" t="s">
        <v>1421</v>
      </c>
      <c r="T1095" s="319" t="s">
        <v>1490</v>
      </c>
      <c r="U1095" s="319" t="s">
        <v>1491</v>
      </c>
      <c r="V1095" s="319" t="s">
        <v>1492</v>
      </c>
      <c r="W1095" s="319" t="s">
        <v>1496</v>
      </c>
      <c r="X1095" s="411" t="s">
        <v>1285</v>
      </c>
      <c r="Y1095" s="411" t="s">
        <v>1286</v>
      </c>
      <c r="Z1095" s="411" t="s">
        <v>1287</v>
      </c>
      <c r="AA1095" s="411" t="s">
        <v>1288</v>
      </c>
      <c r="AB1095" s="411" t="s">
        <v>1341</v>
      </c>
      <c r="AC1095" s="411" t="s">
        <v>1421</v>
      </c>
      <c r="AD1095" s="411" t="s">
        <v>1490</v>
      </c>
      <c r="AE1095" s="411" t="s">
        <v>1491</v>
      </c>
      <c r="AF1095" s="411" t="s">
        <v>1492</v>
      </c>
      <c r="AG1095" s="411" t="s">
        <v>1496</v>
      </c>
    </row>
    <row r="1096" spans="1:41" ht="18.75" hidden="1" x14ac:dyDescent="0.3">
      <c r="A1096" s="50"/>
      <c r="B1096" s="50"/>
      <c r="C1096" s="51"/>
      <c r="D1096" s="51"/>
      <c r="E1096" s="51"/>
      <c r="F1096" s="101" t="s">
        <v>588</v>
      </c>
      <c r="G1096" s="386">
        <f>G1094-G1097</f>
        <v>496615.89731094596</v>
      </c>
      <c r="H1096" s="386">
        <f>H1094-H1097</f>
        <v>506702.99891089095</v>
      </c>
      <c r="L1096" s="204"/>
      <c r="M1096" s="316" t="s">
        <v>588</v>
      </c>
      <c r="N1096" s="318">
        <v>500</v>
      </c>
      <c r="O1096" s="318">
        <v>0</v>
      </c>
      <c r="P1096" s="318">
        <f>300</f>
        <v>300</v>
      </c>
      <c r="Q1096" s="343">
        <f>Q1097*100/90.9-Q1097</f>
        <v>26.809460946094589</v>
      </c>
      <c r="R1096" s="318">
        <v>0</v>
      </c>
      <c r="S1096" s="318">
        <v>222.05</v>
      </c>
      <c r="T1096" s="318"/>
      <c r="U1096" s="414"/>
      <c r="V1096" s="414">
        <v>0</v>
      </c>
      <c r="W1096" s="343">
        <v>71.75</v>
      </c>
      <c r="X1096" s="412">
        <v>500</v>
      </c>
      <c r="Y1096" s="412">
        <v>0</v>
      </c>
      <c r="Z1096" s="412">
        <v>1500</v>
      </c>
      <c r="AA1096" s="415">
        <f>AA1097*100/90.9-AA1097</f>
        <v>26.308910891089056</v>
      </c>
      <c r="AB1096" s="412">
        <v>0</v>
      </c>
      <c r="AC1096" s="415">
        <v>210.85</v>
      </c>
      <c r="AD1096" s="412"/>
      <c r="AE1096" s="416"/>
      <c r="AF1096" s="416"/>
      <c r="AG1096" s="415">
        <v>96</v>
      </c>
    </row>
    <row r="1097" spans="1:41" ht="18.75" hidden="1" x14ac:dyDescent="0.3">
      <c r="A1097" s="50"/>
      <c r="B1097" s="50"/>
      <c r="C1097" s="51"/>
      <c r="D1097" s="51"/>
      <c r="E1097" s="51"/>
      <c r="F1097" s="101" t="s">
        <v>589</v>
      </c>
      <c r="G1097" s="386">
        <f>G70+G198+G207+G236+G317+G378+G449+G517+G555+G615+G697+G726+G789+G991+G998+G902+G110+G1064+G596+G503+G231+G393+G534+G103+G672-N1096-O1096-P1096-Q1096-R1096+G676+G400-S1096+G51+G668+G677-W1096+G723+G663+G659+G655+G589+G390+G282+G248+G228+G215+G195+G107+G46-T1096-U1096-V1096-N1103-O1103-P1103-Q1103-R1103-S1103-T1103-U1103-V1103-W1103-X1103-Y1103-Z1103-AA1103</f>
        <v>237132.82053905394</v>
      </c>
      <c r="H1097" s="386">
        <f>H70+H198+H207+H236+H317+H378+H449+H517+H555+H615+H697+H726+H789+H991+H998+H902+H110+H1064+H596+H503+H231+H393+H534+H103+H672+H676+H400+H51+H668+H677+H723+H663+H659+H655+H589+H390+H282+H248+H228+H215+H195+H107+H46-X1096-Y1096-Z1096-AA1096-AB1096-AC1096-AD1096-AE1096-AF1096-AG1096-AB1103-AC1103-AD1103-AE1103-AF1103-AG1103-AH1103-AI1103-AJ1103-AK1103-AL1103-AM1103-AN1103-AO1103</f>
        <v>269536.05108910898</v>
      </c>
      <c r="I1097" s="209">
        <v>267446.40000000002</v>
      </c>
      <c r="J1097">
        <v>260319.2</v>
      </c>
      <c r="L1097" s="204"/>
      <c r="M1097" s="317" t="s">
        <v>1495</v>
      </c>
      <c r="N1097" s="318">
        <v>0</v>
      </c>
      <c r="O1097" s="318">
        <v>0</v>
      </c>
      <c r="P1097" s="318">
        <v>0</v>
      </c>
      <c r="Q1097" s="318">
        <f>238.3+29.5</f>
        <v>267.8</v>
      </c>
      <c r="R1097" s="318">
        <v>0</v>
      </c>
      <c r="S1097" s="318">
        <f>4622.3+571.3</f>
        <v>5193.6000000000004</v>
      </c>
      <c r="T1097" s="414"/>
      <c r="U1097" s="414"/>
      <c r="V1097" s="414">
        <v>0</v>
      </c>
      <c r="W1097" s="318">
        <f>1644.1+33.6</f>
        <v>1677.6999999999998</v>
      </c>
      <c r="X1097" s="412">
        <v>0</v>
      </c>
      <c r="Y1097" s="412">
        <v>0</v>
      </c>
      <c r="Z1097" s="412">
        <v>1306.2</v>
      </c>
      <c r="AA1097" s="412">
        <f>233.9+28.9</f>
        <v>262.8</v>
      </c>
      <c r="AB1097" s="412">
        <v>0</v>
      </c>
      <c r="AC1097" s="412">
        <f>4389.1+542.5</f>
        <v>4931.6000000000004</v>
      </c>
      <c r="AD1097" s="416">
        <f>пр.1дох.21!M64</f>
        <v>0</v>
      </c>
      <c r="AE1097" s="416"/>
      <c r="AF1097" s="416"/>
      <c r="AG1097" s="412">
        <f>2200+45</f>
        <v>2245</v>
      </c>
    </row>
    <row r="1098" spans="1:41" ht="15.75" hidden="1" x14ac:dyDescent="0.25">
      <c r="A1098" s="50"/>
      <c r="B1098" s="50"/>
      <c r="C1098" s="51"/>
      <c r="D1098" s="53"/>
      <c r="E1098" s="53"/>
      <c r="F1098" s="53"/>
      <c r="G1098" s="391">
        <f>'Пр.1.1. дох.22-23'!C158</f>
        <v>237132.81999999995</v>
      </c>
      <c r="H1098" s="391">
        <f>'Пр.1.1. дох.22-23'!D158</f>
        <v>269536.01999999996</v>
      </c>
      <c r="I1098" s="231">
        <f>I1097-G1097</f>
        <v>30313.579460946086</v>
      </c>
      <c r="J1098" s="231">
        <f>J1097-H1097</f>
        <v>-9216.8510891089682</v>
      </c>
      <c r="L1098" s="229"/>
      <c r="M1098" s="229"/>
      <c r="N1098" s="417" t="s">
        <v>1290</v>
      </c>
      <c r="O1098" s="417" t="s">
        <v>1291</v>
      </c>
      <c r="P1098" s="417" t="s">
        <v>1292</v>
      </c>
      <c r="Q1098" s="417" t="s">
        <v>1293</v>
      </c>
      <c r="R1098" s="417" t="s">
        <v>1292</v>
      </c>
      <c r="S1098" s="417" t="s">
        <v>1420</v>
      </c>
      <c r="T1098" s="417" t="s">
        <v>1420</v>
      </c>
      <c r="U1098" s="342" t="s">
        <v>1420</v>
      </c>
      <c r="V1098" s="417" t="s">
        <v>1493</v>
      </c>
      <c r="W1098" s="417" t="s">
        <v>1420</v>
      </c>
      <c r="X1098" s="417" t="s">
        <v>1290</v>
      </c>
      <c r="Y1098" s="417" t="s">
        <v>1291</v>
      </c>
      <c r="Z1098" s="417" t="s">
        <v>1292</v>
      </c>
      <c r="AA1098" s="417" t="s">
        <v>1293</v>
      </c>
      <c r="AB1098" s="417" t="s">
        <v>1292</v>
      </c>
      <c r="AC1098" s="417" t="s">
        <v>1420</v>
      </c>
      <c r="AD1098" s="417" t="s">
        <v>1420</v>
      </c>
      <c r="AE1098" s="342" t="s">
        <v>1420</v>
      </c>
      <c r="AF1098" s="417" t="s">
        <v>1493</v>
      </c>
      <c r="AG1098" s="417" t="s">
        <v>1420</v>
      </c>
    </row>
    <row r="1099" spans="1:41" ht="15.75" hidden="1" x14ac:dyDescent="0.25">
      <c r="A1099" s="50"/>
      <c r="B1099" s="50"/>
      <c r="C1099" s="51"/>
      <c r="D1099" s="53"/>
      <c r="E1099" s="53"/>
      <c r="F1099" s="53"/>
      <c r="G1099" s="391">
        <f>G1097-G1098</f>
        <v>5.390539881773293E-4</v>
      </c>
      <c r="H1099" s="391">
        <f>H1097-H1098</f>
        <v>3.1089109019376338E-2</v>
      </c>
    </row>
    <row r="1100" spans="1:41" ht="15.75" hidden="1" x14ac:dyDescent="0.25">
      <c r="A1100" s="50"/>
      <c r="B1100" s="50"/>
      <c r="C1100" s="51"/>
      <c r="D1100" s="53"/>
      <c r="E1100" s="53"/>
      <c r="F1100" s="389" t="s">
        <v>674</v>
      </c>
      <c r="G1100" s="391">
        <f>'Пр.1.1. дох.22-23'!C157-'пр.2.1. рдпр 22-23'!D51</f>
        <v>1.6150000039488077E-2</v>
      </c>
      <c r="H1100" s="391">
        <f>'Пр.1.1. дох.22-23'!D157-'пр.2.1. рдпр 22-23'!E51</f>
        <v>2.4000000208616257E-2</v>
      </c>
    </row>
    <row r="1101" spans="1:41" s="203" customFormat="1" ht="15.75" hidden="1" x14ac:dyDescent="0.25">
      <c r="A1101" s="50"/>
      <c r="B1101" s="50"/>
      <c r="C1101" s="51"/>
      <c r="D1101" s="53"/>
      <c r="E1101" s="53"/>
      <c r="F1101" s="53"/>
      <c r="G1101" s="102"/>
      <c r="H1101" s="102"/>
      <c r="M1101" s="204"/>
      <c r="N1101" s="623" t="s">
        <v>1564</v>
      </c>
      <c r="O1101" s="624"/>
      <c r="P1101" s="624"/>
      <c r="Q1101" s="624"/>
      <c r="R1101" s="624"/>
      <c r="S1101" s="624"/>
      <c r="T1101" s="624"/>
      <c r="U1101" s="624"/>
      <c r="V1101" s="624"/>
      <c r="W1101" s="624"/>
      <c r="X1101" s="624"/>
      <c r="Y1101" s="624"/>
      <c r="Z1101" s="624"/>
      <c r="AA1101" s="625"/>
      <c r="AB1101" s="631" t="s">
        <v>1565</v>
      </c>
      <c r="AC1101" s="631"/>
      <c r="AD1101" s="631"/>
      <c r="AE1101" s="631"/>
      <c r="AF1101" s="631"/>
      <c r="AG1101" s="631"/>
      <c r="AH1101" s="631"/>
      <c r="AI1101" s="631"/>
      <c r="AJ1101" s="631"/>
      <c r="AK1101" s="631"/>
      <c r="AL1101" s="631"/>
      <c r="AM1101" s="631"/>
      <c r="AN1101" s="631"/>
      <c r="AO1101" s="631"/>
    </row>
    <row r="1102" spans="1:41" ht="72" hidden="1" x14ac:dyDescent="0.25">
      <c r="A1102" s="50"/>
      <c r="B1102" s="50"/>
      <c r="E1102" s="54">
        <v>1</v>
      </c>
      <c r="F1102" s="53"/>
      <c r="G1102" s="102">
        <f>G10+G32+G243+G489+G538+G832+G1047+G757</f>
        <v>136787.32</v>
      </c>
      <c r="H1102" s="102">
        <f>H10+H32+H243+H489+H538+H832+H1047+H757</f>
        <v>123941.67000000001</v>
      </c>
      <c r="M1102" s="204"/>
      <c r="N1102" s="347" t="s">
        <v>1498</v>
      </c>
      <c r="O1102" s="347" t="s">
        <v>1499</v>
      </c>
      <c r="P1102" s="347" t="s">
        <v>1501</v>
      </c>
      <c r="Q1102" s="347" t="s">
        <v>1502</v>
      </c>
      <c r="R1102" s="347" t="s">
        <v>1503</v>
      </c>
      <c r="S1102" s="347" t="s">
        <v>1504</v>
      </c>
      <c r="T1102" s="347" t="s">
        <v>1507</v>
      </c>
      <c r="U1102" s="347" t="s">
        <v>1509</v>
      </c>
      <c r="V1102" s="347" t="s">
        <v>1513</v>
      </c>
      <c r="W1102" s="347" t="s">
        <v>1514</v>
      </c>
      <c r="X1102" s="347" t="s">
        <v>1520</v>
      </c>
      <c r="Y1102" s="406" t="s">
        <v>1558</v>
      </c>
      <c r="Z1102" s="406" t="s">
        <v>1566</v>
      </c>
      <c r="AA1102" s="406" t="s">
        <v>1567</v>
      </c>
      <c r="AB1102" s="353" t="s">
        <v>1498</v>
      </c>
      <c r="AC1102" s="353" t="s">
        <v>1499</v>
      </c>
      <c r="AD1102" s="353" t="s">
        <v>1501</v>
      </c>
      <c r="AE1102" s="353" t="s">
        <v>1502</v>
      </c>
      <c r="AF1102" s="353" t="s">
        <v>1503</v>
      </c>
      <c r="AG1102" s="353" t="s">
        <v>1504</v>
      </c>
      <c r="AH1102" s="353" t="s">
        <v>1507</v>
      </c>
      <c r="AI1102" s="353" t="s">
        <v>1509</v>
      </c>
      <c r="AJ1102" s="353" t="s">
        <v>1513</v>
      </c>
      <c r="AK1102" s="353" t="s">
        <v>1514</v>
      </c>
      <c r="AL1102" s="353" t="s">
        <v>1520</v>
      </c>
      <c r="AM1102" s="353" t="s">
        <v>1558</v>
      </c>
      <c r="AN1102" s="353" t="s">
        <v>1566</v>
      </c>
      <c r="AO1102" s="353" t="s">
        <v>1567</v>
      </c>
    </row>
    <row r="1103" spans="1:41" ht="15.75" hidden="1" x14ac:dyDescent="0.25">
      <c r="A1103" s="50"/>
      <c r="B1103" s="50"/>
      <c r="E1103" s="54" t="s">
        <v>588</v>
      </c>
      <c r="F1103" s="53"/>
      <c r="G1103" s="102">
        <f>G1102-G1104</f>
        <v>133416.5</v>
      </c>
      <c r="H1103" s="102">
        <f>H1102-H1104</f>
        <v>120786.32</v>
      </c>
      <c r="M1103" s="314" t="s">
        <v>588</v>
      </c>
      <c r="N1103" s="348">
        <v>3.5</v>
      </c>
      <c r="O1103" s="348">
        <v>3584</v>
      </c>
      <c r="P1103" s="348">
        <v>2200</v>
      </c>
      <c r="Q1103" s="348">
        <v>0</v>
      </c>
      <c r="R1103" s="348">
        <v>868</v>
      </c>
      <c r="S1103" s="348">
        <v>124.4</v>
      </c>
      <c r="T1103" s="348">
        <v>0</v>
      </c>
      <c r="U1103" s="348">
        <v>678</v>
      </c>
      <c r="V1103" s="348">
        <v>19</v>
      </c>
      <c r="W1103" s="348">
        <v>1</v>
      </c>
      <c r="X1103" s="348">
        <v>60</v>
      </c>
      <c r="Y1103" s="348">
        <v>10</v>
      </c>
      <c r="Z1103" s="348">
        <v>150</v>
      </c>
      <c r="AA1103" s="348">
        <v>200</v>
      </c>
      <c r="AB1103" s="354">
        <v>3.5</v>
      </c>
      <c r="AC1103" s="354">
        <v>3584</v>
      </c>
      <c r="AD1103" s="354">
        <v>2200</v>
      </c>
      <c r="AE1103" s="354">
        <v>0</v>
      </c>
      <c r="AF1103" s="354">
        <v>868</v>
      </c>
      <c r="AG1103" s="354">
        <v>124.4</v>
      </c>
      <c r="AH1103" s="354">
        <v>0</v>
      </c>
      <c r="AI1103" s="354">
        <v>678</v>
      </c>
      <c r="AJ1103" s="354">
        <v>19</v>
      </c>
      <c r="AK1103" s="354">
        <v>1</v>
      </c>
      <c r="AL1103" s="354">
        <v>60</v>
      </c>
      <c r="AM1103" s="354">
        <v>10</v>
      </c>
      <c r="AN1103" s="354">
        <v>150</v>
      </c>
      <c r="AO1103" s="354">
        <v>500</v>
      </c>
    </row>
    <row r="1104" spans="1:41" ht="15.75" hidden="1" x14ac:dyDescent="0.25">
      <c r="A1104" s="50"/>
      <c r="B1104" s="50"/>
      <c r="E1104" s="54" t="s">
        <v>589</v>
      </c>
      <c r="F1104" s="53"/>
      <c r="G1104" s="102">
        <f>G1064+G517+G110+G70+G503-O1096+G105+G51-AA1103-W1103+G248+G107+G46</f>
        <v>3370.8199999999997</v>
      </c>
      <c r="H1104" s="102">
        <f>H1064+H517+H110+H70+H503-Y1096+H105+H51-AK1103-AO1103+H248+H107+H46</f>
        <v>3155.3500000000004</v>
      </c>
      <c r="M1104" s="315" t="s">
        <v>589</v>
      </c>
      <c r="N1104" s="348">
        <v>65.2</v>
      </c>
      <c r="O1104" s="348">
        <v>2161.1</v>
      </c>
      <c r="P1104" s="348">
        <v>1731.8</v>
      </c>
      <c r="Q1104" s="348">
        <v>0</v>
      </c>
      <c r="R1104" s="348">
        <v>516.6</v>
      </c>
      <c r="S1104" s="348">
        <v>173.3</v>
      </c>
      <c r="T1104" s="348">
        <v>1666.6</v>
      </c>
      <c r="U1104" s="348">
        <v>77.8</v>
      </c>
      <c r="V1104" s="348">
        <v>255</v>
      </c>
      <c r="W1104" s="348">
        <v>40</v>
      </c>
      <c r="X1104" s="348">
        <v>200</v>
      </c>
      <c r="Y1104" s="348">
        <v>0</v>
      </c>
      <c r="Z1104" s="348">
        <v>0</v>
      </c>
      <c r="AA1104" s="348">
        <v>0</v>
      </c>
      <c r="AB1104" s="354">
        <v>65.2</v>
      </c>
      <c r="AC1104" s="354">
        <v>2161.1</v>
      </c>
      <c r="AD1104" s="354">
        <v>1665.2</v>
      </c>
      <c r="AE1104" s="354">
        <v>0</v>
      </c>
      <c r="AF1104" s="354">
        <v>516.6</v>
      </c>
      <c r="AG1104" s="354">
        <v>173.3</v>
      </c>
      <c r="AH1104" s="354">
        <v>915</v>
      </c>
      <c r="AI1104" s="354">
        <v>81</v>
      </c>
      <c r="AJ1104" s="354">
        <v>255</v>
      </c>
      <c r="AK1104" s="354">
        <v>40</v>
      </c>
      <c r="AL1104" s="354">
        <v>200</v>
      </c>
      <c r="AM1104" s="354">
        <v>0</v>
      </c>
      <c r="AN1104" s="354">
        <v>0</v>
      </c>
      <c r="AO1104" s="354">
        <v>0</v>
      </c>
    </row>
    <row r="1105" spans="1:41" ht="15.75" hidden="1" x14ac:dyDescent="0.25">
      <c r="A1105" s="50"/>
      <c r="B1105" s="50"/>
      <c r="E1105" s="54">
        <v>2</v>
      </c>
      <c r="F1105" s="53"/>
      <c r="G1105" s="102">
        <f>G165</f>
        <v>0</v>
      </c>
      <c r="H1105" s="102">
        <f>H165</f>
        <v>0</v>
      </c>
      <c r="M1105" s="229"/>
      <c r="N1105" s="417" t="s">
        <v>1292</v>
      </c>
      <c r="O1105" s="417" t="s">
        <v>1500</v>
      </c>
      <c r="P1105" s="417" t="s">
        <v>1420</v>
      </c>
      <c r="Q1105" s="417" t="s">
        <v>1420</v>
      </c>
      <c r="R1105" s="417" t="s">
        <v>1420</v>
      </c>
      <c r="S1105" s="417" t="s">
        <v>1505</v>
      </c>
      <c r="T1105" s="417" t="s">
        <v>1508</v>
      </c>
      <c r="U1105" s="417" t="s">
        <v>1420</v>
      </c>
      <c r="V1105" s="417" t="s">
        <v>1515</v>
      </c>
      <c r="W1105" s="417" t="s">
        <v>1516</v>
      </c>
      <c r="X1105" s="417" t="s">
        <v>1519</v>
      </c>
      <c r="Y1105" s="417" t="s">
        <v>1293</v>
      </c>
      <c r="Z1105" s="417" t="s">
        <v>1519</v>
      </c>
      <c r="AA1105" s="417" t="s">
        <v>1291</v>
      </c>
      <c r="AB1105" s="407" t="s">
        <v>1292</v>
      </c>
      <c r="AC1105" s="417" t="s">
        <v>1500</v>
      </c>
      <c r="AD1105" s="417" t="s">
        <v>1420</v>
      </c>
      <c r="AE1105" s="407" t="s">
        <v>1420</v>
      </c>
      <c r="AF1105" s="407" t="s">
        <v>1420</v>
      </c>
      <c r="AG1105" s="417" t="s">
        <v>1505</v>
      </c>
      <c r="AH1105" s="407" t="s">
        <v>1505</v>
      </c>
      <c r="AI1105" s="407" t="s">
        <v>1420</v>
      </c>
      <c r="AJ1105" s="407" t="s">
        <v>1515</v>
      </c>
      <c r="AK1105" s="407" t="s">
        <v>1516</v>
      </c>
      <c r="AL1105" s="407" t="s">
        <v>1519</v>
      </c>
      <c r="AM1105" s="417" t="s">
        <v>1293</v>
      </c>
      <c r="AN1105" s="417" t="s">
        <v>1519</v>
      </c>
      <c r="AO1105" s="417" t="s">
        <v>1291</v>
      </c>
    </row>
    <row r="1106" spans="1:41" ht="15.75" hidden="1" x14ac:dyDescent="0.25">
      <c r="A1106" s="50"/>
      <c r="B1106" s="50"/>
      <c r="E1106" s="54">
        <v>3</v>
      </c>
      <c r="F1106" s="53"/>
      <c r="G1106" s="102">
        <f>G846+G172</f>
        <v>8197.1</v>
      </c>
      <c r="H1106" s="102">
        <f>H846+H172</f>
        <v>8197.1</v>
      </c>
    </row>
    <row r="1107" spans="1:41" ht="15.75" hidden="1" x14ac:dyDescent="0.25">
      <c r="A1107" s="50"/>
      <c r="B1107" s="50"/>
      <c r="E1107" s="54">
        <v>4</v>
      </c>
      <c r="F1107" s="53"/>
      <c r="G1107" s="102">
        <f>G191+G853+G273</f>
        <v>6333.8</v>
      </c>
      <c r="H1107" s="102">
        <f>H191+H853+H273</f>
        <v>6165.9000000000005</v>
      </c>
    </row>
    <row r="1108" spans="1:41" ht="15.75" hidden="1" x14ac:dyDescent="0.25">
      <c r="A1108" s="50"/>
      <c r="B1108" s="50"/>
      <c r="E1108" s="54" t="s">
        <v>588</v>
      </c>
      <c r="F1108" s="53"/>
      <c r="G1108" s="102">
        <f>G1107-G1109</f>
        <v>5614.6</v>
      </c>
      <c r="H1108" s="102">
        <f>H1107-H1109</f>
        <v>5436.1</v>
      </c>
    </row>
    <row r="1109" spans="1:41" ht="15.75" hidden="1" x14ac:dyDescent="0.25">
      <c r="A1109" s="50"/>
      <c r="B1109" s="50"/>
      <c r="E1109" s="54" t="s">
        <v>589</v>
      </c>
      <c r="F1109" s="53"/>
      <c r="G1109" s="102">
        <f>G207+G198-Z1103-X1103-V1103+G282+G215+G195</f>
        <v>719.2</v>
      </c>
      <c r="H1109" s="102">
        <f>H207+H198-AJ1103-AL1103-AN1103+H282+H215+H195</f>
        <v>729.8</v>
      </c>
    </row>
    <row r="1110" spans="1:41" ht="15.75" hidden="1" x14ac:dyDescent="0.25">
      <c r="A1110" s="50"/>
      <c r="B1110" s="50"/>
      <c r="E1110" s="54">
        <v>5</v>
      </c>
      <c r="F1110" s="53"/>
      <c r="G1110" s="102">
        <f>G874+G521</f>
        <v>39509</v>
      </c>
      <c r="H1110" s="102">
        <f>H874+H521</f>
        <v>47933.850000000006</v>
      </c>
    </row>
    <row r="1111" spans="1:41" ht="15.75" hidden="1" x14ac:dyDescent="0.25">
      <c r="A1111" s="50"/>
      <c r="B1111" s="50"/>
      <c r="E1111" s="54" t="s">
        <v>588</v>
      </c>
      <c r="F1111" s="53"/>
      <c r="G1111" s="102">
        <f>G1110-G1112</f>
        <v>39509</v>
      </c>
      <c r="H1111" s="102">
        <f>H1110-H1112</f>
        <v>47933.850000000006</v>
      </c>
    </row>
    <row r="1112" spans="1:41" ht="15.75" hidden="1" x14ac:dyDescent="0.25">
      <c r="A1112" s="50"/>
      <c r="B1112" s="50"/>
      <c r="E1112" s="54" t="s">
        <v>589</v>
      </c>
      <c r="F1112" s="53"/>
      <c r="G1112" s="102">
        <f>G902+G991+G1000+G880-N1096</f>
        <v>0</v>
      </c>
      <c r="H1112" s="102">
        <f>H902+H991+H1000+H880-X1096</f>
        <v>0</v>
      </c>
    </row>
    <row r="1113" spans="1:41" ht="15.75" hidden="1" x14ac:dyDescent="0.25">
      <c r="A1113" s="50"/>
      <c r="B1113" s="50"/>
      <c r="E1113" s="54">
        <v>7</v>
      </c>
      <c r="F1113" s="53"/>
      <c r="G1113" s="102">
        <f>G548+G293</f>
        <v>366206.80999999994</v>
      </c>
      <c r="H1113" s="102">
        <f>H548+H293</f>
        <v>389340.16000000003</v>
      </c>
    </row>
    <row r="1114" spans="1:41" ht="15.75" hidden="1" x14ac:dyDescent="0.25">
      <c r="A1114" s="50"/>
      <c r="B1114" s="50"/>
      <c r="E1114" s="54" t="s">
        <v>588</v>
      </c>
      <c r="F1114" s="53"/>
      <c r="G1114" s="102">
        <f>G1113-G1115</f>
        <v>142872.00999999992</v>
      </c>
      <c r="H1114" s="102">
        <f>H1113-H1115</f>
        <v>142988.55999999997</v>
      </c>
    </row>
    <row r="1115" spans="1:41" ht="15.75" hidden="1" x14ac:dyDescent="0.25">
      <c r="A1115" s="50"/>
      <c r="B1115" s="50"/>
      <c r="E1115" s="54" t="s">
        <v>589</v>
      </c>
      <c r="F1115" s="53"/>
      <c r="G1115" s="102">
        <f>G726+G697+G615+G555+G317+G596+G672+G676-S1096+G668-W1096+G680-T1096-U1096-O1103-P1103-Q1103-R1103-S1103-T1103-U1103+G723+G663+G659+G655+G589</f>
        <v>223334.80000000002</v>
      </c>
      <c r="H1115" s="102">
        <f>H726+H697+H615+H555+H317+H596+H672+H676-AC1096+H668-AG1096+H680-AD1096-AE1096-AC1103-AD1103-AE1103-AF1103-AG1103-AH1103-AI1103+H723+H663+H659+H655+H589</f>
        <v>246351.60000000006</v>
      </c>
    </row>
    <row r="1116" spans="1:41" ht="15.75" hidden="1" x14ac:dyDescent="0.25">
      <c r="A1116" s="50"/>
      <c r="B1116" s="50"/>
      <c r="E1116" s="54">
        <v>8</v>
      </c>
      <c r="F1116" s="53"/>
      <c r="G1116" s="102">
        <f>G357</f>
        <v>76411.28</v>
      </c>
      <c r="H1116" s="102">
        <f>H357</f>
        <v>78971.679999999993</v>
      </c>
    </row>
    <row r="1117" spans="1:41" ht="15.75" hidden="1" x14ac:dyDescent="0.25">
      <c r="A1117" s="50"/>
      <c r="B1117" s="50"/>
      <c r="E1117" s="54" t="s">
        <v>588</v>
      </c>
      <c r="F1117" s="53"/>
      <c r="G1117" s="102">
        <f>G1116-G1118</f>
        <v>73904.08</v>
      </c>
      <c r="H1117" s="102">
        <f>H1116-H1118</f>
        <v>75158.28</v>
      </c>
    </row>
    <row r="1118" spans="1:41" ht="15.75" hidden="1" x14ac:dyDescent="0.25">
      <c r="A1118" s="50"/>
      <c r="B1118" s="50"/>
      <c r="E1118" s="54" t="s">
        <v>589</v>
      </c>
      <c r="F1118" s="53"/>
      <c r="G1118" s="102">
        <f>G378+G393+G400-P1096-R1096-N1103+G390</f>
        <v>2507.1999999999998</v>
      </c>
      <c r="H1118" s="102">
        <f>H378+H393+H400-Z1096-AB1096-AB1103+H390</f>
        <v>3813.3999999999996</v>
      </c>
    </row>
    <row r="1119" spans="1:41" ht="15.75" hidden="1" x14ac:dyDescent="0.25">
      <c r="A1119" s="50"/>
      <c r="B1119" s="50"/>
      <c r="E1119" s="54">
        <v>10</v>
      </c>
      <c r="F1119" s="53"/>
      <c r="G1119" s="102">
        <f>G1038+G445+G218+G531</f>
        <v>18033.41</v>
      </c>
      <c r="H1119" s="102">
        <f>H1038+H445+H218+H531</f>
        <v>26348.010000000002</v>
      </c>
    </row>
    <row r="1120" spans="1:41" ht="15.75" hidden="1" x14ac:dyDescent="0.25">
      <c r="A1120" s="50"/>
      <c r="B1120" s="50"/>
      <c r="E1120" s="54" t="s">
        <v>588</v>
      </c>
      <c r="F1120" s="53"/>
      <c r="G1120" s="102">
        <f>G1119-G1121</f>
        <v>11646.109460946094</v>
      </c>
      <c r="H1120" s="102">
        <f>H1119-H1121</f>
        <v>11675.608910891089</v>
      </c>
    </row>
    <row r="1121" spans="1:13" ht="15.75" hidden="1" x14ac:dyDescent="0.25">
      <c r="A1121" s="50"/>
      <c r="B1121" s="50"/>
      <c r="E1121" s="54" t="s">
        <v>589</v>
      </c>
      <c r="F1121" s="53"/>
      <c r="G1121" s="102">
        <f>G236+G450+G231-Q1096+G536-Y1103+G228</f>
        <v>6387.3005390539056</v>
      </c>
      <c r="H1121" s="102">
        <f>H236+H450+H231-AA1096+H536-AM1103+H228</f>
        <v>14672.401089108913</v>
      </c>
    </row>
    <row r="1122" spans="1:13" ht="15.75" hidden="1" x14ac:dyDescent="0.25">
      <c r="A1122" s="50"/>
      <c r="B1122" s="50"/>
      <c r="E1122" s="54">
        <v>11</v>
      </c>
      <c r="F1122" s="53"/>
      <c r="G1122" s="102">
        <f>G764</f>
        <v>63981.399999999994</v>
      </c>
      <c r="H1122" s="102">
        <f>H764</f>
        <v>64012.600000000006</v>
      </c>
    </row>
    <row r="1123" spans="1:13" ht="15.75" hidden="1" x14ac:dyDescent="0.25">
      <c r="A1123" s="50"/>
      <c r="B1123" s="50"/>
      <c r="E1123" s="54" t="s">
        <v>588</v>
      </c>
      <c r="F1123" s="53"/>
      <c r="G1123" s="102">
        <f>G1122-G1124</f>
        <v>63167.899999999994</v>
      </c>
      <c r="H1123" s="102">
        <f>H1122-H1124</f>
        <v>63199.100000000006</v>
      </c>
    </row>
    <row r="1124" spans="1:13" ht="15.75" hidden="1" x14ac:dyDescent="0.25">
      <c r="A1124" s="50"/>
      <c r="B1124" s="50"/>
      <c r="E1124" s="54" t="s">
        <v>589</v>
      </c>
      <c r="F1124" s="53"/>
      <c r="G1124" s="102">
        <f>G789</f>
        <v>813.5</v>
      </c>
      <c r="H1124" s="102">
        <f>H789</f>
        <v>813.5</v>
      </c>
    </row>
    <row r="1125" spans="1:13" ht="15.75" hidden="1" x14ac:dyDescent="0.25">
      <c r="A1125" s="50"/>
      <c r="B1125" s="50"/>
      <c r="E1125" s="54">
        <v>12</v>
      </c>
      <c r="F1125" s="53"/>
      <c r="G1125" s="102">
        <f>G468</f>
        <v>5873.2</v>
      </c>
      <c r="H1125" s="102">
        <f>H468</f>
        <v>5876.2</v>
      </c>
    </row>
    <row r="1126" spans="1:13" s="203" customFormat="1" ht="15.75" hidden="1" x14ac:dyDescent="0.25">
      <c r="A1126" s="50"/>
      <c r="B1126" s="50"/>
      <c r="E1126" s="54" t="s">
        <v>1425</v>
      </c>
      <c r="F1126" s="53"/>
      <c r="G1126" s="102">
        <f>G9</f>
        <v>12415.397850000001</v>
      </c>
      <c r="H1126" s="102">
        <f>H9</f>
        <v>25451.88</v>
      </c>
    </row>
    <row r="1127" spans="1:13" ht="15.75" hidden="1" x14ac:dyDescent="0.25">
      <c r="A1127" s="50"/>
      <c r="B1127" s="50"/>
      <c r="E1127" s="55"/>
      <c r="F1127" s="53"/>
      <c r="G1127" s="387">
        <f>G1102+G1105+G1106+G1107+G1110+G1113+G1116+G1119+G1122+G1125+G1126</f>
        <v>733748.7178499999</v>
      </c>
      <c r="H1127" s="387">
        <f>H1102+H1105+H1106+H1107+H1110+H1113+H1116+H1119+H1122+H1125+H1126</f>
        <v>776239.05</v>
      </c>
    </row>
    <row r="1128" spans="1:13" ht="15.75" hidden="1" x14ac:dyDescent="0.25">
      <c r="A1128" s="50"/>
      <c r="B1128" s="50"/>
      <c r="E1128" s="54" t="s">
        <v>588</v>
      </c>
      <c r="F1128" s="53"/>
      <c r="G1128" s="387">
        <f>G1103+G1105+G1106+G1108+G1111+G1114+G1117+G1120+G1123+G1125+G1126</f>
        <v>496615.89731094614</v>
      </c>
      <c r="H1128" s="387">
        <f>H1103+H1105+H1106+H1108+H1111+H1114+H1117+H1120+H1123+H1125+H1126</f>
        <v>506702.99891089107</v>
      </c>
      <c r="L1128" s="224">
        <f>G1128-G1096</f>
        <v>0</v>
      </c>
      <c r="M1128" s="224">
        <f>H1128-H1096</f>
        <v>0</v>
      </c>
    </row>
    <row r="1129" spans="1:13" ht="15.75" hidden="1" x14ac:dyDescent="0.25">
      <c r="A1129" s="50"/>
      <c r="B1129" s="50"/>
      <c r="E1129" s="54" t="s">
        <v>589</v>
      </c>
      <c r="F1129" s="53"/>
      <c r="G1129" s="387">
        <f>G1127-G1128</f>
        <v>237132.82053905376</v>
      </c>
      <c r="H1129" s="387">
        <f>H1127-H1128</f>
        <v>269536.05108910898</v>
      </c>
    </row>
    <row r="1130" spans="1:13" hidden="1" x14ac:dyDescent="0.25">
      <c r="G1130" s="115">
        <f>G1127-G1094</f>
        <v>0</v>
      </c>
      <c r="H1130" s="115">
        <f>H1127-H1094</f>
        <v>0</v>
      </c>
      <c r="L1130" s="281">
        <f>H1130-G1130</f>
        <v>0</v>
      </c>
    </row>
    <row r="1131" spans="1:13" hidden="1" x14ac:dyDescent="0.25">
      <c r="D1131" s="204" t="s">
        <v>590</v>
      </c>
      <c r="E1131" s="204">
        <v>50</v>
      </c>
      <c r="G1131" s="115">
        <f>G861</f>
        <v>2127.6</v>
      </c>
      <c r="H1131" s="115">
        <f>H861</f>
        <v>1949.1</v>
      </c>
    </row>
    <row r="1132" spans="1:13" hidden="1" x14ac:dyDescent="0.25">
      <c r="E1132" s="204">
        <v>51</v>
      </c>
      <c r="G1132" s="115">
        <f>G245+G275+G338+G434+G447</f>
        <v>3481.61</v>
      </c>
      <c r="H1132" s="115">
        <f>H245+H275+H338+H434+H447</f>
        <v>3896.11</v>
      </c>
    </row>
    <row r="1133" spans="1:13" hidden="1" x14ac:dyDescent="0.25">
      <c r="E1133" s="204">
        <v>52</v>
      </c>
      <c r="G1133" s="115">
        <f>G550+G610+G692+G721</f>
        <v>324504.29999999993</v>
      </c>
      <c r="H1133" s="115">
        <f>H550+H610+H692+H721</f>
        <v>347534.15</v>
      </c>
    </row>
    <row r="1134" spans="1:13" hidden="1" x14ac:dyDescent="0.25">
      <c r="E1134" s="204">
        <v>53</v>
      </c>
      <c r="G1134" s="115">
        <f>G213</f>
        <v>150</v>
      </c>
      <c r="H1134" s="115">
        <f>H213</f>
        <v>150</v>
      </c>
    </row>
    <row r="1135" spans="1:13" hidden="1" x14ac:dyDescent="0.25">
      <c r="E1135" s="204">
        <v>54</v>
      </c>
      <c r="G1135" s="115">
        <f>G1059+G89+G44</f>
        <v>724</v>
      </c>
      <c r="H1135" s="115">
        <f>H1059+H89+H44</f>
        <v>724</v>
      </c>
    </row>
    <row r="1136" spans="1:13" hidden="1" x14ac:dyDescent="0.25">
      <c r="E1136" s="204">
        <v>55</v>
      </c>
      <c r="G1136" s="115">
        <f>G226</f>
        <v>10</v>
      </c>
      <c r="H1136" s="115">
        <f>H226</f>
        <v>10</v>
      </c>
    </row>
    <row r="1137" spans="1:8" hidden="1" x14ac:dyDescent="0.25">
      <c r="E1137" s="204">
        <v>56</v>
      </c>
    </row>
    <row r="1138" spans="1:8" hidden="1" x14ac:dyDescent="0.25">
      <c r="E1138" s="204">
        <v>57</v>
      </c>
      <c r="G1138" s="115">
        <f>G766+G824</f>
        <v>52873.1</v>
      </c>
      <c r="H1138" s="115">
        <f>H766+H824</f>
        <v>52873.1</v>
      </c>
    </row>
    <row r="1139" spans="1:8" hidden="1" x14ac:dyDescent="0.25">
      <c r="E1139" s="204">
        <v>58</v>
      </c>
      <c r="G1139" s="115">
        <f>G295+G359+G470</f>
        <v>81484.89</v>
      </c>
      <c r="H1139" s="115">
        <f>H295+H359+H470</f>
        <v>83991.09</v>
      </c>
    </row>
    <row r="1140" spans="1:8" hidden="1" x14ac:dyDescent="0.25">
      <c r="E1140" s="204">
        <v>59</v>
      </c>
      <c r="G1140" s="115">
        <f>G599+G681+G1033+G401+G440+G327+G141+G793</f>
        <v>168</v>
      </c>
      <c r="H1140" s="115">
        <f>H599+H681+H1033+H401+H440+H327+H141+H793</f>
        <v>147</v>
      </c>
    </row>
    <row r="1141" spans="1:8" hidden="1" x14ac:dyDescent="0.25">
      <c r="E1141" s="204">
        <v>60</v>
      </c>
      <c r="G1141" s="115">
        <f>G959</f>
        <v>1920</v>
      </c>
      <c r="H1141" s="115">
        <f>H959</f>
        <v>2173</v>
      </c>
    </row>
    <row r="1142" spans="1:8" hidden="1" x14ac:dyDescent="0.25">
      <c r="E1142" s="204">
        <v>61</v>
      </c>
      <c r="G1142" s="115">
        <f>G193</f>
        <v>274</v>
      </c>
      <c r="H1142" s="115">
        <f>H193</f>
        <v>274</v>
      </c>
    </row>
    <row r="1143" spans="1:8" hidden="1" x14ac:dyDescent="0.25">
      <c r="E1143" s="204">
        <v>62</v>
      </c>
      <c r="G1143" s="115">
        <f>G919</f>
        <v>700</v>
      </c>
      <c r="H1143" s="115">
        <f>H919</f>
        <v>700</v>
      </c>
    </row>
    <row r="1144" spans="1:8" hidden="1" x14ac:dyDescent="0.25">
      <c r="E1144" s="204">
        <v>63</v>
      </c>
      <c r="G1144" s="115">
        <f>G251+G540+G759</f>
        <v>120</v>
      </c>
      <c r="H1144" s="115">
        <f>H251+H540+H759</f>
        <v>120</v>
      </c>
    </row>
    <row r="1145" spans="1:8" hidden="1" x14ac:dyDescent="0.25">
      <c r="E1145" s="204">
        <v>64</v>
      </c>
      <c r="G1145" s="115">
        <f>G146+G332+G406+G604+G686+G715+G798+G268+G483</f>
        <v>3815</v>
      </c>
      <c r="H1145" s="115">
        <f>H146+H332+H406+H604+H686+H715+H798+H268+H483</f>
        <v>3965.9</v>
      </c>
    </row>
    <row r="1146" spans="1:8" hidden="1" x14ac:dyDescent="0.25">
      <c r="E1146" s="204">
        <v>65</v>
      </c>
      <c r="G1146" s="115">
        <f>G998</f>
        <v>500</v>
      </c>
      <c r="H1146" s="115">
        <f>H998</f>
        <v>500</v>
      </c>
    </row>
    <row r="1147" spans="1:8" hidden="1" x14ac:dyDescent="0.25">
      <c r="E1147" s="204">
        <v>66</v>
      </c>
      <c r="G1147" s="115">
        <f>G516</f>
        <v>0</v>
      </c>
      <c r="H1147" s="115">
        <f>H516</f>
        <v>0</v>
      </c>
    </row>
    <row r="1148" spans="1:8" hidden="1" x14ac:dyDescent="0.25">
      <c r="E1148" s="204">
        <v>67</v>
      </c>
      <c r="G1148" s="115">
        <f>G155</f>
        <v>45</v>
      </c>
      <c r="H1148" s="115">
        <f>H155</f>
        <v>50</v>
      </c>
    </row>
    <row r="1149" spans="1:8" hidden="1" x14ac:dyDescent="0.25">
      <c r="E1149" s="204">
        <v>69</v>
      </c>
      <c r="G1149" s="115">
        <f>G160</f>
        <v>80</v>
      </c>
      <c r="H1149" s="115">
        <f>H160</f>
        <v>90</v>
      </c>
    </row>
    <row r="1150" spans="1:8" s="203" customFormat="1" hidden="1" x14ac:dyDescent="0.25">
      <c r="A1150" s="204"/>
      <c r="B1150" s="204"/>
      <c r="C1150" s="204"/>
      <c r="D1150" s="204"/>
      <c r="E1150" s="204">
        <v>70</v>
      </c>
      <c r="F1150" s="204"/>
      <c r="G1150" s="115">
        <f>G948</f>
        <v>204</v>
      </c>
      <c r="H1150" s="115">
        <f>H948</f>
        <v>215</v>
      </c>
    </row>
    <row r="1151" spans="1:8" hidden="1" x14ac:dyDescent="0.25">
      <c r="G1151" s="115">
        <f>SUM(G1131:G1150)</f>
        <v>473181.49999999994</v>
      </c>
      <c r="H1151" s="115">
        <f>SUM(H1131:H1150)</f>
        <v>499362.45000000007</v>
      </c>
    </row>
    <row r="1152" spans="1:8" hidden="1" x14ac:dyDescent="0.25"/>
  </sheetData>
  <mergeCells count="9">
    <mergeCell ref="N1101:AA1101"/>
    <mergeCell ref="X1094:AG1094"/>
    <mergeCell ref="AB1101:AO1101"/>
    <mergeCell ref="G1:H1"/>
    <mergeCell ref="A4:F4"/>
    <mergeCell ref="A5:H5"/>
    <mergeCell ref="N1094:W1094"/>
    <mergeCell ref="G3:H3"/>
    <mergeCell ref="G2:H2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  <rowBreaks count="1" manualBreakCount="1">
    <brk id="1066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1"/>
  <sheetViews>
    <sheetView topLeftCell="A389" zoomScaleNormal="100" zoomScaleSheetLayoutView="100" workbookViewId="0">
      <selection activeCell="H396" sqref="H396"/>
    </sheetView>
  </sheetViews>
  <sheetFormatPr defaultColWidth="9.140625" defaultRowHeight="15" x14ac:dyDescent="0.25"/>
  <cols>
    <col min="1" max="1" width="55" style="204" customWidth="1"/>
    <col min="2" max="2" width="6.42578125" style="204" customWidth="1"/>
    <col min="3" max="3" width="6" style="204" customWidth="1"/>
    <col min="4" max="4" width="5.140625" style="204" customWidth="1"/>
    <col min="5" max="5" width="15.85546875" style="204" customWidth="1"/>
    <col min="6" max="6" width="7" style="204" customWidth="1"/>
    <col min="7" max="7" width="15.85546875" style="115" customWidth="1"/>
    <col min="8" max="8" width="16" style="115" customWidth="1"/>
    <col min="9" max="9" width="13.28515625" style="457" hidden="1" customWidth="1"/>
    <col min="10" max="11" width="0" style="457" hidden="1" customWidth="1"/>
    <col min="12" max="12" width="10.42578125" style="457" customWidth="1"/>
    <col min="13" max="13" width="10.85546875" style="457" customWidth="1"/>
    <col min="14" max="14" width="9.28515625" style="457" customWidth="1"/>
    <col min="15" max="15" width="7.42578125" style="457" customWidth="1"/>
    <col min="16" max="16" width="8" style="457" customWidth="1"/>
    <col min="17" max="17" width="7.7109375" style="457" customWidth="1"/>
    <col min="18" max="18" width="7.140625" style="457" customWidth="1"/>
    <col min="19" max="23" width="8.140625" style="457" customWidth="1"/>
    <col min="24" max="24" width="6.7109375" style="457" customWidth="1"/>
    <col min="25" max="27" width="7.42578125" style="457" customWidth="1"/>
    <col min="28" max="16384" width="9.140625" style="457"/>
  </cols>
  <sheetData>
    <row r="1" spans="1:9" ht="18.75" customHeight="1" x14ac:dyDescent="0.25">
      <c r="A1" s="63"/>
      <c r="B1" s="63"/>
      <c r="C1" s="63"/>
      <c r="D1" s="63"/>
      <c r="G1" s="613" t="s">
        <v>1534</v>
      </c>
      <c r="H1" s="613"/>
      <c r="I1" s="204"/>
    </row>
    <row r="2" spans="1:9" ht="18.75" customHeight="1" x14ac:dyDescent="0.25">
      <c r="A2" s="63"/>
      <c r="B2" s="63"/>
      <c r="C2" s="63"/>
      <c r="D2" s="63"/>
      <c r="G2" s="613" t="s">
        <v>1533</v>
      </c>
      <c r="H2" s="613"/>
      <c r="I2" s="204"/>
    </row>
    <row r="3" spans="1:9" ht="18.75" customHeight="1" x14ac:dyDescent="0.25">
      <c r="A3" s="63"/>
      <c r="B3" s="63"/>
      <c r="C3" s="63"/>
      <c r="D3" s="63"/>
      <c r="G3" s="613" t="s">
        <v>1526</v>
      </c>
      <c r="H3" s="613"/>
      <c r="I3" s="204"/>
    </row>
    <row r="4" spans="1:9" ht="15.75" x14ac:dyDescent="0.25">
      <c r="A4" s="628"/>
      <c r="B4" s="628"/>
      <c r="C4" s="628"/>
      <c r="D4" s="628"/>
      <c r="E4" s="628"/>
      <c r="F4" s="628"/>
      <c r="I4" s="204"/>
    </row>
    <row r="5" spans="1:9" ht="15.75" x14ac:dyDescent="0.25">
      <c r="A5" s="619" t="s">
        <v>1294</v>
      </c>
      <c r="B5" s="619"/>
      <c r="C5" s="619"/>
      <c r="D5" s="619"/>
      <c r="E5" s="619"/>
      <c r="F5" s="619"/>
      <c r="G5" s="619"/>
      <c r="H5" s="619"/>
      <c r="I5" s="204"/>
    </row>
    <row r="6" spans="1:9" ht="15.75" x14ac:dyDescent="0.25">
      <c r="A6" s="536"/>
      <c r="B6" s="536"/>
      <c r="C6" s="536"/>
      <c r="D6" s="536"/>
      <c r="E6" s="536"/>
      <c r="F6" s="536"/>
      <c r="I6" s="204"/>
    </row>
    <row r="7" spans="1:9" ht="15.75" x14ac:dyDescent="0.25">
      <c r="A7" s="13"/>
      <c r="B7" s="13"/>
      <c r="C7" s="13"/>
      <c r="D7" s="13"/>
      <c r="E7" s="13"/>
      <c r="F7" s="13"/>
      <c r="G7" s="270" t="s">
        <v>1</v>
      </c>
      <c r="H7" s="270"/>
      <c r="I7" s="204"/>
    </row>
    <row r="8" spans="1:9" ht="63" x14ac:dyDescent="0.25">
      <c r="A8" s="531" t="s">
        <v>110</v>
      </c>
      <c r="B8" s="531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383" t="s">
        <v>1029</v>
      </c>
      <c r="H8" s="383" t="s">
        <v>1295</v>
      </c>
      <c r="I8" s="204"/>
    </row>
    <row r="9" spans="1:9" ht="15.75" x14ac:dyDescent="0.25">
      <c r="A9" s="303" t="s">
        <v>1423</v>
      </c>
      <c r="B9" s="531"/>
      <c r="C9" s="15"/>
      <c r="D9" s="15"/>
      <c r="E9" s="15"/>
      <c r="F9" s="15"/>
      <c r="G9" s="59">
        <v>12478.69</v>
      </c>
      <c r="H9" s="59">
        <v>25451.88</v>
      </c>
      <c r="I9" s="204"/>
    </row>
    <row r="10" spans="1:9" ht="31.5" x14ac:dyDescent="0.25">
      <c r="A10" s="461" t="s">
        <v>116</v>
      </c>
      <c r="B10" s="461">
        <v>901</v>
      </c>
      <c r="C10" s="462"/>
      <c r="D10" s="462"/>
      <c r="E10" s="462"/>
      <c r="F10" s="462"/>
      <c r="G10" s="463">
        <f>G11+G25</f>
        <v>13506</v>
      </c>
      <c r="H10" s="463">
        <f>H11+H25</f>
        <v>13506</v>
      </c>
      <c r="I10" s="204"/>
    </row>
    <row r="11" spans="1:9" ht="15.75" x14ac:dyDescent="0.25">
      <c r="A11" s="464" t="s">
        <v>117</v>
      </c>
      <c r="B11" s="461">
        <v>901</v>
      </c>
      <c r="C11" s="465" t="s">
        <v>118</v>
      </c>
      <c r="D11" s="462"/>
      <c r="E11" s="462"/>
      <c r="F11" s="462"/>
      <c r="G11" s="463">
        <f t="shared" ref="G11:H13" si="0">G12</f>
        <v>13506</v>
      </c>
      <c r="H11" s="463">
        <f t="shared" si="0"/>
        <v>13506</v>
      </c>
      <c r="I11" s="204"/>
    </row>
    <row r="12" spans="1:9" ht="51" customHeight="1" x14ac:dyDescent="0.25">
      <c r="A12" s="464" t="s">
        <v>119</v>
      </c>
      <c r="B12" s="461">
        <v>901</v>
      </c>
      <c r="C12" s="465" t="s">
        <v>118</v>
      </c>
      <c r="D12" s="465" t="s">
        <v>120</v>
      </c>
      <c r="E12" s="465"/>
      <c r="F12" s="465"/>
      <c r="G12" s="463">
        <f t="shared" si="0"/>
        <v>13506</v>
      </c>
      <c r="H12" s="463">
        <f t="shared" si="0"/>
        <v>13506</v>
      </c>
      <c r="I12" s="204"/>
    </row>
    <row r="13" spans="1:9" ht="31.5" x14ac:dyDescent="0.25">
      <c r="A13" s="464" t="s">
        <v>917</v>
      </c>
      <c r="B13" s="461">
        <v>901</v>
      </c>
      <c r="C13" s="465" t="s">
        <v>118</v>
      </c>
      <c r="D13" s="465" t="s">
        <v>120</v>
      </c>
      <c r="E13" s="465" t="s">
        <v>858</v>
      </c>
      <c r="F13" s="465"/>
      <c r="G13" s="463">
        <f t="shared" si="0"/>
        <v>13506</v>
      </c>
      <c r="H13" s="463">
        <f t="shared" si="0"/>
        <v>13506</v>
      </c>
      <c r="I13" s="204"/>
    </row>
    <row r="14" spans="1:9" ht="15.75" x14ac:dyDescent="0.25">
      <c r="A14" s="464" t="s">
        <v>918</v>
      </c>
      <c r="B14" s="461">
        <v>901</v>
      </c>
      <c r="C14" s="465" t="s">
        <v>118</v>
      </c>
      <c r="D14" s="465" t="s">
        <v>120</v>
      </c>
      <c r="E14" s="465" t="s">
        <v>859</v>
      </c>
      <c r="F14" s="465"/>
      <c r="G14" s="463">
        <f>G15+G22</f>
        <v>13506</v>
      </c>
      <c r="H14" s="463">
        <f>H15+H22</f>
        <v>13506</v>
      </c>
      <c r="I14" s="204"/>
    </row>
    <row r="15" spans="1:9" ht="31.5" x14ac:dyDescent="0.25">
      <c r="A15" s="466" t="s">
        <v>897</v>
      </c>
      <c r="B15" s="460">
        <v>901</v>
      </c>
      <c r="C15" s="462" t="s">
        <v>118</v>
      </c>
      <c r="D15" s="462" t="s">
        <v>120</v>
      </c>
      <c r="E15" s="462" t="s">
        <v>860</v>
      </c>
      <c r="F15" s="462"/>
      <c r="G15" s="467">
        <f>G16+G18+G20</f>
        <v>13086</v>
      </c>
      <c r="H15" s="467">
        <f>H16+H18+H20</f>
        <v>13086</v>
      </c>
      <c r="I15" s="204"/>
    </row>
    <row r="16" spans="1:9" ht="78.75" x14ac:dyDescent="0.25">
      <c r="A16" s="466" t="s">
        <v>127</v>
      </c>
      <c r="B16" s="460">
        <v>901</v>
      </c>
      <c r="C16" s="462" t="s">
        <v>118</v>
      </c>
      <c r="D16" s="462" t="s">
        <v>120</v>
      </c>
      <c r="E16" s="462" t="s">
        <v>860</v>
      </c>
      <c r="F16" s="462" t="s">
        <v>128</v>
      </c>
      <c r="G16" s="467">
        <f>G17</f>
        <v>12081</v>
      </c>
      <c r="H16" s="467">
        <f>H17</f>
        <v>12081</v>
      </c>
      <c r="I16" s="204"/>
    </row>
    <row r="17" spans="1:12" ht="31.5" x14ac:dyDescent="0.25">
      <c r="A17" s="466" t="s">
        <v>129</v>
      </c>
      <c r="B17" s="460">
        <v>901</v>
      </c>
      <c r="C17" s="462" t="s">
        <v>118</v>
      </c>
      <c r="D17" s="462" t="s">
        <v>120</v>
      </c>
      <c r="E17" s="462" t="s">
        <v>860</v>
      </c>
      <c r="F17" s="462" t="s">
        <v>130</v>
      </c>
      <c r="G17" s="467">
        <v>12081</v>
      </c>
      <c r="H17" s="467">
        <f t="shared" ref="H17:H97" si="1">G17</f>
        <v>12081</v>
      </c>
      <c r="I17" s="204"/>
    </row>
    <row r="18" spans="1:12" ht="31.5" x14ac:dyDescent="0.25">
      <c r="A18" s="466" t="s">
        <v>131</v>
      </c>
      <c r="B18" s="460">
        <v>901</v>
      </c>
      <c r="C18" s="462" t="s">
        <v>118</v>
      </c>
      <c r="D18" s="462" t="s">
        <v>120</v>
      </c>
      <c r="E18" s="462" t="s">
        <v>860</v>
      </c>
      <c r="F18" s="462" t="s">
        <v>132</v>
      </c>
      <c r="G18" s="467">
        <f>G19</f>
        <v>977</v>
      </c>
      <c r="H18" s="467">
        <f>H19</f>
        <v>977</v>
      </c>
      <c r="I18" s="204"/>
    </row>
    <row r="19" spans="1:12" ht="31.5" x14ac:dyDescent="0.25">
      <c r="A19" s="466" t="s">
        <v>133</v>
      </c>
      <c r="B19" s="460">
        <v>901</v>
      </c>
      <c r="C19" s="462" t="s">
        <v>118</v>
      </c>
      <c r="D19" s="462" t="s">
        <v>120</v>
      </c>
      <c r="E19" s="462" t="s">
        <v>860</v>
      </c>
      <c r="F19" s="462" t="s">
        <v>134</v>
      </c>
      <c r="G19" s="467">
        <v>977</v>
      </c>
      <c r="H19" s="467">
        <f t="shared" si="1"/>
        <v>977</v>
      </c>
      <c r="I19" s="204"/>
    </row>
    <row r="20" spans="1:12" ht="15.75" x14ac:dyDescent="0.25">
      <c r="A20" s="466" t="s">
        <v>135</v>
      </c>
      <c r="B20" s="460">
        <v>901</v>
      </c>
      <c r="C20" s="462" t="s">
        <v>118</v>
      </c>
      <c r="D20" s="462" t="s">
        <v>120</v>
      </c>
      <c r="E20" s="462" t="s">
        <v>860</v>
      </c>
      <c r="F20" s="462" t="s">
        <v>136</v>
      </c>
      <c r="G20" s="467">
        <f>G21</f>
        <v>28</v>
      </c>
      <c r="H20" s="467">
        <f>H21</f>
        <v>28</v>
      </c>
      <c r="I20" s="204"/>
    </row>
    <row r="21" spans="1:12" ht="15.75" x14ac:dyDescent="0.25">
      <c r="A21" s="466" t="s">
        <v>568</v>
      </c>
      <c r="B21" s="460">
        <v>901</v>
      </c>
      <c r="C21" s="462" t="s">
        <v>118</v>
      </c>
      <c r="D21" s="462" t="s">
        <v>120</v>
      </c>
      <c r="E21" s="462" t="s">
        <v>860</v>
      </c>
      <c r="F21" s="462" t="s">
        <v>138</v>
      </c>
      <c r="G21" s="467">
        <v>28</v>
      </c>
      <c r="H21" s="467">
        <v>28</v>
      </c>
      <c r="I21" s="204"/>
    </row>
    <row r="22" spans="1:12" ht="47.25" x14ac:dyDescent="0.25">
      <c r="A22" s="466" t="s">
        <v>839</v>
      </c>
      <c r="B22" s="460">
        <v>901</v>
      </c>
      <c r="C22" s="462" t="s">
        <v>118</v>
      </c>
      <c r="D22" s="462" t="s">
        <v>120</v>
      </c>
      <c r="E22" s="462" t="s">
        <v>862</v>
      </c>
      <c r="F22" s="462"/>
      <c r="G22" s="467">
        <f>G23</f>
        <v>420</v>
      </c>
      <c r="H22" s="467">
        <f>H23</f>
        <v>420</v>
      </c>
      <c r="I22" s="204"/>
    </row>
    <row r="23" spans="1:12" ht="78.75" x14ac:dyDescent="0.25">
      <c r="A23" s="466" t="s">
        <v>127</v>
      </c>
      <c r="B23" s="460">
        <v>901</v>
      </c>
      <c r="C23" s="462" t="s">
        <v>118</v>
      </c>
      <c r="D23" s="462" t="s">
        <v>120</v>
      </c>
      <c r="E23" s="462" t="s">
        <v>862</v>
      </c>
      <c r="F23" s="462" t="s">
        <v>128</v>
      </c>
      <c r="G23" s="467">
        <f>G24</f>
        <v>420</v>
      </c>
      <c r="H23" s="467">
        <f>H24</f>
        <v>420</v>
      </c>
      <c r="I23" s="204"/>
    </row>
    <row r="24" spans="1:12" ht="31.5" x14ac:dyDescent="0.25">
      <c r="A24" s="466" t="s">
        <v>129</v>
      </c>
      <c r="B24" s="460">
        <v>901</v>
      </c>
      <c r="C24" s="462" t="s">
        <v>118</v>
      </c>
      <c r="D24" s="462" t="s">
        <v>120</v>
      </c>
      <c r="E24" s="462" t="s">
        <v>862</v>
      </c>
      <c r="F24" s="462" t="s">
        <v>130</v>
      </c>
      <c r="G24" s="467">
        <v>420</v>
      </c>
      <c r="H24" s="467">
        <v>420</v>
      </c>
      <c r="I24" s="204"/>
    </row>
    <row r="25" spans="1:12" ht="15.75" hidden="1" x14ac:dyDescent="0.25">
      <c r="A25" s="464" t="s">
        <v>139</v>
      </c>
      <c r="B25" s="461">
        <v>901</v>
      </c>
      <c r="C25" s="465" t="s">
        <v>118</v>
      </c>
      <c r="D25" s="465" t="s">
        <v>140</v>
      </c>
      <c r="E25" s="465"/>
      <c r="F25" s="465"/>
      <c r="G25" s="463">
        <f t="shared" ref="G25:H29" si="2">G26</f>
        <v>0</v>
      </c>
      <c r="H25" s="463">
        <f t="shared" si="2"/>
        <v>0</v>
      </c>
      <c r="I25" s="204"/>
    </row>
    <row r="26" spans="1:12" ht="15.75" hidden="1" x14ac:dyDescent="0.25">
      <c r="A26" s="464" t="s">
        <v>141</v>
      </c>
      <c r="B26" s="461">
        <v>901</v>
      </c>
      <c r="C26" s="465" t="s">
        <v>118</v>
      </c>
      <c r="D26" s="465" t="s">
        <v>140</v>
      </c>
      <c r="E26" s="465" t="s">
        <v>866</v>
      </c>
      <c r="F26" s="465"/>
      <c r="G26" s="463">
        <f t="shared" si="2"/>
        <v>0</v>
      </c>
      <c r="H26" s="463">
        <f t="shared" si="2"/>
        <v>0</v>
      </c>
      <c r="I26" s="204"/>
    </row>
    <row r="27" spans="1:12" ht="31.5" hidden="1" x14ac:dyDescent="0.25">
      <c r="A27" s="464" t="s">
        <v>870</v>
      </c>
      <c r="B27" s="461">
        <v>901</v>
      </c>
      <c r="C27" s="465" t="s">
        <v>118</v>
      </c>
      <c r="D27" s="465" t="s">
        <v>140</v>
      </c>
      <c r="E27" s="465" t="s">
        <v>865</v>
      </c>
      <c r="F27" s="465"/>
      <c r="G27" s="463">
        <f t="shared" si="2"/>
        <v>0</v>
      </c>
      <c r="H27" s="463">
        <f t="shared" si="2"/>
        <v>0</v>
      </c>
      <c r="I27" s="204"/>
    </row>
    <row r="28" spans="1:12" ht="15.75" hidden="1" x14ac:dyDescent="0.25">
      <c r="A28" s="466" t="s">
        <v>1142</v>
      </c>
      <c r="B28" s="460">
        <v>901</v>
      </c>
      <c r="C28" s="462" t="s">
        <v>118</v>
      </c>
      <c r="D28" s="462" t="s">
        <v>140</v>
      </c>
      <c r="E28" s="462" t="s">
        <v>1143</v>
      </c>
      <c r="F28" s="462"/>
      <c r="G28" s="467">
        <f t="shared" si="2"/>
        <v>0</v>
      </c>
      <c r="H28" s="467">
        <f t="shared" si="2"/>
        <v>0</v>
      </c>
      <c r="I28" s="204"/>
    </row>
    <row r="29" spans="1:12" ht="15.75" hidden="1" x14ac:dyDescent="0.25">
      <c r="A29" s="466" t="s">
        <v>135</v>
      </c>
      <c r="B29" s="460">
        <v>901</v>
      </c>
      <c r="C29" s="462" t="s">
        <v>118</v>
      </c>
      <c r="D29" s="462" t="s">
        <v>140</v>
      </c>
      <c r="E29" s="462" t="s">
        <v>1143</v>
      </c>
      <c r="F29" s="462" t="s">
        <v>145</v>
      </c>
      <c r="G29" s="467">
        <f>G30</f>
        <v>0</v>
      </c>
      <c r="H29" s="467">
        <f t="shared" si="2"/>
        <v>0</v>
      </c>
      <c r="I29" s="204"/>
    </row>
    <row r="30" spans="1:12" ht="15.75" hidden="1" x14ac:dyDescent="0.25">
      <c r="A30" s="466" t="s">
        <v>1142</v>
      </c>
      <c r="B30" s="460">
        <v>901</v>
      </c>
      <c r="C30" s="462" t="s">
        <v>118</v>
      </c>
      <c r="D30" s="462" t="s">
        <v>140</v>
      </c>
      <c r="E30" s="462" t="s">
        <v>1143</v>
      </c>
      <c r="F30" s="462" t="s">
        <v>1144</v>
      </c>
      <c r="G30" s="467">
        <v>0</v>
      </c>
      <c r="H30" s="467">
        <v>0</v>
      </c>
      <c r="I30" s="204"/>
      <c r="L30" s="457" t="s">
        <v>1299</v>
      </c>
    </row>
    <row r="31" spans="1:12" ht="21.75" customHeight="1" x14ac:dyDescent="0.25">
      <c r="A31" s="461" t="s">
        <v>148</v>
      </c>
      <c r="B31" s="461">
        <v>902</v>
      </c>
      <c r="C31" s="462"/>
      <c r="D31" s="462"/>
      <c r="E31" s="462"/>
      <c r="F31" s="462"/>
      <c r="G31" s="463">
        <f>G32+G172+G191+G218+G165</f>
        <v>79272.81</v>
      </c>
      <c r="H31" s="463">
        <f>H32+H172+H191+H218+H165</f>
        <v>66093.72</v>
      </c>
      <c r="I31" s="204"/>
    </row>
    <row r="32" spans="1:12" ht="15.75" x14ac:dyDescent="0.25">
      <c r="A32" s="464" t="s">
        <v>117</v>
      </c>
      <c r="B32" s="461">
        <v>902</v>
      </c>
      <c r="C32" s="465" t="s">
        <v>118</v>
      </c>
      <c r="D32" s="462"/>
      <c r="E32" s="462"/>
      <c r="F32" s="462"/>
      <c r="G32" s="463">
        <f>G52+G113+G130+G122+G33</f>
        <v>57018.81</v>
      </c>
      <c r="H32" s="463">
        <f>H52+H113+H130+H122+H33</f>
        <v>43873.119999999995</v>
      </c>
      <c r="I32" s="204"/>
    </row>
    <row r="33" spans="1:9" ht="47.25" x14ac:dyDescent="0.25">
      <c r="A33" s="464" t="s">
        <v>575</v>
      </c>
      <c r="B33" s="461">
        <v>902</v>
      </c>
      <c r="C33" s="465" t="s">
        <v>118</v>
      </c>
      <c r="D33" s="465" t="s">
        <v>213</v>
      </c>
      <c r="E33" s="462"/>
      <c r="F33" s="462"/>
      <c r="G33" s="463">
        <f>G34+G44</f>
        <v>4867.3999999999996</v>
      </c>
      <c r="H33" s="463">
        <f>H34+H44</f>
        <v>4867.3999999999996</v>
      </c>
      <c r="I33" s="204"/>
    </row>
    <row r="34" spans="1:9" ht="31.5" x14ac:dyDescent="0.25">
      <c r="A34" s="464" t="s">
        <v>917</v>
      </c>
      <c r="B34" s="461">
        <v>902</v>
      </c>
      <c r="C34" s="465" t="s">
        <v>118</v>
      </c>
      <c r="D34" s="465" t="s">
        <v>213</v>
      </c>
      <c r="E34" s="465" t="s">
        <v>858</v>
      </c>
      <c r="F34" s="462"/>
      <c r="G34" s="463">
        <f>G35</f>
        <v>4826.8999999999996</v>
      </c>
      <c r="H34" s="463">
        <f>H35</f>
        <v>4826.8999999999996</v>
      </c>
      <c r="I34" s="204"/>
    </row>
    <row r="35" spans="1:9" ht="15.75" x14ac:dyDescent="0.25">
      <c r="A35" s="464" t="s">
        <v>918</v>
      </c>
      <c r="B35" s="461">
        <v>902</v>
      </c>
      <c r="C35" s="465" t="s">
        <v>118</v>
      </c>
      <c r="D35" s="465" t="s">
        <v>213</v>
      </c>
      <c r="E35" s="465" t="s">
        <v>859</v>
      </c>
      <c r="F35" s="462"/>
      <c r="G35" s="463">
        <f>G36+G41</f>
        <v>4826.8999999999996</v>
      </c>
      <c r="H35" s="463">
        <f>H36+H41</f>
        <v>4826.8999999999996</v>
      </c>
      <c r="I35" s="204"/>
    </row>
    <row r="36" spans="1:9" ht="31.5" x14ac:dyDescent="0.25">
      <c r="A36" s="466" t="s">
        <v>576</v>
      </c>
      <c r="B36" s="460">
        <v>902</v>
      </c>
      <c r="C36" s="462" t="s">
        <v>118</v>
      </c>
      <c r="D36" s="462" t="s">
        <v>213</v>
      </c>
      <c r="E36" s="462" t="s">
        <v>1338</v>
      </c>
      <c r="F36" s="462"/>
      <c r="G36" s="467">
        <f>G37+G39</f>
        <v>4826.8999999999996</v>
      </c>
      <c r="H36" s="467">
        <f>H37+H39</f>
        <v>4826.8999999999996</v>
      </c>
      <c r="I36" s="204"/>
    </row>
    <row r="37" spans="1:9" ht="78.75" x14ac:dyDescent="0.25">
      <c r="A37" s="466" t="s">
        <v>127</v>
      </c>
      <c r="B37" s="460">
        <v>902</v>
      </c>
      <c r="C37" s="462" t="s">
        <v>118</v>
      </c>
      <c r="D37" s="462" t="s">
        <v>213</v>
      </c>
      <c r="E37" s="462" t="s">
        <v>1338</v>
      </c>
      <c r="F37" s="462" t="s">
        <v>128</v>
      </c>
      <c r="G37" s="467">
        <f>G38</f>
        <v>4736.8999999999996</v>
      </c>
      <c r="H37" s="467">
        <f>H38</f>
        <v>4736.8999999999996</v>
      </c>
      <c r="I37" s="204"/>
    </row>
    <row r="38" spans="1:9" ht="31.5" x14ac:dyDescent="0.25">
      <c r="A38" s="466" t="s">
        <v>129</v>
      </c>
      <c r="B38" s="460">
        <v>902</v>
      </c>
      <c r="C38" s="462" t="s">
        <v>118</v>
      </c>
      <c r="D38" s="462" t="s">
        <v>213</v>
      </c>
      <c r="E38" s="462" t="s">
        <v>1338</v>
      </c>
      <c r="F38" s="462" t="s">
        <v>130</v>
      </c>
      <c r="G38" s="27">
        <v>4736.8999999999996</v>
      </c>
      <c r="H38" s="467">
        <f>G38</f>
        <v>4736.8999999999996</v>
      </c>
      <c r="I38" s="204"/>
    </row>
    <row r="39" spans="1:9" ht="31.5" x14ac:dyDescent="0.25">
      <c r="A39" s="466" t="s">
        <v>198</v>
      </c>
      <c r="B39" s="460">
        <v>902</v>
      </c>
      <c r="C39" s="462" t="s">
        <v>118</v>
      </c>
      <c r="D39" s="462" t="s">
        <v>213</v>
      </c>
      <c r="E39" s="462" t="s">
        <v>1338</v>
      </c>
      <c r="F39" s="462" t="s">
        <v>132</v>
      </c>
      <c r="G39" s="467">
        <f>G40</f>
        <v>90</v>
      </c>
      <c r="H39" s="467">
        <f>H40</f>
        <v>90</v>
      </c>
      <c r="I39" s="204"/>
    </row>
    <row r="40" spans="1:9" ht="32.65" customHeight="1" x14ac:dyDescent="0.25">
      <c r="A40" s="466" t="s">
        <v>133</v>
      </c>
      <c r="B40" s="460">
        <v>902</v>
      </c>
      <c r="C40" s="462" t="s">
        <v>118</v>
      </c>
      <c r="D40" s="462" t="s">
        <v>213</v>
      </c>
      <c r="E40" s="462" t="s">
        <v>1338</v>
      </c>
      <c r="F40" s="462" t="s">
        <v>134</v>
      </c>
      <c r="G40" s="467">
        <v>90</v>
      </c>
      <c r="H40" s="467">
        <f>G40</f>
        <v>90</v>
      </c>
      <c r="I40" s="204"/>
    </row>
    <row r="41" spans="1:9" ht="47.25" hidden="1" x14ac:dyDescent="0.25">
      <c r="A41" s="466" t="s">
        <v>839</v>
      </c>
      <c r="B41" s="460">
        <v>902</v>
      </c>
      <c r="C41" s="462" t="s">
        <v>118</v>
      </c>
      <c r="D41" s="462" t="s">
        <v>213</v>
      </c>
      <c r="E41" s="462" t="s">
        <v>862</v>
      </c>
      <c r="F41" s="462"/>
      <c r="G41" s="467">
        <f>G42</f>
        <v>0</v>
      </c>
      <c r="H41" s="467">
        <f>G41</f>
        <v>0</v>
      </c>
      <c r="I41" s="204"/>
    </row>
    <row r="42" spans="1:9" ht="78.75" hidden="1" x14ac:dyDescent="0.25">
      <c r="A42" s="466" t="s">
        <v>127</v>
      </c>
      <c r="B42" s="460">
        <v>902</v>
      </c>
      <c r="C42" s="462" t="s">
        <v>118</v>
      </c>
      <c r="D42" s="462" t="s">
        <v>213</v>
      </c>
      <c r="E42" s="462" t="s">
        <v>862</v>
      </c>
      <c r="F42" s="462" t="s">
        <v>128</v>
      </c>
      <c r="G42" s="467">
        <f>G43</f>
        <v>0</v>
      </c>
      <c r="H42" s="467">
        <f>G42</f>
        <v>0</v>
      </c>
      <c r="I42" s="204"/>
    </row>
    <row r="43" spans="1:9" ht="31.5" hidden="1" x14ac:dyDescent="0.25">
      <c r="A43" s="466" t="s">
        <v>129</v>
      </c>
      <c r="B43" s="460">
        <v>902</v>
      </c>
      <c r="C43" s="462" t="s">
        <v>118</v>
      </c>
      <c r="D43" s="462" t="s">
        <v>213</v>
      </c>
      <c r="E43" s="462" t="s">
        <v>862</v>
      </c>
      <c r="F43" s="462" t="s">
        <v>130</v>
      </c>
      <c r="G43" s="467">
        <f>42-42</f>
        <v>0</v>
      </c>
      <c r="H43" s="467">
        <f>G43</f>
        <v>0</v>
      </c>
      <c r="I43" s="204"/>
    </row>
    <row r="44" spans="1:9" ht="47.25" x14ac:dyDescent="0.25">
      <c r="A44" s="464" t="s">
        <v>1375</v>
      </c>
      <c r="B44" s="461">
        <v>902</v>
      </c>
      <c r="C44" s="465" t="s">
        <v>118</v>
      </c>
      <c r="D44" s="465" t="s">
        <v>213</v>
      </c>
      <c r="E44" s="465" t="s">
        <v>162</v>
      </c>
      <c r="F44" s="465"/>
      <c r="G44" s="463">
        <f>G45</f>
        <v>40.5</v>
      </c>
      <c r="H44" s="463">
        <f>H45</f>
        <v>40.5</v>
      </c>
      <c r="I44" s="204"/>
    </row>
    <row r="45" spans="1:9" ht="63" x14ac:dyDescent="0.25">
      <c r="A45" s="219" t="s">
        <v>843</v>
      </c>
      <c r="B45" s="461">
        <v>902</v>
      </c>
      <c r="C45" s="465" t="s">
        <v>118</v>
      </c>
      <c r="D45" s="465" t="s">
        <v>213</v>
      </c>
      <c r="E45" s="7" t="s">
        <v>850</v>
      </c>
      <c r="F45" s="465"/>
      <c r="G45" s="463">
        <f>G46+G49</f>
        <v>40.5</v>
      </c>
      <c r="H45" s="463">
        <f>H46+H49</f>
        <v>40.5</v>
      </c>
      <c r="I45" s="204"/>
    </row>
    <row r="46" spans="1:9" ht="47.25" x14ac:dyDescent="0.25">
      <c r="A46" s="31" t="s">
        <v>1098</v>
      </c>
      <c r="B46" s="460">
        <v>902</v>
      </c>
      <c r="C46" s="462" t="s">
        <v>118</v>
      </c>
      <c r="D46" s="462" t="s">
        <v>213</v>
      </c>
      <c r="E46" s="469" t="s">
        <v>993</v>
      </c>
      <c r="F46" s="462"/>
      <c r="G46" s="467">
        <f>G47</f>
        <v>40.5</v>
      </c>
      <c r="H46" s="467">
        <f>H47</f>
        <v>40.5</v>
      </c>
      <c r="I46" s="204"/>
    </row>
    <row r="47" spans="1:9" ht="31.5" x14ac:dyDescent="0.25">
      <c r="A47" s="466" t="s">
        <v>131</v>
      </c>
      <c r="B47" s="460">
        <v>902</v>
      </c>
      <c r="C47" s="462" t="s">
        <v>118</v>
      </c>
      <c r="D47" s="462" t="s">
        <v>213</v>
      </c>
      <c r="E47" s="469" t="s">
        <v>993</v>
      </c>
      <c r="F47" s="462" t="s">
        <v>132</v>
      </c>
      <c r="G47" s="467">
        <f>G48</f>
        <v>40.5</v>
      </c>
      <c r="H47" s="467">
        <f>H48</f>
        <v>40.5</v>
      </c>
      <c r="I47" s="204"/>
    </row>
    <row r="48" spans="1:9" ht="31.5" x14ac:dyDescent="0.25">
      <c r="A48" s="466" t="s">
        <v>133</v>
      </c>
      <c r="B48" s="460">
        <v>902</v>
      </c>
      <c r="C48" s="462" t="s">
        <v>118</v>
      </c>
      <c r="D48" s="462" t="s">
        <v>213</v>
      </c>
      <c r="E48" s="469" t="s">
        <v>696</v>
      </c>
      <c r="F48" s="462" t="s">
        <v>134</v>
      </c>
      <c r="G48" s="467">
        <f>0.5+40</f>
        <v>40.5</v>
      </c>
      <c r="H48" s="467">
        <f>G48</f>
        <v>40.5</v>
      </c>
      <c r="I48" s="204"/>
    </row>
    <row r="49" spans="1:9" ht="47.25" hidden="1" x14ac:dyDescent="0.25">
      <c r="A49" s="31" t="s">
        <v>695</v>
      </c>
      <c r="B49" s="460">
        <v>902</v>
      </c>
      <c r="C49" s="462" t="s">
        <v>118</v>
      </c>
      <c r="D49" s="462" t="s">
        <v>213</v>
      </c>
      <c r="E49" s="462" t="s">
        <v>992</v>
      </c>
      <c r="F49" s="462"/>
      <c r="G49" s="467">
        <f>G50</f>
        <v>0</v>
      </c>
      <c r="H49" s="467">
        <f>H50</f>
        <v>0</v>
      </c>
      <c r="I49" s="204"/>
    </row>
    <row r="50" spans="1:9" ht="31.5" hidden="1" x14ac:dyDescent="0.25">
      <c r="A50" s="466" t="s">
        <v>131</v>
      </c>
      <c r="B50" s="460">
        <v>902</v>
      </c>
      <c r="C50" s="462" t="s">
        <v>118</v>
      </c>
      <c r="D50" s="462" t="s">
        <v>213</v>
      </c>
      <c r="E50" s="462" t="s">
        <v>992</v>
      </c>
      <c r="F50" s="462" t="s">
        <v>132</v>
      </c>
      <c r="G50" s="467">
        <f>G51</f>
        <v>0</v>
      </c>
      <c r="H50" s="467">
        <f>H51</f>
        <v>0</v>
      </c>
      <c r="I50" s="204"/>
    </row>
    <row r="51" spans="1:9" ht="31.5" hidden="1" x14ac:dyDescent="0.25">
      <c r="A51" s="466" t="s">
        <v>133</v>
      </c>
      <c r="B51" s="460">
        <v>902</v>
      </c>
      <c r="C51" s="462" t="s">
        <v>118</v>
      </c>
      <c r="D51" s="462" t="s">
        <v>213</v>
      </c>
      <c r="E51" s="462" t="s">
        <v>992</v>
      </c>
      <c r="F51" s="462" t="s">
        <v>134</v>
      </c>
      <c r="G51" s="467"/>
      <c r="H51" s="467"/>
      <c r="I51" s="204"/>
    </row>
    <row r="52" spans="1:9" ht="63" x14ac:dyDescent="0.25">
      <c r="A52" s="464" t="s">
        <v>149</v>
      </c>
      <c r="B52" s="461">
        <v>902</v>
      </c>
      <c r="C52" s="465" t="s">
        <v>118</v>
      </c>
      <c r="D52" s="465" t="s">
        <v>150</v>
      </c>
      <c r="E52" s="465"/>
      <c r="F52" s="465"/>
      <c r="G52" s="463">
        <f>G53+G89</f>
        <v>44810.21</v>
      </c>
      <c r="H52" s="463">
        <f>H53+H89</f>
        <v>31621.519999999997</v>
      </c>
      <c r="I52" s="204"/>
    </row>
    <row r="53" spans="1:9" ht="31.5" x14ac:dyDescent="0.25">
      <c r="A53" s="464" t="s">
        <v>917</v>
      </c>
      <c r="B53" s="461">
        <v>902</v>
      </c>
      <c r="C53" s="465" t="s">
        <v>118</v>
      </c>
      <c r="D53" s="465" t="s">
        <v>150</v>
      </c>
      <c r="E53" s="465" t="s">
        <v>858</v>
      </c>
      <c r="F53" s="465"/>
      <c r="G53" s="44">
        <f>G54+G70</f>
        <v>44126.71</v>
      </c>
      <c r="H53" s="44">
        <f>H54+H70</f>
        <v>30938.019999999997</v>
      </c>
      <c r="I53" s="204"/>
    </row>
    <row r="54" spans="1:9" ht="15.75" x14ac:dyDescent="0.25">
      <c r="A54" s="464" t="s">
        <v>918</v>
      </c>
      <c r="B54" s="461">
        <v>902</v>
      </c>
      <c r="C54" s="465" t="s">
        <v>118</v>
      </c>
      <c r="D54" s="465" t="s">
        <v>150</v>
      </c>
      <c r="E54" s="465" t="s">
        <v>859</v>
      </c>
      <c r="F54" s="465"/>
      <c r="G54" s="44">
        <f>G55+G64+G67</f>
        <v>40818.11</v>
      </c>
      <c r="H54" s="44">
        <f>H55+H64+H67</f>
        <v>27844.92</v>
      </c>
      <c r="I54" s="204"/>
    </row>
    <row r="55" spans="1:9" ht="31.5" x14ac:dyDescent="0.25">
      <c r="A55" s="466" t="s">
        <v>897</v>
      </c>
      <c r="B55" s="460">
        <v>902</v>
      </c>
      <c r="C55" s="462" t="s">
        <v>118</v>
      </c>
      <c r="D55" s="462" t="s">
        <v>150</v>
      </c>
      <c r="E55" s="462" t="s">
        <v>860</v>
      </c>
      <c r="F55" s="462"/>
      <c r="G55" s="467">
        <f>G56+G58+G60+G62</f>
        <v>37155.71</v>
      </c>
      <c r="H55" s="467">
        <f>H56+H58+H60+H62</f>
        <v>24182.519999999997</v>
      </c>
      <c r="I55" s="204"/>
    </row>
    <row r="56" spans="1:9" ht="78.75" x14ac:dyDescent="0.25">
      <c r="A56" s="466" t="s">
        <v>127</v>
      </c>
      <c r="B56" s="460">
        <v>902</v>
      </c>
      <c r="C56" s="462" t="s">
        <v>118</v>
      </c>
      <c r="D56" s="462" t="s">
        <v>150</v>
      </c>
      <c r="E56" s="462" t="s">
        <v>860</v>
      </c>
      <c r="F56" s="462" t="s">
        <v>128</v>
      </c>
      <c r="G56" s="467">
        <f>G57</f>
        <v>31521.309999999998</v>
      </c>
      <c r="H56" s="467">
        <f>H57</f>
        <v>18548.12</v>
      </c>
      <c r="I56" s="204"/>
    </row>
    <row r="57" spans="1:9" ht="31.5" x14ac:dyDescent="0.25">
      <c r="A57" s="466" t="s">
        <v>129</v>
      </c>
      <c r="B57" s="460">
        <v>902</v>
      </c>
      <c r="C57" s="462" t="s">
        <v>118</v>
      </c>
      <c r="D57" s="462" t="s">
        <v>150</v>
      </c>
      <c r="E57" s="462" t="s">
        <v>860</v>
      </c>
      <c r="F57" s="462" t="s">
        <v>130</v>
      </c>
      <c r="G57" s="467">
        <f>44000-G9</f>
        <v>31521.309999999998</v>
      </c>
      <c r="H57" s="467">
        <f>44000-H9</f>
        <v>18548.12</v>
      </c>
      <c r="I57" s="204"/>
    </row>
    <row r="58" spans="1:9" ht="31.5" x14ac:dyDescent="0.25">
      <c r="A58" s="466" t="s">
        <v>131</v>
      </c>
      <c r="B58" s="460">
        <v>902</v>
      </c>
      <c r="C58" s="462" t="s">
        <v>118</v>
      </c>
      <c r="D58" s="462" t="s">
        <v>150</v>
      </c>
      <c r="E58" s="462" t="s">
        <v>860</v>
      </c>
      <c r="F58" s="462" t="s">
        <v>132</v>
      </c>
      <c r="G58" s="467">
        <f>G59</f>
        <v>5559.4</v>
      </c>
      <c r="H58" s="467">
        <f>H59</f>
        <v>5559.4</v>
      </c>
      <c r="I58" s="204"/>
    </row>
    <row r="59" spans="1:9" ht="31.5" x14ac:dyDescent="0.25">
      <c r="A59" s="466" t="s">
        <v>133</v>
      </c>
      <c r="B59" s="460">
        <v>902</v>
      </c>
      <c r="C59" s="462" t="s">
        <v>118</v>
      </c>
      <c r="D59" s="462" t="s">
        <v>150</v>
      </c>
      <c r="E59" s="462" t="s">
        <v>860</v>
      </c>
      <c r="F59" s="462" t="s">
        <v>134</v>
      </c>
      <c r="G59" s="467">
        <v>5559.4</v>
      </c>
      <c r="H59" s="467">
        <f>G59</f>
        <v>5559.4</v>
      </c>
      <c r="I59" s="204"/>
    </row>
    <row r="60" spans="1:9" ht="31.5" hidden="1" x14ac:dyDescent="0.25">
      <c r="A60" s="466" t="s">
        <v>248</v>
      </c>
      <c r="B60" s="460">
        <v>902</v>
      </c>
      <c r="C60" s="462" t="s">
        <v>118</v>
      </c>
      <c r="D60" s="462" t="s">
        <v>150</v>
      </c>
      <c r="E60" s="462" t="s">
        <v>860</v>
      </c>
      <c r="F60" s="462" t="s">
        <v>249</v>
      </c>
      <c r="G60" s="467">
        <f>G61</f>
        <v>0</v>
      </c>
      <c r="H60" s="467">
        <f>H61</f>
        <v>0</v>
      </c>
      <c r="I60" s="204"/>
    </row>
    <row r="61" spans="1:9" ht="31.5" hidden="1" x14ac:dyDescent="0.25">
      <c r="A61" s="466" t="s">
        <v>250</v>
      </c>
      <c r="B61" s="460">
        <v>902</v>
      </c>
      <c r="C61" s="462" t="s">
        <v>118</v>
      </c>
      <c r="D61" s="462" t="s">
        <v>150</v>
      </c>
      <c r="E61" s="462" t="s">
        <v>860</v>
      </c>
      <c r="F61" s="462" t="s">
        <v>251</v>
      </c>
      <c r="G61" s="467">
        <v>0</v>
      </c>
      <c r="H61" s="467">
        <f t="shared" si="1"/>
        <v>0</v>
      </c>
      <c r="I61" s="204"/>
    </row>
    <row r="62" spans="1:9" ht="15.75" x14ac:dyDescent="0.25">
      <c r="A62" s="466" t="s">
        <v>135</v>
      </c>
      <c r="B62" s="460">
        <v>902</v>
      </c>
      <c r="C62" s="462" t="s">
        <v>118</v>
      </c>
      <c r="D62" s="462" t="s">
        <v>150</v>
      </c>
      <c r="E62" s="462" t="s">
        <v>860</v>
      </c>
      <c r="F62" s="462" t="s">
        <v>145</v>
      </c>
      <c r="G62" s="467">
        <f>G63</f>
        <v>75</v>
      </c>
      <c r="H62" s="467">
        <f>H63</f>
        <v>75</v>
      </c>
      <c r="I62" s="204"/>
    </row>
    <row r="63" spans="1:9" ht="15.75" x14ac:dyDescent="0.25">
      <c r="A63" s="466" t="s">
        <v>568</v>
      </c>
      <c r="B63" s="460">
        <v>902</v>
      </c>
      <c r="C63" s="462" t="s">
        <v>118</v>
      </c>
      <c r="D63" s="462" t="s">
        <v>150</v>
      </c>
      <c r="E63" s="462" t="s">
        <v>860</v>
      </c>
      <c r="F63" s="462" t="s">
        <v>138</v>
      </c>
      <c r="G63" s="467">
        <v>75</v>
      </c>
      <c r="H63" s="467">
        <f t="shared" si="1"/>
        <v>75</v>
      </c>
      <c r="I63" s="204"/>
    </row>
    <row r="64" spans="1:9" ht="31.5" x14ac:dyDescent="0.25">
      <c r="A64" s="466" t="s">
        <v>840</v>
      </c>
      <c r="B64" s="460">
        <v>902</v>
      </c>
      <c r="C64" s="462" t="s">
        <v>118</v>
      </c>
      <c r="D64" s="462" t="s">
        <v>150</v>
      </c>
      <c r="E64" s="462" t="s">
        <v>861</v>
      </c>
      <c r="F64" s="462"/>
      <c r="G64" s="467">
        <f>G65</f>
        <v>2071.4</v>
      </c>
      <c r="H64" s="467">
        <f t="shared" si="1"/>
        <v>2071.4</v>
      </c>
      <c r="I64" s="204"/>
    </row>
    <row r="65" spans="1:9" ht="78.75" x14ac:dyDescent="0.25">
      <c r="A65" s="466" t="s">
        <v>127</v>
      </c>
      <c r="B65" s="460">
        <v>902</v>
      </c>
      <c r="C65" s="462" t="s">
        <v>118</v>
      </c>
      <c r="D65" s="462" t="s">
        <v>150</v>
      </c>
      <c r="E65" s="462" t="s">
        <v>861</v>
      </c>
      <c r="F65" s="462" t="s">
        <v>128</v>
      </c>
      <c r="G65" s="467">
        <f>G66</f>
        <v>2071.4</v>
      </c>
      <c r="H65" s="467">
        <f>H66</f>
        <v>2071.4</v>
      </c>
      <c r="I65" s="204"/>
    </row>
    <row r="66" spans="1:9" ht="31.5" x14ac:dyDescent="0.25">
      <c r="A66" s="466" t="s">
        <v>129</v>
      </c>
      <c r="B66" s="460">
        <v>902</v>
      </c>
      <c r="C66" s="462" t="s">
        <v>118</v>
      </c>
      <c r="D66" s="462" t="s">
        <v>150</v>
      </c>
      <c r="E66" s="462" t="s">
        <v>861</v>
      </c>
      <c r="F66" s="462" t="s">
        <v>130</v>
      </c>
      <c r="G66" s="467">
        <v>2071.4</v>
      </c>
      <c r="H66" s="467">
        <f t="shared" si="1"/>
        <v>2071.4</v>
      </c>
      <c r="I66" s="204"/>
    </row>
    <row r="67" spans="1:9" ht="47.25" x14ac:dyDescent="0.25">
      <c r="A67" s="466" t="s">
        <v>839</v>
      </c>
      <c r="B67" s="460">
        <v>902</v>
      </c>
      <c r="C67" s="462" t="s">
        <v>118</v>
      </c>
      <c r="D67" s="462" t="s">
        <v>150</v>
      </c>
      <c r="E67" s="462" t="s">
        <v>862</v>
      </c>
      <c r="F67" s="462"/>
      <c r="G67" s="467">
        <f>G68</f>
        <v>1591</v>
      </c>
      <c r="H67" s="467">
        <f>H68</f>
        <v>1591</v>
      </c>
      <c r="I67" s="204"/>
    </row>
    <row r="68" spans="1:9" ht="78.75" x14ac:dyDescent="0.25">
      <c r="A68" s="466" t="s">
        <v>127</v>
      </c>
      <c r="B68" s="460">
        <v>902</v>
      </c>
      <c r="C68" s="462" t="s">
        <v>118</v>
      </c>
      <c r="D68" s="462" t="s">
        <v>150</v>
      </c>
      <c r="E68" s="462" t="s">
        <v>862</v>
      </c>
      <c r="F68" s="462" t="s">
        <v>128</v>
      </c>
      <c r="G68" s="467">
        <f>G69</f>
        <v>1591</v>
      </c>
      <c r="H68" s="467">
        <f>H69</f>
        <v>1591</v>
      </c>
      <c r="I68" s="204"/>
    </row>
    <row r="69" spans="1:9" ht="31.5" x14ac:dyDescent="0.25">
      <c r="A69" s="466" t="s">
        <v>129</v>
      </c>
      <c r="B69" s="460">
        <v>902</v>
      </c>
      <c r="C69" s="462" t="s">
        <v>118</v>
      </c>
      <c r="D69" s="462" t="s">
        <v>150</v>
      </c>
      <c r="E69" s="462" t="s">
        <v>862</v>
      </c>
      <c r="F69" s="462" t="s">
        <v>130</v>
      </c>
      <c r="G69" s="467">
        <v>1591</v>
      </c>
      <c r="H69" s="467">
        <f t="shared" si="1"/>
        <v>1591</v>
      </c>
      <c r="I69" s="204"/>
    </row>
    <row r="70" spans="1:9" ht="31.5" x14ac:dyDescent="0.25">
      <c r="A70" s="464" t="s">
        <v>885</v>
      </c>
      <c r="B70" s="461">
        <v>902</v>
      </c>
      <c r="C70" s="465" t="s">
        <v>118</v>
      </c>
      <c r="D70" s="465" t="s">
        <v>150</v>
      </c>
      <c r="E70" s="465" t="s">
        <v>863</v>
      </c>
      <c r="F70" s="465"/>
      <c r="G70" s="463">
        <f>G71+G74+G79+G84</f>
        <v>3308.6</v>
      </c>
      <c r="H70" s="463">
        <f>H71+H74+H79+H84</f>
        <v>3093.1</v>
      </c>
      <c r="I70" s="204"/>
    </row>
    <row r="71" spans="1:9" ht="47.25" hidden="1" x14ac:dyDescent="0.25">
      <c r="A71" s="466" t="s">
        <v>779</v>
      </c>
      <c r="B71" s="460">
        <v>902</v>
      </c>
      <c r="C71" s="462" t="s">
        <v>118</v>
      </c>
      <c r="D71" s="462" t="s">
        <v>150</v>
      </c>
      <c r="E71" s="462" t="s">
        <v>919</v>
      </c>
      <c r="F71" s="465"/>
      <c r="G71" s="467">
        <f>G72</f>
        <v>0</v>
      </c>
      <c r="H71" s="467">
        <f>H72</f>
        <v>0</v>
      </c>
      <c r="I71" s="204"/>
    </row>
    <row r="72" spans="1:9" ht="31.5" hidden="1" x14ac:dyDescent="0.25">
      <c r="A72" s="466" t="s">
        <v>131</v>
      </c>
      <c r="B72" s="460">
        <v>902</v>
      </c>
      <c r="C72" s="462" t="s">
        <v>118</v>
      </c>
      <c r="D72" s="462" t="s">
        <v>150</v>
      </c>
      <c r="E72" s="462" t="s">
        <v>919</v>
      </c>
      <c r="F72" s="462" t="s">
        <v>132</v>
      </c>
      <c r="G72" s="467">
        <f>G73</f>
        <v>0</v>
      </c>
      <c r="H72" s="467">
        <f>H73</f>
        <v>0</v>
      </c>
      <c r="I72" s="204"/>
    </row>
    <row r="73" spans="1:9" ht="31.5" hidden="1" x14ac:dyDescent="0.25">
      <c r="A73" s="466" t="s">
        <v>133</v>
      </c>
      <c r="B73" s="460">
        <v>902</v>
      </c>
      <c r="C73" s="462" t="s">
        <v>118</v>
      </c>
      <c r="D73" s="462" t="s">
        <v>150</v>
      </c>
      <c r="E73" s="462" t="s">
        <v>919</v>
      </c>
      <c r="F73" s="462" t="s">
        <v>134</v>
      </c>
      <c r="G73" s="384">
        <v>0</v>
      </c>
      <c r="H73" s="384">
        <v>0</v>
      </c>
      <c r="I73" s="204"/>
    </row>
    <row r="74" spans="1:9" ht="47.25" x14ac:dyDescent="0.25">
      <c r="A74" s="31" t="s">
        <v>189</v>
      </c>
      <c r="B74" s="460">
        <v>902</v>
      </c>
      <c r="C74" s="462" t="s">
        <v>118</v>
      </c>
      <c r="D74" s="462" t="s">
        <v>150</v>
      </c>
      <c r="E74" s="462" t="s">
        <v>920</v>
      </c>
      <c r="F74" s="462"/>
      <c r="G74" s="467">
        <f>G75+G77</f>
        <v>563.20000000000005</v>
      </c>
      <c r="H74" s="467">
        <f>H75+H77</f>
        <v>347.7</v>
      </c>
      <c r="I74" s="204"/>
    </row>
    <row r="75" spans="1:9" ht="78.75" x14ac:dyDescent="0.25">
      <c r="A75" s="466" t="s">
        <v>127</v>
      </c>
      <c r="B75" s="460">
        <v>902</v>
      </c>
      <c r="C75" s="462" t="s">
        <v>118</v>
      </c>
      <c r="D75" s="462" t="s">
        <v>150</v>
      </c>
      <c r="E75" s="462" t="s">
        <v>920</v>
      </c>
      <c r="F75" s="462" t="s">
        <v>128</v>
      </c>
      <c r="G75" s="467">
        <f>G76</f>
        <v>563.20000000000005</v>
      </c>
      <c r="H75" s="467">
        <f>H76</f>
        <v>347.7</v>
      </c>
      <c r="I75" s="204"/>
    </row>
    <row r="76" spans="1:9" ht="31.5" x14ac:dyDescent="0.25">
      <c r="A76" s="466" t="s">
        <v>129</v>
      </c>
      <c r="B76" s="460">
        <v>902</v>
      </c>
      <c r="C76" s="462" t="s">
        <v>118</v>
      </c>
      <c r="D76" s="462" t="s">
        <v>150</v>
      </c>
      <c r="E76" s="462" t="s">
        <v>920</v>
      </c>
      <c r="F76" s="462" t="s">
        <v>130</v>
      </c>
      <c r="G76" s="467">
        <v>563.20000000000005</v>
      </c>
      <c r="H76" s="467">
        <v>347.7</v>
      </c>
      <c r="I76" s="204"/>
    </row>
    <row r="77" spans="1:9" ht="31.5" hidden="1" x14ac:dyDescent="0.25">
      <c r="A77" s="466" t="s">
        <v>131</v>
      </c>
      <c r="B77" s="460">
        <v>902</v>
      </c>
      <c r="C77" s="462" t="s">
        <v>118</v>
      </c>
      <c r="D77" s="462" t="s">
        <v>150</v>
      </c>
      <c r="E77" s="462" t="s">
        <v>920</v>
      </c>
      <c r="F77" s="462" t="s">
        <v>132</v>
      </c>
      <c r="G77" s="467">
        <f>G78</f>
        <v>0</v>
      </c>
      <c r="H77" s="467">
        <f>H78</f>
        <v>0</v>
      </c>
      <c r="I77" s="204"/>
    </row>
    <row r="78" spans="1:9" ht="31.5" hidden="1" x14ac:dyDescent="0.25">
      <c r="A78" s="466" t="s">
        <v>133</v>
      </c>
      <c r="B78" s="460">
        <v>902</v>
      </c>
      <c r="C78" s="462" t="s">
        <v>118</v>
      </c>
      <c r="D78" s="462" t="s">
        <v>150</v>
      </c>
      <c r="E78" s="462" t="s">
        <v>920</v>
      </c>
      <c r="F78" s="462" t="s">
        <v>134</v>
      </c>
      <c r="G78" s="384">
        <v>0</v>
      </c>
      <c r="H78" s="384">
        <v>0</v>
      </c>
      <c r="I78" s="204"/>
    </row>
    <row r="79" spans="1:9" ht="47.25" x14ac:dyDescent="0.25">
      <c r="A79" s="31" t="s">
        <v>194</v>
      </c>
      <c r="B79" s="460">
        <v>902</v>
      </c>
      <c r="C79" s="462" t="s">
        <v>118</v>
      </c>
      <c r="D79" s="462" t="s">
        <v>150</v>
      </c>
      <c r="E79" s="462" t="s">
        <v>1030</v>
      </c>
      <c r="F79" s="462"/>
      <c r="G79" s="467">
        <f>G80+G82</f>
        <v>1411.1</v>
      </c>
      <c r="H79" s="467">
        <f>H80+H82</f>
        <v>1411.1</v>
      </c>
      <c r="I79" s="204"/>
    </row>
    <row r="80" spans="1:9" ht="78.75" x14ac:dyDescent="0.25">
      <c r="A80" s="466" t="s">
        <v>127</v>
      </c>
      <c r="B80" s="460">
        <v>902</v>
      </c>
      <c r="C80" s="462" t="s">
        <v>118</v>
      </c>
      <c r="D80" s="462" t="s">
        <v>150</v>
      </c>
      <c r="E80" s="462" t="s">
        <v>1030</v>
      </c>
      <c r="F80" s="462" t="s">
        <v>128</v>
      </c>
      <c r="G80" s="467">
        <f>G81</f>
        <v>1372.1</v>
      </c>
      <c r="H80" s="467">
        <f>H81</f>
        <v>1372.1</v>
      </c>
      <c r="I80" s="204"/>
    </row>
    <row r="81" spans="1:9" ht="31.5" x14ac:dyDescent="0.25">
      <c r="A81" s="466" t="s">
        <v>129</v>
      </c>
      <c r="B81" s="460">
        <v>902</v>
      </c>
      <c r="C81" s="462" t="s">
        <v>118</v>
      </c>
      <c r="D81" s="462" t="s">
        <v>150</v>
      </c>
      <c r="E81" s="462" t="s">
        <v>1030</v>
      </c>
      <c r="F81" s="462" t="s">
        <v>130</v>
      </c>
      <c r="G81" s="467">
        <f>1372.1</f>
        <v>1372.1</v>
      </c>
      <c r="H81" s="467">
        <f t="shared" si="1"/>
        <v>1372.1</v>
      </c>
      <c r="I81" s="204"/>
    </row>
    <row r="82" spans="1:9" ht="31.5" x14ac:dyDescent="0.25">
      <c r="A82" s="466" t="s">
        <v>131</v>
      </c>
      <c r="B82" s="460">
        <v>902</v>
      </c>
      <c r="C82" s="462" t="s">
        <v>118</v>
      </c>
      <c r="D82" s="462" t="s">
        <v>150</v>
      </c>
      <c r="E82" s="462" t="s">
        <v>1030</v>
      </c>
      <c r="F82" s="462" t="s">
        <v>132</v>
      </c>
      <c r="G82" s="467">
        <f>G83</f>
        <v>39</v>
      </c>
      <c r="H82" s="467">
        <f>H83</f>
        <v>39</v>
      </c>
      <c r="I82" s="204"/>
    </row>
    <row r="83" spans="1:9" ht="31.5" x14ac:dyDescent="0.25">
      <c r="A83" s="466" t="s">
        <v>133</v>
      </c>
      <c r="B83" s="460">
        <v>902</v>
      </c>
      <c r="C83" s="462" t="s">
        <v>118</v>
      </c>
      <c r="D83" s="462" t="s">
        <v>150</v>
      </c>
      <c r="E83" s="462" t="s">
        <v>1030</v>
      </c>
      <c r="F83" s="462" t="s">
        <v>134</v>
      </c>
      <c r="G83" s="467">
        <f>61.2-19.5-2.7</f>
        <v>39</v>
      </c>
      <c r="H83" s="467">
        <f t="shared" si="1"/>
        <v>39</v>
      </c>
      <c r="I83" s="204"/>
    </row>
    <row r="84" spans="1:9" ht="47.25" x14ac:dyDescent="0.25">
      <c r="A84" s="31" t="s">
        <v>196</v>
      </c>
      <c r="B84" s="460">
        <v>902</v>
      </c>
      <c r="C84" s="462" t="s">
        <v>118</v>
      </c>
      <c r="D84" s="462" t="s">
        <v>150</v>
      </c>
      <c r="E84" s="462" t="s">
        <v>921</v>
      </c>
      <c r="F84" s="462"/>
      <c r="G84" s="467">
        <f>G85+G87</f>
        <v>1334.3</v>
      </c>
      <c r="H84" s="467">
        <f>H85+H87</f>
        <v>1334.3</v>
      </c>
      <c r="I84" s="204"/>
    </row>
    <row r="85" spans="1:9" ht="78.75" x14ac:dyDescent="0.25">
      <c r="A85" s="466" t="s">
        <v>127</v>
      </c>
      <c r="B85" s="460">
        <v>902</v>
      </c>
      <c r="C85" s="462" t="s">
        <v>118</v>
      </c>
      <c r="D85" s="462" t="s">
        <v>150</v>
      </c>
      <c r="E85" s="462" t="s">
        <v>921</v>
      </c>
      <c r="F85" s="462" t="s">
        <v>128</v>
      </c>
      <c r="G85" s="467">
        <f>G86</f>
        <v>1300.3</v>
      </c>
      <c r="H85" s="467">
        <f>H86</f>
        <v>1300.3</v>
      </c>
      <c r="I85" s="204"/>
    </row>
    <row r="86" spans="1:9" ht="31.5" x14ac:dyDescent="0.25">
      <c r="A86" s="466" t="s">
        <v>129</v>
      </c>
      <c r="B86" s="460">
        <v>902</v>
      </c>
      <c r="C86" s="462" t="s">
        <v>118</v>
      </c>
      <c r="D86" s="462" t="s">
        <v>150</v>
      </c>
      <c r="E86" s="462" t="s">
        <v>921</v>
      </c>
      <c r="F86" s="462" t="s">
        <v>130</v>
      </c>
      <c r="G86" s="467">
        <v>1300.3</v>
      </c>
      <c r="H86" s="467">
        <f t="shared" si="1"/>
        <v>1300.3</v>
      </c>
      <c r="I86" s="204"/>
    </row>
    <row r="87" spans="1:9" ht="31.5" x14ac:dyDescent="0.25">
      <c r="A87" s="466" t="s">
        <v>198</v>
      </c>
      <c r="B87" s="460">
        <v>902</v>
      </c>
      <c r="C87" s="462" t="s">
        <v>118</v>
      </c>
      <c r="D87" s="462" t="s">
        <v>150</v>
      </c>
      <c r="E87" s="462" t="s">
        <v>921</v>
      </c>
      <c r="F87" s="462" t="s">
        <v>132</v>
      </c>
      <c r="G87" s="467">
        <f>G88</f>
        <v>34</v>
      </c>
      <c r="H87" s="467">
        <f>H88</f>
        <v>34</v>
      </c>
      <c r="I87" s="204"/>
    </row>
    <row r="88" spans="1:9" ht="31.5" x14ac:dyDescent="0.25">
      <c r="A88" s="466" t="s">
        <v>133</v>
      </c>
      <c r="B88" s="460">
        <v>902</v>
      </c>
      <c r="C88" s="462" t="s">
        <v>118</v>
      </c>
      <c r="D88" s="462" t="s">
        <v>150</v>
      </c>
      <c r="E88" s="462" t="s">
        <v>921</v>
      </c>
      <c r="F88" s="462" t="s">
        <v>134</v>
      </c>
      <c r="G88" s="467">
        <v>34</v>
      </c>
      <c r="H88" s="467">
        <f t="shared" si="1"/>
        <v>34</v>
      </c>
      <c r="I88" s="204"/>
    </row>
    <row r="89" spans="1:9" ht="47.25" x14ac:dyDescent="0.25">
      <c r="A89" s="464" t="s">
        <v>1375</v>
      </c>
      <c r="B89" s="461">
        <v>902</v>
      </c>
      <c r="C89" s="465" t="s">
        <v>118</v>
      </c>
      <c r="D89" s="465" t="s">
        <v>150</v>
      </c>
      <c r="E89" s="465" t="s">
        <v>162</v>
      </c>
      <c r="F89" s="465"/>
      <c r="G89" s="463">
        <f>G90+G94+G106</f>
        <v>683.5</v>
      </c>
      <c r="H89" s="463">
        <f>H90+H94+H106</f>
        <v>683.5</v>
      </c>
      <c r="I89" s="204"/>
    </row>
    <row r="90" spans="1:9" ht="63" x14ac:dyDescent="0.25">
      <c r="A90" s="299" t="s">
        <v>1350</v>
      </c>
      <c r="B90" s="461">
        <v>902</v>
      </c>
      <c r="C90" s="465" t="s">
        <v>118</v>
      </c>
      <c r="D90" s="465" t="s">
        <v>150</v>
      </c>
      <c r="E90" s="7" t="s">
        <v>849</v>
      </c>
      <c r="F90" s="465"/>
      <c r="G90" s="463">
        <f t="shared" ref="G90:H92" si="3">G91</f>
        <v>606</v>
      </c>
      <c r="H90" s="463">
        <f t="shared" si="3"/>
        <v>606</v>
      </c>
      <c r="I90" s="204"/>
    </row>
    <row r="91" spans="1:9" ht="47.25" x14ac:dyDescent="0.25">
      <c r="A91" s="29" t="s">
        <v>1314</v>
      </c>
      <c r="B91" s="460">
        <v>902</v>
      </c>
      <c r="C91" s="462" t="s">
        <v>118</v>
      </c>
      <c r="D91" s="462" t="s">
        <v>150</v>
      </c>
      <c r="E91" s="469" t="s">
        <v>841</v>
      </c>
      <c r="F91" s="462"/>
      <c r="G91" s="467">
        <f t="shared" si="3"/>
        <v>606</v>
      </c>
      <c r="H91" s="467">
        <f t="shared" si="3"/>
        <v>606</v>
      </c>
      <c r="I91" s="204"/>
    </row>
    <row r="92" spans="1:9" ht="31.5" x14ac:dyDescent="0.25">
      <c r="A92" s="466" t="s">
        <v>131</v>
      </c>
      <c r="B92" s="460">
        <v>902</v>
      </c>
      <c r="C92" s="462" t="s">
        <v>118</v>
      </c>
      <c r="D92" s="462" t="s">
        <v>150</v>
      </c>
      <c r="E92" s="469" t="s">
        <v>841</v>
      </c>
      <c r="F92" s="462" t="s">
        <v>132</v>
      </c>
      <c r="G92" s="467">
        <f t="shared" si="3"/>
        <v>606</v>
      </c>
      <c r="H92" s="467">
        <f t="shared" si="3"/>
        <v>606</v>
      </c>
      <c r="I92" s="204"/>
    </row>
    <row r="93" spans="1:9" ht="31.5" x14ac:dyDescent="0.25">
      <c r="A93" s="466" t="s">
        <v>133</v>
      </c>
      <c r="B93" s="460">
        <v>902</v>
      </c>
      <c r="C93" s="462" t="s">
        <v>118</v>
      </c>
      <c r="D93" s="462" t="s">
        <v>150</v>
      </c>
      <c r="E93" s="469" t="s">
        <v>841</v>
      </c>
      <c r="F93" s="462" t="s">
        <v>134</v>
      </c>
      <c r="G93" s="467">
        <v>606</v>
      </c>
      <c r="H93" s="467">
        <f t="shared" si="1"/>
        <v>606</v>
      </c>
      <c r="I93" s="204"/>
    </row>
    <row r="94" spans="1:9" ht="63" x14ac:dyDescent="0.25">
      <c r="A94" s="219" t="s">
        <v>843</v>
      </c>
      <c r="B94" s="461">
        <v>902</v>
      </c>
      <c r="C94" s="465" t="s">
        <v>118</v>
      </c>
      <c r="D94" s="465" t="s">
        <v>150</v>
      </c>
      <c r="E94" s="7" t="s">
        <v>850</v>
      </c>
      <c r="F94" s="465"/>
      <c r="G94" s="463">
        <f>G95+G100+G103</f>
        <v>77</v>
      </c>
      <c r="H94" s="463">
        <f>H95+H100+H103</f>
        <v>77</v>
      </c>
      <c r="I94" s="204"/>
    </row>
    <row r="95" spans="1:9" ht="47.25" x14ac:dyDescent="0.25">
      <c r="A95" s="174" t="s">
        <v>165</v>
      </c>
      <c r="B95" s="460">
        <v>902</v>
      </c>
      <c r="C95" s="462" t="s">
        <v>118</v>
      </c>
      <c r="D95" s="462" t="s">
        <v>150</v>
      </c>
      <c r="E95" s="469" t="s">
        <v>842</v>
      </c>
      <c r="F95" s="462"/>
      <c r="G95" s="467">
        <f>G96+G98</f>
        <v>77</v>
      </c>
      <c r="H95" s="467">
        <f>H96+H98</f>
        <v>77</v>
      </c>
      <c r="I95" s="204"/>
    </row>
    <row r="96" spans="1:9" ht="78.75" x14ac:dyDescent="0.25">
      <c r="A96" s="466" t="s">
        <v>127</v>
      </c>
      <c r="B96" s="460">
        <v>902</v>
      </c>
      <c r="C96" s="462" t="s">
        <v>118</v>
      </c>
      <c r="D96" s="462" t="s">
        <v>150</v>
      </c>
      <c r="E96" s="469" t="s">
        <v>842</v>
      </c>
      <c r="F96" s="462" t="s">
        <v>128</v>
      </c>
      <c r="G96" s="467">
        <f>G97</f>
        <v>37</v>
      </c>
      <c r="H96" s="467">
        <f>H97</f>
        <v>37</v>
      </c>
      <c r="I96" s="204"/>
    </row>
    <row r="97" spans="1:9" ht="31.5" x14ac:dyDescent="0.25">
      <c r="A97" s="466" t="s">
        <v>129</v>
      </c>
      <c r="B97" s="460">
        <v>902</v>
      </c>
      <c r="C97" s="462" t="s">
        <v>118</v>
      </c>
      <c r="D97" s="462" t="s">
        <v>150</v>
      </c>
      <c r="E97" s="469" t="s">
        <v>842</v>
      </c>
      <c r="F97" s="462" t="s">
        <v>130</v>
      </c>
      <c r="G97" s="467">
        <f>37</f>
        <v>37</v>
      </c>
      <c r="H97" s="467">
        <f t="shared" si="1"/>
        <v>37</v>
      </c>
      <c r="I97" s="204"/>
    </row>
    <row r="98" spans="1:9" ht="31.5" x14ac:dyDescent="0.25">
      <c r="A98" s="466" t="s">
        <v>131</v>
      </c>
      <c r="B98" s="460">
        <v>902</v>
      </c>
      <c r="C98" s="462" t="s">
        <v>118</v>
      </c>
      <c r="D98" s="462" t="s">
        <v>150</v>
      </c>
      <c r="E98" s="469" t="s">
        <v>842</v>
      </c>
      <c r="F98" s="462" t="s">
        <v>132</v>
      </c>
      <c r="G98" s="467">
        <f>G99</f>
        <v>40</v>
      </c>
      <c r="H98" s="467">
        <f>H99</f>
        <v>40</v>
      </c>
      <c r="I98" s="204"/>
    </row>
    <row r="99" spans="1:9" ht="31.5" x14ac:dyDescent="0.25">
      <c r="A99" s="466" t="s">
        <v>133</v>
      </c>
      <c r="B99" s="460">
        <v>902</v>
      </c>
      <c r="C99" s="462" t="s">
        <v>118</v>
      </c>
      <c r="D99" s="462" t="s">
        <v>150</v>
      </c>
      <c r="E99" s="469" t="s">
        <v>842</v>
      </c>
      <c r="F99" s="462" t="s">
        <v>134</v>
      </c>
      <c r="G99" s="467">
        <f>40</f>
        <v>40</v>
      </c>
      <c r="H99" s="467">
        <f t="shared" ref="H99:H178" si="4">G99</f>
        <v>40</v>
      </c>
      <c r="I99" s="204"/>
    </row>
    <row r="100" spans="1:9" ht="47.25" hidden="1" x14ac:dyDescent="0.25">
      <c r="A100" s="31" t="s">
        <v>1098</v>
      </c>
      <c r="B100" s="460">
        <v>902</v>
      </c>
      <c r="C100" s="462" t="s">
        <v>118</v>
      </c>
      <c r="D100" s="462" t="s">
        <v>150</v>
      </c>
      <c r="E100" s="469" t="s">
        <v>993</v>
      </c>
      <c r="F100" s="462"/>
      <c r="G100" s="467">
        <f>G101</f>
        <v>0</v>
      </c>
      <c r="H100" s="467">
        <f>H101</f>
        <v>0</v>
      </c>
      <c r="I100" s="204"/>
    </row>
    <row r="101" spans="1:9" ht="31.5" hidden="1" x14ac:dyDescent="0.25">
      <c r="A101" s="466" t="s">
        <v>131</v>
      </c>
      <c r="B101" s="460">
        <v>902</v>
      </c>
      <c r="C101" s="462" t="s">
        <v>118</v>
      </c>
      <c r="D101" s="462" t="s">
        <v>150</v>
      </c>
      <c r="E101" s="469" t="s">
        <v>993</v>
      </c>
      <c r="F101" s="462" t="s">
        <v>132</v>
      </c>
      <c r="G101" s="467">
        <f>G102</f>
        <v>0</v>
      </c>
      <c r="H101" s="467">
        <f>H102</f>
        <v>0</v>
      </c>
      <c r="I101" s="204"/>
    </row>
    <row r="102" spans="1:9" ht="31.5" hidden="1" x14ac:dyDescent="0.25">
      <c r="A102" s="466" t="s">
        <v>133</v>
      </c>
      <c r="B102" s="460">
        <v>902</v>
      </c>
      <c r="C102" s="462" t="s">
        <v>118</v>
      </c>
      <c r="D102" s="462" t="s">
        <v>150</v>
      </c>
      <c r="E102" s="469" t="s">
        <v>696</v>
      </c>
      <c r="F102" s="462" t="s">
        <v>134</v>
      </c>
      <c r="G102" s="467">
        <v>0</v>
      </c>
      <c r="H102" s="467">
        <v>0</v>
      </c>
      <c r="I102" s="204"/>
    </row>
    <row r="103" spans="1:9" ht="47.25" hidden="1" x14ac:dyDescent="0.25">
      <c r="A103" s="31" t="s">
        <v>695</v>
      </c>
      <c r="B103" s="460">
        <v>902</v>
      </c>
      <c r="C103" s="462" t="s">
        <v>118</v>
      </c>
      <c r="D103" s="462" t="s">
        <v>150</v>
      </c>
      <c r="E103" s="462" t="s">
        <v>992</v>
      </c>
      <c r="F103" s="462"/>
      <c r="G103" s="467">
        <f>G104</f>
        <v>0</v>
      </c>
      <c r="H103" s="467">
        <f>H104</f>
        <v>0</v>
      </c>
      <c r="I103" s="204"/>
    </row>
    <row r="104" spans="1:9" ht="31.5" hidden="1" x14ac:dyDescent="0.25">
      <c r="A104" s="466" t="s">
        <v>131</v>
      </c>
      <c r="B104" s="460">
        <v>902</v>
      </c>
      <c r="C104" s="462" t="s">
        <v>118</v>
      </c>
      <c r="D104" s="462" t="s">
        <v>150</v>
      </c>
      <c r="E104" s="462" t="s">
        <v>992</v>
      </c>
      <c r="F104" s="462" t="s">
        <v>132</v>
      </c>
      <c r="G104" s="467">
        <f>G105</f>
        <v>0</v>
      </c>
      <c r="H104" s="467">
        <f>H105</f>
        <v>0</v>
      </c>
      <c r="I104" s="204"/>
    </row>
    <row r="105" spans="1:9" ht="31.5" hidden="1" x14ac:dyDescent="0.25">
      <c r="A105" s="466" t="s">
        <v>133</v>
      </c>
      <c r="B105" s="460">
        <v>902</v>
      </c>
      <c r="C105" s="462" t="s">
        <v>118</v>
      </c>
      <c r="D105" s="462" t="s">
        <v>150</v>
      </c>
      <c r="E105" s="462" t="s">
        <v>992</v>
      </c>
      <c r="F105" s="462" t="s">
        <v>134</v>
      </c>
      <c r="G105" s="467">
        <v>0</v>
      </c>
      <c r="H105" s="467">
        <v>0</v>
      </c>
      <c r="I105" s="204"/>
    </row>
    <row r="106" spans="1:9" ht="63" x14ac:dyDescent="0.25">
      <c r="A106" s="220" t="s">
        <v>1003</v>
      </c>
      <c r="B106" s="461">
        <v>902</v>
      </c>
      <c r="C106" s="465" t="s">
        <v>118</v>
      </c>
      <c r="D106" s="465" t="s">
        <v>150</v>
      </c>
      <c r="E106" s="7" t="s">
        <v>851</v>
      </c>
      <c r="F106" s="465"/>
      <c r="G106" s="463">
        <f>G107+G110</f>
        <v>0.5</v>
      </c>
      <c r="H106" s="463">
        <f>H107+H110</f>
        <v>0.5</v>
      </c>
      <c r="I106" s="204"/>
    </row>
    <row r="107" spans="1:9" ht="47.25" x14ac:dyDescent="0.25">
      <c r="A107" s="33" t="s">
        <v>191</v>
      </c>
      <c r="B107" s="460">
        <v>902</v>
      </c>
      <c r="C107" s="462" t="s">
        <v>118</v>
      </c>
      <c r="D107" s="462" t="s">
        <v>150</v>
      </c>
      <c r="E107" s="469" t="s">
        <v>844</v>
      </c>
      <c r="F107" s="462"/>
      <c r="G107" s="467">
        <f>G108</f>
        <v>0.5</v>
      </c>
      <c r="H107" s="467">
        <f>H108</f>
        <v>0.5</v>
      </c>
      <c r="I107" s="204"/>
    </row>
    <row r="108" spans="1:9" ht="31.5" x14ac:dyDescent="0.25">
      <c r="A108" s="466" t="s">
        <v>131</v>
      </c>
      <c r="B108" s="460">
        <v>902</v>
      </c>
      <c r="C108" s="462" t="s">
        <v>118</v>
      </c>
      <c r="D108" s="462" t="s">
        <v>150</v>
      </c>
      <c r="E108" s="469" t="s">
        <v>844</v>
      </c>
      <c r="F108" s="462" t="s">
        <v>132</v>
      </c>
      <c r="G108" s="467">
        <f>G109</f>
        <v>0.5</v>
      </c>
      <c r="H108" s="467">
        <f>H109</f>
        <v>0.5</v>
      </c>
      <c r="I108" s="204"/>
    </row>
    <row r="109" spans="1:9" ht="31.5" x14ac:dyDescent="0.25">
      <c r="A109" s="466" t="s">
        <v>133</v>
      </c>
      <c r="B109" s="460">
        <v>902</v>
      </c>
      <c r="C109" s="462" t="s">
        <v>118</v>
      </c>
      <c r="D109" s="462" t="s">
        <v>150</v>
      </c>
      <c r="E109" s="469" t="s">
        <v>844</v>
      </c>
      <c r="F109" s="462" t="s">
        <v>134</v>
      </c>
      <c r="G109" s="467">
        <f>0.5</f>
        <v>0.5</v>
      </c>
      <c r="H109" s="467">
        <f t="shared" si="4"/>
        <v>0.5</v>
      </c>
      <c r="I109" s="204"/>
    </row>
    <row r="110" spans="1:9" ht="47.25" hidden="1" x14ac:dyDescent="0.25">
      <c r="A110" s="33" t="s">
        <v>191</v>
      </c>
      <c r="B110" s="460">
        <v>902</v>
      </c>
      <c r="C110" s="462" t="s">
        <v>118</v>
      </c>
      <c r="D110" s="462" t="s">
        <v>150</v>
      </c>
      <c r="E110" s="462" t="s">
        <v>845</v>
      </c>
      <c r="F110" s="462"/>
      <c r="G110" s="467">
        <f>'[1]Пр.5 ведом.21'!G106</f>
        <v>0</v>
      </c>
      <c r="H110" s="467">
        <f t="shared" si="4"/>
        <v>0</v>
      </c>
      <c r="I110" s="204"/>
    </row>
    <row r="111" spans="1:9" ht="31.5" hidden="1" x14ac:dyDescent="0.25">
      <c r="A111" s="466" t="s">
        <v>131</v>
      </c>
      <c r="B111" s="460">
        <v>902</v>
      </c>
      <c r="C111" s="462" t="s">
        <v>118</v>
      </c>
      <c r="D111" s="462" t="s">
        <v>150</v>
      </c>
      <c r="E111" s="462" t="s">
        <v>845</v>
      </c>
      <c r="F111" s="462" t="s">
        <v>132</v>
      </c>
      <c r="G111" s="467">
        <f>'[1]Пр.5 ведом.21'!G107</f>
        <v>0</v>
      </c>
      <c r="H111" s="467">
        <f t="shared" si="4"/>
        <v>0</v>
      </c>
      <c r="I111" s="204"/>
    </row>
    <row r="112" spans="1:9" ht="31.5" hidden="1" x14ac:dyDescent="0.25">
      <c r="A112" s="466" t="s">
        <v>133</v>
      </c>
      <c r="B112" s="460">
        <v>902</v>
      </c>
      <c r="C112" s="462" t="s">
        <v>118</v>
      </c>
      <c r="D112" s="462" t="s">
        <v>150</v>
      </c>
      <c r="E112" s="462" t="s">
        <v>845</v>
      </c>
      <c r="F112" s="462" t="s">
        <v>134</v>
      </c>
      <c r="G112" s="467">
        <f>'[1]Пр.5 ведом.21'!G108</f>
        <v>0</v>
      </c>
      <c r="H112" s="467">
        <f t="shared" si="4"/>
        <v>0</v>
      </c>
      <c r="I112" s="204"/>
    </row>
    <row r="113" spans="1:9" ht="47.25" x14ac:dyDescent="0.25">
      <c r="A113" s="464" t="s">
        <v>119</v>
      </c>
      <c r="B113" s="461">
        <v>902</v>
      </c>
      <c r="C113" s="465" t="s">
        <v>118</v>
      </c>
      <c r="D113" s="465" t="s">
        <v>120</v>
      </c>
      <c r="E113" s="465"/>
      <c r="F113" s="462"/>
      <c r="G113" s="463">
        <f>G114</f>
        <v>1332.2</v>
      </c>
      <c r="H113" s="463">
        <f>H114</f>
        <v>1332.2</v>
      </c>
      <c r="I113" s="204"/>
    </row>
    <row r="114" spans="1:9" ht="31.5" x14ac:dyDescent="0.25">
      <c r="A114" s="464" t="s">
        <v>917</v>
      </c>
      <c r="B114" s="461">
        <v>902</v>
      </c>
      <c r="C114" s="465" t="s">
        <v>118</v>
      </c>
      <c r="D114" s="465" t="s">
        <v>120</v>
      </c>
      <c r="E114" s="465" t="s">
        <v>858</v>
      </c>
      <c r="F114" s="465"/>
      <c r="G114" s="463">
        <f>G115</f>
        <v>1332.2</v>
      </c>
      <c r="H114" s="463">
        <f>H115</f>
        <v>1332.2</v>
      </c>
      <c r="I114" s="204"/>
    </row>
    <row r="115" spans="1:9" ht="15.75" x14ac:dyDescent="0.25">
      <c r="A115" s="464" t="s">
        <v>918</v>
      </c>
      <c r="B115" s="461">
        <v>902</v>
      </c>
      <c r="C115" s="465" t="s">
        <v>118</v>
      </c>
      <c r="D115" s="465" t="s">
        <v>120</v>
      </c>
      <c r="E115" s="465" t="s">
        <v>859</v>
      </c>
      <c r="F115" s="465"/>
      <c r="G115" s="463">
        <f>G116+G119</f>
        <v>1332.2</v>
      </c>
      <c r="H115" s="463">
        <f>H116+H119</f>
        <v>1332.2</v>
      </c>
      <c r="I115" s="204"/>
    </row>
    <row r="116" spans="1:9" ht="31.5" x14ac:dyDescent="0.25">
      <c r="A116" s="466" t="s">
        <v>897</v>
      </c>
      <c r="B116" s="460">
        <v>902</v>
      </c>
      <c r="C116" s="462" t="s">
        <v>118</v>
      </c>
      <c r="D116" s="462" t="s">
        <v>120</v>
      </c>
      <c r="E116" s="462" t="s">
        <v>860</v>
      </c>
      <c r="F116" s="462"/>
      <c r="G116" s="467">
        <f>G117</f>
        <v>1286.2</v>
      </c>
      <c r="H116" s="467">
        <f>H117</f>
        <v>1286.2</v>
      </c>
      <c r="I116" s="204"/>
    </row>
    <row r="117" spans="1:9" ht="78.75" x14ac:dyDescent="0.25">
      <c r="A117" s="466" t="s">
        <v>127</v>
      </c>
      <c r="B117" s="460">
        <v>902</v>
      </c>
      <c r="C117" s="462" t="s">
        <v>118</v>
      </c>
      <c r="D117" s="462" t="s">
        <v>120</v>
      </c>
      <c r="E117" s="462" t="s">
        <v>860</v>
      </c>
      <c r="F117" s="462" t="s">
        <v>128</v>
      </c>
      <c r="G117" s="467">
        <f>G118</f>
        <v>1286.2</v>
      </c>
      <c r="H117" s="467">
        <f>H118</f>
        <v>1286.2</v>
      </c>
      <c r="I117" s="204"/>
    </row>
    <row r="118" spans="1:9" ht="31.5" x14ac:dyDescent="0.25">
      <c r="A118" s="466" t="s">
        <v>129</v>
      </c>
      <c r="B118" s="460">
        <v>902</v>
      </c>
      <c r="C118" s="462" t="s">
        <v>118</v>
      </c>
      <c r="D118" s="462" t="s">
        <v>120</v>
      </c>
      <c r="E118" s="462" t="s">
        <v>860</v>
      </c>
      <c r="F118" s="462" t="s">
        <v>130</v>
      </c>
      <c r="G118" s="467">
        <v>1286.2</v>
      </c>
      <c r="H118" s="467">
        <f t="shared" si="4"/>
        <v>1286.2</v>
      </c>
      <c r="I118" s="204"/>
    </row>
    <row r="119" spans="1:9" ht="47.25" x14ac:dyDescent="0.25">
      <c r="A119" s="466" t="s">
        <v>839</v>
      </c>
      <c r="B119" s="460">
        <v>902</v>
      </c>
      <c r="C119" s="462" t="s">
        <v>118</v>
      </c>
      <c r="D119" s="462" t="s">
        <v>120</v>
      </c>
      <c r="E119" s="462" t="s">
        <v>862</v>
      </c>
      <c r="F119" s="462"/>
      <c r="G119" s="467">
        <f>G120</f>
        <v>46</v>
      </c>
      <c r="H119" s="467">
        <f>H120</f>
        <v>46</v>
      </c>
      <c r="I119" s="204"/>
    </row>
    <row r="120" spans="1:9" ht="78.75" x14ac:dyDescent="0.25">
      <c r="A120" s="466" t="s">
        <v>127</v>
      </c>
      <c r="B120" s="460">
        <v>902</v>
      </c>
      <c r="C120" s="462" t="s">
        <v>118</v>
      </c>
      <c r="D120" s="462" t="s">
        <v>120</v>
      </c>
      <c r="E120" s="462" t="s">
        <v>862</v>
      </c>
      <c r="F120" s="462" t="s">
        <v>128</v>
      </c>
      <c r="G120" s="467">
        <f>G121</f>
        <v>46</v>
      </c>
      <c r="H120" s="467">
        <f>H121</f>
        <v>46</v>
      </c>
      <c r="I120" s="204"/>
    </row>
    <row r="121" spans="1:9" ht="31.5" x14ac:dyDescent="0.25">
      <c r="A121" s="466" t="s">
        <v>129</v>
      </c>
      <c r="B121" s="460">
        <v>902</v>
      </c>
      <c r="C121" s="462" t="s">
        <v>118</v>
      </c>
      <c r="D121" s="462" t="s">
        <v>120</v>
      </c>
      <c r="E121" s="462" t="s">
        <v>862</v>
      </c>
      <c r="F121" s="462" t="s">
        <v>130</v>
      </c>
      <c r="G121" s="467">
        <v>46</v>
      </c>
      <c r="H121" s="467">
        <f t="shared" si="4"/>
        <v>46</v>
      </c>
      <c r="I121" s="204"/>
    </row>
    <row r="122" spans="1:9" ht="15.75" hidden="1" x14ac:dyDescent="0.25">
      <c r="A122" s="464" t="s">
        <v>1152</v>
      </c>
      <c r="B122" s="461">
        <v>902</v>
      </c>
      <c r="C122" s="465" t="s">
        <v>118</v>
      </c>
      <c r="D122" s="465" t="s">
        <v>264</v>
      </c>
      <c r="E122" s="465"/>
      <c r="F122" s="462"/>
      <c r="G122" s="463">
        <f t="shared" ref="G122:H124" si="5">G123</f>
        <v>0</v>
      </c>
      <c r="H122" s="463">
        <f t="shared" si="5"/>
        <v>0</v>
      </c>
      <c r="I122" s="204"/>
    </row>
    <row r="123" spans="1:9" ht="15.75" hidden="1" x14ac:dyDescent="0.25">
      <c r="A123" s="464" t="s">
        <v>141</v>
      </c>
      <c r="B123" s="461">
        <v>902</v>
      </c>
      <c r="C123" s="465" t="s">
        <v>118</v>
      </c>
      <c r="D123" s="465" t="s">
        <v>264</v>
      </c>
      <c r="E123" s="465" t="s">
        <v>866</v>
      </c>
      <c r="F123" s="462"/>
      <c r="G123" s="463">
        <f t="shared" si="5"/>
        <v>0</v>
      </c>
      <c r="H123" s="463">
        <f t="shared" si="5"/>
        <v>0</v>
      </c>
      <c r="I123" s="204"/>
    </row>
    <row r="124" spans="1:9" ht="31.5" hidden="1" x14ac:dyDescent="0.25">
      <c r="A124" s="464" t="s">
        <v>870</v>
      </c>
      <c r="B124" s="461">
        <v>902</v>
      </c>
      <c r="C124" s="465" t="s">
        <v>118</v>
      </c>
      <c r="D124" s="465" t="s">
        <v>264</v>
      </c>
      <c r="E124" s="465" t="s">
        <v>865</v>
      </c>
      <c r="F124" s="462"/>
      <c r="G124" s="463">
        <f t="shared" si="5"/>
        <v>0</v>
      </c>
      <c r="H124" s="463">
        <f t="shared" si="5"/>
        <v>0</v>
      </c>
      <c r="I124" s="204"/>
    </row>
    <row r="125" spans="1:9" ht="15.75" hidden="1" x14ac:dyDescent="0.25">
      <c r="A125" s="45" t="s">
        <v>199</v>
      </c>
      <c r="B125" s="460">
        <v>902</v>
      </c>
      <c r="C125" s="462" t="s">
        <v>118</v>
      </c>
      <c r="D125" s="462" t="s">
        <v>264</v>
      </c>
      <c r="E125" s="462" t="s">
        <v>1151</v>
      </c>
      <c r="F125" s="462"/>
      <c r="G125" s="467">
        <f>G126+G128</f>
        <v>0</v>
      </c>
      <c r="H125" s="467">
        <f>H126+H128</f>
        <v>0</v>
      </c>
      <c r="I125" s="204"/>
    </row>
    <row r="126" spans="1:9" ht="78.75" hidden="1" x14ac:dyDescent="0.25">
      <c r="A126" s="466" t="s">
        <v>127</v>
      </c>
      <c r="B126" s="460">
        <v>902</v>
      </c>
      <c r="C126" s="462" t="s">
        <v>118</v>
      </c>
      <c r="D126" s="462" t="s">
        <v>264</v>
      </c>
      <c r="E126" s="462" t="s">
        <v>1151</v>
      </c>
      <c r="F126" s="462" t="s">
        <v>128</v>
      </c>
      <c r="G126" s="467">
        <f>G127</f>
        <v>0</v>
      </c>
      <c r="H126" s="467">
        <f>H127</f>
        <v>0</v>
      </c>
      <c r="I126" s="204"/>
    </row>
    <row r="127" spans="1:9" ht="31.5" hidden="1" x14ac:dyDescent="0.25">
      <c r="A127" s="466" t="s">
        <v>129</v>
      </c>
      <c r="B127" s="460">
        <v>902</v>
      </c>
      <c r="C127" s="462" t="s">
        <v>118</v>
      </c>
      <c r="D127" s="462" t="s">
        <v>264</v>
      </c>
      <c r="E127" s="462" t="s">
        <v>1151</v>
      </c>
      <c r="F127" s="462" t="s">
        <v>130</v>
      </c>
      <c r="G127" s="467">
        <v>0</v>
      </c>
      <c r="H127" s="467">
        <v>0</v>
      </c>
      <c r="I127" s="204"/>
    </row>
    <row r="128" spans="1:9" ht="31.5" hidden="1" x14ac:dyDescent="0.25">
      <c r="A128" s="466" t="s">
        <v>198</v>
      </c>
      <c r="B128" s="460">
        <v>902</v>
      </c>
      <c r="C128" s="462" t="s">
        <v>118</v>
      </c>
      <c r="D128" s="462" t="s">
        <v>264</v>
      </c>
      <c r="E128" s="462" t="s">
        <v>1151</v>
      </c>
      <c r="F128" s="462" t="s">
        <v>132</v>
      </c>
      <c r="G128" s="467">
        <f>G129</f>
        <v>0</v>
      </c>
      <c r="H128" s="467">
        <f>H129</f>
        <v>0</v>
      </c>
      <c r="I128" s="204"/>
    </row>
    <row r="129" spans="1:9" ht="31.5" hidden="1" x14ac:dyDescent="0.25">
      <c r="A129" s="466" t="s">
        <v>133</v>
      </c>
      <c r="B129" s="460">
        <v>902</v>
      </c>
      <c r="C129" s="462" t="s">
        <v>118</v>
      </c>
      <c r="D129" s="462" t="s">
        <v>264</v>
      </c>
      <c r="E129" s="462" t="s">
        <v>1151</v>
      </c>
      <c r="F129" s="462" t="s">
        <v>134</v>
      </c>
      <c r="G129" s="467">
        <v>0</v>
      </c>
      <c r="H129" s="467">
        <v>0</v>
      </c>
      <c r="I129" s="204"/>
    </row>
    <row r="130" spans="1:9" ht="15.75" x14ac:dyDescent="0.25">
      <c r="A130" s="464" t="s">
        <v>139</v>
      </c>
      <c r="B130" s="461">
        <v>902</v>
      </c>
      <c r="C130" s="465" t="s">
        <v>118</v>
      </c>
      <c r="D130" s="465" t="s">
        <v>140</v>
      </c>
      <c r="E130" s="465"/>
      <c r="F130" s="465"/>
      <c r="G130" s="463">
        <f>G146+G155+G131+G160+G141</f>
        <v>6009</v>
      </c>
      <c r="H130" s="463">
        <f>H146+H155+H131+H160+H141</f>
        <v>6052</v>
      </c>
      <c r="I130" s="204"/>
    </row>
    <row r="131" spans="1:9" ht="15.75" x14ac:dyDescent="0.25">
      <c r="A131" s="464" t="s">
        <v>141</v>
      </c>
      <c r="B131" s="461">
        <v>902</v>
      </c>
      <c r="C131" s="465" t="s">
        <v>118</v>
      </c>
      <c r="D131" s="465" t="s">
        <v>140</v>
      </c>
      <c r="E131" s="465" t="s">
        <v>866</v>
      </c>
      <c r="F131" s="465"/>
      <c r="G131" s="463">
        <f>G132</f>
        <v>5829</v>
      </c>
      <c r="H131" s="463">
        <f>H132</f>
        <v>5829</v>
      </c>
      <c r="I131" s="204"/>
    </row>
    <row r="132" spans="1:9" ht="31.5" x14ac:dyDescent="0.25">
      <c r="A132" s="464" t="s">
        <v>922</v>
      </c>
      <c r="B132" s="461">
        <v>902</v>
      </c>
      <c r="C132" s="465" t="s">
        <v>118</v>
      </c>
      <c r="D132" s="465" t="s">
        <v>140</v>
      </c>
      <c r="E132" s="465" t="s">
        <v>867</v>
      </c>
      <c r="F132" s="465"/>
      <c r="G132" s="463">
        <f>G133+G138</f>
        <v>5829</v>
      </c>
      <c r="H132" s="463">
        <f>H133+H138</f>
        <v>5829</v>
      </c>
      <c r="I132" s="204"/>
    </row>
    <row r="133" spans="1:9" ht="31.5" x14ac:dyDescent="0.25">
      <c r="A133" s="466" t="s">
        <v>928</v>
      </c>
      <c r="B133" s="460">
        <v>902</v>
      </c>
      <c r="C133" s="462" t="s">
        <v>118</v>
      </c>
      <c r="D133" s="462" t="s">
        <v>140</v>
      </c>
      <c r="E133" s="462" t="s">
        <v>868</v>
      </c>
      <c r="F133" s="462"/>
      <c r="G133" s="467">
        <f>G134+G136</f>
        <v>5701</v>
      </c>
      <c r="H133" s="467">
        <f>H134+H136</f>
        <v>5701</v>
      </c>
      <c r="I133" s="204"/>
    </row>
    <row r="134" spans="1:9" ht="78.75" x14ac:dyDescent="0.25">
      <c r="A134" s="466" t="s">
        <v>127</v>
      </c>
      <c r="B134" s="460">
        <v>902</v>
      </c>
      <c r="C134" s="462" t="s">
        <v>118</v>
      </c>
      <c r="D134" s="462" t="s">
        <v>140</v>
      </c>
      <c r="E134" s="462" t="s">
        <v>868</v>
      </c>
      <c r="F134" s="462" t="s">
        <v>128</v>
      </c>
      <c r="G134" s="467">
        <f>G135</f>
        <v>4501</v>
      </c>
      <c r="H134" s="467">
        <f>H135</f>
        <v>4501</v>
      </c>
      <c r="I134" s="204"/>
    </row>
    <row r="135" spans="1:9" ht="15.75" x14ac:dyDescent="0.25">
      <c r="A135" s="466" t="s">
        <v>208</v>
      </c>
      <c r="B135" s="460">
        <v>902</v>
      </c>
      <c r="C135" s="462" t="s">
        <v>118</v>
      </c>
      <c r="D135" s="462" t="s">
        <v>140</v>
      </c>
      <c r="E135" s="462" t="s">
        <v>868</v>
      </c>
      <c r="F135" s="462" t="s">
        <v>209</v>
      </c>
      <c r="G135" s="467">
        <v>4501</v>
      </c>
      <c r="H135" s="467">
        <f t="shared" si="4"/>
        <v>4501</v>
      </c>
      <c r="I135" s="204"/>
    </row>
    <row r="136" spans="1:9" ht="31.5" x14ac:dyDescent="0.25">
      <c r="A136" s="466" t="s">
        <v>198</v>
      </c>
      <c r="B136" s="460">
        <v>902</v>
      </c>
      <c r="C136" s="462" t="s">
        <v>118</v>
      </c>
      <c r="D136" s="462" t="s">
        <v>140</v>
      </c>
      <c r="E136" s="462" t="s">
        <v>868</v>
      </c>
      <c r="F136" s="462" t="s">
        <v>132</v>
      </c>
      <c r="G136" s="467">
        <f>G137</f>
        <v>1200</v>
      </c>
      <c r="H136" s="467">
        <f>H137</f>
        <v>1200</v>
      </c>
      <c r="I136" s="204"/>
    </row>
    <row r="137" spans="1:9" ht="31.5" x14ac:dyDescent="0.25">
      <c r="A137" s="466" t="s">
        <v>133</v>
      </c>
      <c r="B137" s="460">
        <v>902</v>
      </c>
      <c r="C137" s="462" t="s">
        <v>118</v>
      </c>
      <c r="D137" s="462" t="s">
        <v>140</v>
      </c>
      <c r="E137" s="462" t="s">
        <v>868</v>
      </c>
      <c r="F137" s="462" t="s">
        <v>134</v>
      </c>
      <c r="G137" s="467">
        <v>1200</v>
      </c>
      <c r="H137" s="467">
        <f t="shared" si="4"/>
        <v>1200</v>
      </c>
      <c r="I137" s="204"/>
    </row>
    <row r="138" spans="1:9" ht="47.25" x14ac:dyDescent="0.25">
      <c r="A138" s="466" t="s">
        <v>839</v>
      </c>
      <c r="B138" s="460">
        <v>902</v>
      </c>
      <c r="C138" s="462" t="s">
        <v>118</v>
      </c>
      <c r="D138" s="462" t="s">
        <v>140</v>
      </c>
      <c r="E138" s="462" t="s">
        <v>869</v>
      </c>
      <c r="F138" s="462"/>
      <c r="G138" s="467">
        <f>G139</f>
        <v>128</v>
      </c>
      <c r="H138" s="467">
        <f>H139</f>
        <v>128</v>
      </c>
      <c r="I138" s="204"/>
    </row>
    <row r="139" spans="1:9" ht="78.75" x14ac:dyDescent="0.25">
      <c r="A139" s="466" t="s">
        <v>127</v>
      </c>
      <c r="B139" s="460">
        <v>902</v>
      </c>
      <c r="C139" s="462" t="s">
        <v>118</v>
      </c>
      <c r="D139" s="462" t="s">
        <v>140</v>
      </c>
      <c r="E139" s="462" t="s">
        <v>869</v>
      </c>
      <c r="F139" s="462" t="s">
        <v>128</v>
      </c>
      <c r="G139" s="467">
        <f>G140</f>
        <v>128</v>
      </c>
      <c r="H139" s="467">
        <f>H140</f>
        <v>128</v>
      </c>
      <c r="I139" s="204"/>
    </row>
    <row r="140" spans="1:9" ht="15.75" x14ac:dyDescent="0.25">
      <c r="A140" s="466" t="s">
        <v>208</v>
      </c>
      <c r="B140" s="460">
        <v>902</v>
      </c>
      <c r="C140" s="462" t="s">
        <v>118</v>
      </c>
      <c r="D140" s="462" t="s">
        <v>140</v>
      </c>
      <c r="E140" s="462" t="s">
        <v>869</v>
      </c>
      <c r="F140" s="462" t="s">
        <v>209</v>
      </c>
      <c r="G140" s="467">
        <v>128</v>
      </c>
      <c r="H140" s="467">
        <f t="shared" si="4"/>
        <v>128</v>
      </c>
      <c r="I140" s="204"/>
    </row>
    <row r="141" spans="1:9" ht="47.25" x14ac:dyDescent="0.25">
      <c r="A141" s="34" t="s">
        <v>1225</v>
      </c>
      <c r="B141" s="461">
        <v>902</v>
      </c>
      <c r="C141" s="465" t="s">
        <v>118</v>
      </c>
      <c r="D141" s="465" t="s">
        <v>140</v>
      </c>
      <c r="E141" s="465" t="s">
        <v>324</v>
      </c>
      <c r="F141" s="465"/>
      <c r="G141" s="463">
        <f>G143</f>
        <v>12</v>
      </c>
      <c r="H141" s="463">
        <f>H143</f>
        <v>40</v>
      </c>
      <c r="I141" s="204"/>
    </row>
    <row r="142" spans="1:9" ht="63" x14ac:dyDescent="0.25">
      <c r="A142" s="34" t="s">
        <v>1025</v>
      </c>
      <c r="B142" s="461">
        <v>902</v>
      </c>
      <c r="C142" s="465" t="s">
        <v>118</v>
      </c>
      <c r="D142" s="465" t="s">
        <v>140</v>
      </c>
      <c r="E142" s="465" t="s">
        <v>934</v>
      </c>
      <c r="F142" s="465"/>
      <c r="G142" s="463">
        <f>G145</f>
        <v>12</v>
      </c>
      <c r="H142" s="463">
        <f>H145</f>
        <v>40</v>
      </c>
      <c r="I142" s="204"/>
    </row>
    <row r="143" spans="1:9" ht="47.25" x14ac:dyDescent="0.25">
      <c r="A143" s="31" t="s">
        <v>1083</v>
      </c>
      <c r="B143" s="460">
        <v>902</v>
      </c>
      <c r="C143" s="462" t="s">
        <v>118</v>
      </c>
      <c r="D143" s="462" t="s">
        <v>140</v>
      </c>
      <c r="E143" s="462" t="s">
        <v>1026</v>
      </c>
      <c r="F143" s="462"/>
      <c r="G143" s="467">
        <f>G144</f>
        <v>12</v>
      </c>
      <c r="H143" s="467">
        <f>H144</f>
        <v>40</v>
      </c>
      <c r="I143" s="204"/>
    </row>
    <row r="144" spans="1:9" ht="31.5" x14ac:dyDescent="0.25">
      <c r="A144" s="466" t="s">
        <v>131</v>
      </c>
      <c r="B144" s="460">
        <v>902</v>
      </c>
      <c r="C144" s="462" t="s">
        <v>118</v>
      </c>
      <c r="D144" s="462" t="s">
        <v>140</v>
      </c>
      <c r="E144" s="462" t="s">
        <v>1026</v>
      </c>
      <c r="F144" s="462" t="s">
        <v>132</v>
      </c>
      <c r="G144" s="467">
        <f>G145</f>
        <v>12</v>
      </c>
      <c r="H144" s="467">
        <f>H145</f>
        <v>40</v>
      </c>
      <c r="I144" s="204"/>
    </row>
    <row r="145" spans="1:9" ht="31.5" x14ac:dyDescent="0.25">
      <c r="A145" s="466" t="s">
        <v>133</v>
      </c>
      <c r="B145" s="460">
        <v>902</v>
      </c>
      <c r="C145" s="462" t="s">
        <v>118</v>
      </c>
      <c r="D145" s="462" t="s">
        <v>140</v>
      </c>
      <c r="E145" s="462" t="s">
        <v>1026</v>
      </c>
      <c r="F145" s="462" t="s">
        <v>134</v>
      </c>
      <c r="G145" s="467">
        <v>12</v>
      </c>
      <c r="H145" s="467">
        <v>40</v>
      </c>
      <c r="I145" s="204"/>
    </row>
    <row r="146" spans="1:9" ht="54.75" customHeight="1" x14ac:dyDescent="0.25">
      <c r="A146" s="470" t="s">
        <v>1352</v>
      </c>
      <c r="B146" s="461">
        <v>902</v>
      </c>
      <c r="C146" s="465" t="s">
        <v>118</v>
      </c>
      <c r="D146" s="465" t="s">
        <v>140</v>
      </c>
      <c r="E146" s="465" t="s">
        <v>705</v>
      </c>
      <c r="F146" s="474"/>
      <c r="G146" s="463">
        <f>G147+G151</f>
        <v>43</v>
      </c>
      <c r="H146" s="463">
        <f>H147+H151</f>
        <v>43</v>
      </c>
      <c r="I146" s="204"/>
    </row>
    <row r="147" spans="1:9" ht="47.25" x14ac:dyDescent="0.25">
      <c r="A147" s="210" t="s">
        <v>846</v>
      </c>
      <c r="B147" s="461">
        <v>902</v>
      </c>
      <c r="C147" s="465" t="s">
        <v>118</v>
      </c>
      <c r="D147" s="465" t="s">
        <v>140</v>
      </c>
      <c r="E147" s="465" t="s">
        <v>852</v>
      </c>
      <c r="F147" s="474"/>
      <c r="G147" s="463">
        <f t="shared" ref="G147:H149" si="6">G148</f>
        <v>28</v>
      </c>
      <c r="H147" s="463">
        <f t="shared" si="6"/>
        <v>28</v>
      </c>
      <c r="I147" s="204"/>
    </row>
    <row r="148" spans="1:9" ht="31.5" x14ac:dyDescent="0.25">
      <c r="A148" s="98" t="s">
        <v>776</v>
      </c>
      <c r="B148" s="460">
        <v>902</v>
      </c>
      <c r="C148" s="462" t="s">
        <v>118</v>
      </c>
      <c r="D148" s="462" t="s">
        <v>140</v>
      </c>
      <c r="E148" s="462" t="s">
        <v>847</v>
      </c>
      <c r="F148" s="468"/>
      <c r="G148" s="467">
        <f t="shared" si="6"/>
        <v>28</v>
      </c>
      <c r="H148" s="467">
        <f t="shared" si="6"/>
        <v>28</v>
      </c>
      <c r="I148" s="204"/>
    </row>
    <row r="149" spans="1:9" ht="31.5" x14ac:dyDescent="0.25">
      <c r="A149" s="466" t="s">
        <v>131</v>
      </c>
      <c r="B149" s="460">
        <v>902</v>
      </c>
      <c r="C149" s="462" t="s">
        <v>118</v>
      </c>
      <c r="D149" s="462" t="s">
        <v>140</v>
      </c>
      <c r="E149" s="462" t="s">
        <v>847</v>
      </c>
      <c r="F149" s="468" t="s">
        <v>132</v>
      </c>
      <c r="G149" s="467">
        <f t="shared" si="6"/>
        <v>28</v>
      </c>
      <c r="H149" s="467">
        <f t="shared" si="6"/>
        <v>28</v>
      </c>
      <c r="I149" s="204"/>
    </row>
    <row r="150" spans="1:9" ht="31.5" x14ac:dyDescent="0.25">
      <c r="A150" s="466" t="s">
        <v>133</v>
      </c>
      <c r="B150" s="460">
        <v>902</v>
      </c>
      <c r="C150" s="462" t="s">
        <v>118</v>
      </c>
      <c r="D150" s="462" t="s">
        <v>140</v>
      </c>
      <c r="E150" s="462" t="s">
        <v>847</v>
      </c>
      <c r="F150" s="468" t="s">
        <v>134</v>
      </c>
      <c r="G150" s="467">
        <v>28</v>
      </c>
      <c r="H150" s="467">
        <v>28</v>
      </c>
      <c r="I150" s="204"/>
    </row>
    <row r="151" spans="1:9" ht="31.5" x14ac:dyDescent="0.25">
      <c r="A151" s="473" t="s">
        <v>1023</v>
      </c>
      <c r="B151" s="461">
        <v>902</v>
      </c>
      <c r="C151" s="465" t="s">
        <v>118</v>
      </c>
      <c r="D151" s="465" t="s">
        <v>140</v>
      </c>
      <c r="E151" s="465" t="s">
        <v>853</v>
      </c>
      <c r="F151" s="474"/>
      <c r="G151" s="463">
        <f t="shared" ref="G151:H153" si="7">G152</f>
        <v>15</v>
      </c>
      <c r="H151" s="463">
        <f t="shared" si="7"/>
        <v>15</v>
      </c>
      <c r="I151" s="204"/>
    </row>
    <row r="152" spans="1:9" ht="31.5" x14ac:dyDescent="0.25">
      <c r="A152" s="98" t="s">
        <v>777</v>
      </c>
      <c r="B152" s="460">
        <v>902</v>
      </c>
      <c r="C152" s="462" t="s">
        <v>118</v>
      </c>
      <c r="D152" s="462" t="s">
        <v>140</v>
      </c>
      <c r="E152" s="462" t="s">
        <v>848</v>
      </c>
      <c r="F152" s="468"/>
      <c r="G152" s="467">
        <f t="shared" si="7"/>
        <v>15</v>
      </c>
      <c r="H152" s="467">
        <f t="shared" si="7"/>
        <v>15</v>
      </c>
      <c r="I152" s="204"/>
    </row>
    <row r="153" spans="1:9" ht="31.5" x14ac:dyDescent="0.25">
      <c r="A153" s="466" t="s">
        <v>131</v>
      </c>
      <c r="B153" s="460">
        <v>902</v>
      </c>
      <c r="C153" s="462" t="s">
        <v>118</v>
      </c>
      <c r="D153" s="462" t="s">
        <v>140</v>
      </c>
      <c r="E153" s="462" t="s">
        <v>848</v>
      </c>
      <c r="F153" s="468" t="s">
        <v>132</v>
      </c>
      <c r="G153" s="467">
        <f t="shared" si="7"/>
        <v>15</v>
      </c>
      <c r="H153" s="467">
        <f t="shared" si="7"/>
        <v>15</v>
      </c>
      <c r="I153" s="204"/>
    </row>
    <row r="154" spans="1:9" ht="31.5" x14ac:dyDescent="0.25">
      <c r="A154" s="466" t="s">
        <v>133</v>
      </c>
      <c r="B154" s="460">
        <v>902</v>
      </c>
      <c r="C154" s="462" t="s">
        <v>118</v>
      </c>
      <c r="D154" s="462" t="s">
        <v>140</v>
      </c>
      <c r="E154" s="462" t="s">
        <v>848</v>
      </c>
      <c r="F154" s="468" t="s">
        <v>134</v>
      </c>
      <c r="G154" s="467">
        <f>15</f>
        <v>15</v>
      </c>
      <c r="H154" s="467">
        <f t="shared" si="4"/>
        <v>15</v>
      </c>
      <c r="I154" s="204"/>
    </row>
    <row r="155" spans="1:9" ht="78.75" x14ac:dyDescent="0.25">
      <c r="A155" s="470" t="s">
        <v>1376</v>
      </c>
      <c r="B155" s="461">
        <v>902</v>
      </c>
      <c r="C155" s="8" t="s">
        <v>118</v>
      </c>
      <c r="D155" s="8" t="s">
        <v>140</v>
      </c>
      <c r="E155" s="536" t="s">
        <v>817</v>
      </c>
      <c r="F155" s="8"/>
      <c r="G155" s="463">
        <f t="shared" ref="G155:H158" si="8">G156</f>
        <v>45</v>
      </c>
      <c r="H155" s="463">
        <f t="shared" si="8"/>
        <v>50</v>
      </c>
      <c r="I155" s="204"/>
    </row>
    <row r="156" spans="1:9" ht="47.25" x14ac:dyDescent="0.25">
      <c r="A156" s="212" t="s">
        <v>854</v>
      </c>
      <c r="B156" s="461">
        <v>902</v>
      </c>
      <c r="C156" s="8" t="s">
        <v>118</v>
      </c>
      <c r="D156" s="8" t="s">
        <v>140</v>
      </c>
      <c r="E156" s="194" t="s">
        <v>1078</v>
      </c>
      <c r="F156" s="8"/>
      <c r="G156" s="463">
        <f t="shared" si="8"/>
        <v>45</v>
      </c>
      <c r="H156" s="463">
        <f t="shared" si="8"/>
        <v>50</v>
      </c>
      <c r="I156" s="204"/>
    </row>
    <row r="157" spans="1:9" ht="31.5" x14ac:dyDescent="0.25">
      <c r="A157" s="97" t="s">
        <v>171</v>
      </c>
      <c r="B157" s="460">
        <v>902</v>
      </c>
      <c r="C157" s="9" t="s">
        <v>118</v>
      </c>
      <c r="D157" s="9" t="s">
        <v>140</v>
      </c>
      <c r="E157" s="5" t="s">
        <v>855</v>
      </c>
      <c r="F157" s="9"/>
      <c r="G157" s="467">
        <f t="shared" si="8"/>
        <v>45</v>
      </c>
      <c r="H157" s="467">
        <f t="shared" si="8"/>
        <v>50</v>
      </c>
      <c r="I157" s="204"/>
    </row>
    <row r="158" spans="1:9" ht="31.5" x14ac:dyDescent="0.25">
      <c r="A158" s="466" t="s">
        <v>131</v>
      </c>
      <c r="B158" s="460">
        <v>902</v>
      </c>
      <c r="C158" s="9" t="s">
        <v>118</v>
      </c>
      <c r="D158" s="9" t="s">
        <v>140</v>
      </c>
      <c r="E158" s="5" t="s">
        <v>855</v>
      </c>
      <c r="F158" s="9" t="s">
        <v>132</v>
      </c>
      <c r="G158" s="467">
        <f t="shared" si="8"/>
        <v>45</v>
      </c>
      <c r="H158" s="467">
        <f t="shared" si="8"/>
        <v>50</v>
      </c>
      <c r="I158" s="204"/>
    </row>
    <row r="159" spans="1:9" ht="35.450000000000003" customHeight="1" x14ac:dyDescent="0.25">
      <c r="A159" s="466" t="s">
        <v>133</v>
      </c>
      <c r="B159" s="460">
        <v>902</v>
      </c>
      <c r="C159" s="9" t="s">
        <v>118</v>
      </c>
      <c r="D159" s="9" t="s">
        <v>140</v>
      </c>
      <c r="E159" s="5" t="s">
        <v>855</v>
      </c>
      <c r="F159" s="9" t="s">
        <v>134</v>
      </c>
      <c r="G159" s="467">
        <v>45</v>
      </c>
      <c r="H159" s="467">
        <v>50</v>
      </c>
      <c r="I159" s="204"/>
    </row>
    <row r="160" spans="1:9" ht="63" x14ac:dyDescent="0.25">
      <c r="A160" s="470" t="s">
        <v>1354</v>
      </c>
      <c r="B160" s="461">
        <v>902</v>
      </c>
      <c r="C160" s="8" t="s">
        <v>118</v>
      </c>
      <c r="D160" s="8" t="s">
        <v>140</v>
      </c>
      <c r="E160" s="194" t="s">
        <v>818</v>
      </c>
      <c r="F160" s="8"/>
      <c r="G160" s="463">
        <f>G162</f>
        <v>80</v>
      </c>
      <c r="H160" s="463">
        <f>H162</f>
        <v>90</v>
      </c>
      <c r="I160" s="204"/>
    </row>
    <row r="161" spans="1:9" ht="31.5" x14ac:dyDescent="0.25">
      <c r="A161" s="58" t="s">
        <v>856</v>
      </c>
      <c r="B161" s="461">
        <v>902</v>
      </c>
      <c r="C161" s="8" t="s">
        <v>118</v>
      </c>
      <c r="D161" s="8" t="s">
        <v>140</v>
      </c>
      <c r="E161" s="194" t="s">
        <v>864</v>
      </c>
      <c r="F161" s="8"/>
      <c r="G161" s="463">
        <f t="shared" ref="G161:H163" si="9">G162</f>
        <v>80</v>
      </c>
      <c r="H161" s="463">
        <f t="shared" si="9"/>
        <v>90</v>
      </c>
      <c r="I161" s="204"/>
    </row>
    <row r="162" spans="1:9" ht="15.75" x14ac:dyDescent="0.25">
      <c r="A162" s="45" t="s">
        <v>822</v>
      </c>
      <c r="B162" s="460">
        <v>902</v>
      </c>
      <c r="C162" s="9" t="s">
        <v>118</v>
      </c>
      <c r="D162" s="9" t="s">
        <v>140</v>
      </c>
      <c r="E162" s="5" t="s">
        <v>857</v>
      </c>
      <c r="F162" s="9"/>
      <c r="G162" s="467">
        <f t="shared" si="9"/>
        <v>80</v>
      </c>
      <c r="H162" s="467">
        <f t="shared" si="9"/>
        <v>90</v>
      </c>
      <c r="I162" s="204"/>
    </row>
    <row r="163" spans="1:9" ht="31.5" x14ac:dyDescent="0.25">
      <c r="A163" s="466" t="s">
        <v>131</v>
      </c>
      <c r="B163" s="460">
        <v>902</v>
      </c>
      <c r="C163" s="9" t="s">
        <v>118</v>
      </c>
      <c r="D163" s="9" t="s">
        <v>140</v>
      </c>
      <c r="E163" s="5" t="s">
        <v>857</v>
      </c>
      <c r="F163" s="9" t="s">
        <v>132</v>
      </c>
      <c r="G163" s="467">
        <f t="shared" si="9"/>
        <v>80</v>
      </c>
      <c r="H163" s="467">
        <f t="shared" si="9"/>
        <v>90</v>
      </c>
      <c r="I163" s="204"/>
    </row>
    <row r="164" spans="1:9" ht="31.5" x14ac:dyDescent="0.25">
      <c r="A164" s="466" t="s">
        <v>133</v>
      </c>
      <c r="B164" s="460">
        <v>902</v>
      </c>
      <c r="C164" s="9" t="s">
        <v>118</v>
      </c>
      <c r="D164" s="9" t="s">
        <v>140</v>
      </c>
      <c r="E164" s="5" t="s">
        <v>857</v>
      </c>
      <c r="F164" s="9" t="s">
        <v>134</v>
      </c>
      <c r="G164" s="467">
        <v>80</v>
      </c>
      <c r="H164" s="467">
        <v>90</v>
      </c>
      <c r="I164" s="204"/>
    </row>
    <row r="165" spans="1:9" ht="15.75" hidden="1" x14ac:dyDescent="0.25">
      <c r="A165" s="464" t="s">
        <v>212</v>
      </c>
      <c r="B165" s="461">
        <v>902</v>
      </c>
      <c r="C165" s="465" t="s">
        <v>213</v>
      </c>
      <c r="D165" s="465"/>
      <c r="E165" s="465"/>
      <c r="F165" s="465"/>
      <c r="G165" s="463">
        <f t="shared" ref="G165:H168" si="10">G166</f>
        <v>0</v>
      </c>
      <c r="H165" s="463">
        <f t="shared" si="10"/>
        <v>0</v>
      </c>
      <c r="I165" s="204"/>
    </row>
    <row r="166" spans="1:9" ht="17.100000000000001" hidden="1" customHeight="1" x14ac:dyDescent="0.25">
      <c r="A166" s="464" t="s">
        <v>218</v>
      </c>
      <c r="B166" s="461">
        <v>902</v>
      </c>
      <c r="C166" s="465" t="s">
        <v>213</v>
      </c>
      <c r="D166" s="465" t="s">
        <v>219</v>
      </c>
      <c r="E166" s="465"/>
      <c r="F166" s="465"/>
      <c r="G166" s="463">
        <f t="shared" si="10"/>
        <v>0</v>
      </c>
      <c r="H166" s="463">
        <f t="shared" si="10"/>
        <v>0</v>
      </c>
      <c r="I166" s="204"/>
    </row>
    <row r="167" spans="1:9" ht="15.75" hidden="1" x14ac:dyDescent="0.25">
      <c r="A167" s="464" t="s">
        <v>141</v>
      </c>
      <c r="B167" s="461">
        <v>902</v>
      </c>
      <c r="C167" s="465" t="s">
        <v>213</v>
      </c>
      <c r="D167" s="465" t="s">
        <v>219</v>
      </c>
      <c r="E167" s="465" t="s">
        <v>866</v>
      </c>
      <c r="F167" s="465"/>
      <c r="G167" s="463">
        <f t="shared" si="10"/>
        <v>0</v>
      </c>
      <c r="H167" s="463">
        <f t="shared" si="10"/>
        <v>0</v>
      </c>
      <c r="I167" s="204"/>
    </row>
    <row r="168" spans="1:9" ht="31.5" hidden="1" x14ac:dyDescent="0.25">
      <c r="A168" s="464" t="s">
        <v>870</v>
      </c>
      <c r="B168" s="461">
        <v>902</v>
      </c>
      <c r="C168" s="465" t="s">
        <v>213</v>
      </c>
      <c r="D168" s="465" t="s">
        <v>219</v>
      </c>
      <c r="E168" s="465" t="s">
        <v>865</v>
      </c>
      <c r="F168" s="465"/>
      <c r="G168" s="463">
        <f t="shared" si="10"/>
        <v>0</v>
      </c>
      <c r="H168" s="463">
        <f t="shared" si="10"/>
        <v>0</v>
      </c>
      <c r="I168" s="204"/>
    </row>
    <row r="169" spans="1:9" ht="15.75" hidden="1" x14ac:dyDescent="0.25">
      <c r="A169" s="466" t="s">
        <v>220</v>
      </c>
      <c r="B169" s="460">
        <v>902</v>
      </c>
      <c r="C169" s="462" t="s">
        <v>213</v>
      </c>
      <c r="D169" s="462" t="s">
        <v>219</v>
      </c>
      <c r="E169" s="462" t="s">
        <v>871</v>
      </c>
      <c r="F169" s="462"/>
      <c r="G169" s="467">
        <f>'[1]Пр.5 ведом.21'!G160</f>
        <v>0</v>
      </c>
      <c r="H169" s="467">
        <f t="shared" si="4"/>
        <v>0</v>
      </c>
      <c r="I169" s="204"/>
    </row>
    <row r="170" spans="1:9" ht="31.5" hidden="1" x14ac:dyDescent="0.25">
      <c r="A170" s="466" t="s">
        <v>198</v>
      </c>
      <c r="B170" s="460">
        <v>902</v>
      </c>
      <c r="C170" s="462" t="s">
        <v>213</v>
      </c>
      <c r="D170" s="462" t="s">
        <v>219</v>
      </c>
      <c r="E170" s="462" t="s">
        <v>871</v>
      </c>
      <c r="F170" s="462" t="s">
        <v>132</v>
      </c>
      <c r="G170" s="467">
        <f>'[1]Пр.5 ведом.21'!G161</f>
        <v>0</v>
      </c>
      <c r="H170" s="467">
        <f t="shared" si="4"/>
        <v>0</v>
      </c>
      <c r="I170" s="204"/>
    </row>
    <row r="171" spans="1:9" ht="31.5" hidden="1" x14ac:dyDescent="0.25">
      <c r="A171" s="466" t="s">
        <v>133</v>
      </c>
      <c r="B171" s="460">
        <v>902</v>
      </c>
      <c r="C171" s="462" t="s">
        <v>213</v>
      </c>
      <c r="D171" s="462" t="s">
        <v>219</v>
      </c>
      <c r="E171" s="462" t="s">
        <v>871</v>
      </c>
      <c r="F171" s="462" t="s">
        <v>134</v>
      </c>
      <c r="G171" s="467">
        <f>'[1]Пр.5 ведом.21'!G162</f>
        <v>0</v>
      </c>
      <c r="H171" s="467">
        <f t="shared" si="4"/>
        <v>0</v>
      </c>
      <c r="I171" s="204"/>
    </row>
    <row r="172" spans="1:9" ht="31.5" x14ac:dyDescent="0.25">
      <c r="A172" s="464" t="s">
        <v>222</v>
      </c>
      <c r="B172" s="461">
        <v>902</v>
      </c>
      <c r="C172" s="465" t="s">
        <v>215</v>
      </c>
      <c r="D172" s="465"/>
      <c r="E172" s="465"/>
      <c r="F172" s="465"/>
      <c r="G172" s="463">
        <f>G173</f>
        <v>8090.1</v>
      </c>
      <c r="H172" s="463">
        <f>H173</f>
        <v>8090.1</v>
      </c>
      <c r="I172" s="204"/>
    </row>
    <row r="173" spans="1:9" ht="47.25" x14ac:dyDescent="0.25">
      <c r="A173" s="464" t="s">
        <v>1356</v>
      </c>
      <c r="B173" s="461">
        <v>902</v>
      </c>
      <c r="C173" s="465" t="s">
        <v>215</v>
      </c>
      <c r="D173" s="465" t="s">
        <v>244</v>
      </c>
      <c r="E173" s="462"/>
      <c r="F173" s="462"/>
      <c r="G173" s="463">
        <f>G174</f>
        <v>8090.1</v>
      </c>
      <c r="H173" s="463">
        <f>H174</f>
        <v>8090.1</v>
      </c>
      <c r="I173" s="204"/>
    </row>
    <row r="174" spans="1:9" ht="15.75" x14ac:dyDescent="0.25">
      <c r="A174" s="464" t="s">
        <v>141</v>
      </c>
      <c r="B174" s="461">
        <v>902</v>
      </c>
      <c r="C174" s="465" t="s">
        <v>215</v>
      </c>
      <c r="D174" s="465" t="s">
        <v>244</v>
      </c>
      <c r="E174" s="465" t="s">
        <v>866</v>
      </c>
      <c r="F174" s="465"/>
      <c r="G174" s="463">
        <f>G175+G182</f>
        <v>8090.1</v>
      </c>
      <c r="H174" s="463">
        <f>H175+H182</f>
        <v>8090.1</v>
      </c>
      <c r="I174" s="204"/>
    </row>
    <row r="175" spans="1:9" ht="31.5" x14ac:dyDescent="0.25">
      <c r="A175" s="464" t="s">
        <v>870</v>
      </c>
      <c r="B175" s="461">
        <v>902</v>
      </c>
      <c r="C175" s="465" t="s">
        <v>215</v>
      </c>
      <c r="D175" s="465" t="s">
        <v>244</v>
      </c>
      <c r="E175" s="465" t="s">
        <v>865</v>
      </c>
      <c r="F175" s="465"/>
      <c r="G175" s="463">
        <f>G176+G179</f>
        <v>1982</v>
      </c>
      <c r="H175" s="463">
        <f>H176+H179</f>
        <v>1982</v>
      </c>
      <c r="I175" s="204"/>
    </row>
    <row r="176" spans="1:9" ht="47.25" x14ac:dyDescent="0.25">
      <c r="A176" s="466" t="s">
        <v>224</v>
      </c>
      <c r="B176" s="460">
        <v>902</v>
      </c>
      <c r="C176" s="462" t="s">
        <v>215</v>
      </c>
      <c r="D176" s="462" t="s">
        <v>244</v>
      </c>
      <c r="E176" s="462" t="s">
        <v>875</v>
      </c>
      <c r="F176" s="462"/>
      <c r="G176" s="467">
        <f>G177</f>
        <v>1785</v>
      </c>
      <c r="H176" s="467">
        <f>H177</f>
        <v>1785</v>
      </c>
      <c r="I176" s="204"/>
    </row>
    <row r="177" spans="1:9" ht="31.5" x14ac:dyDescent="0.25">
      <c r="A177" s="466" t="s">
        <v>198</v>
      </c>
      <c r="B177" s="460">
        <v>902</v>
      </c>
      <c r="C177" s="462" t="s">
        <v>215</v>
      </c>
      <c r="D177" s="462" t="s">
        <v>244</v>
      </c>
      <c r="E177" s="462" t="s">
        <v>875</v>
      </c>
      <c r="F177" s="462" t="s">
        <v>132</v>
      </c>
      <c r="G177" s="467">
        <f>G178</f>
        <v>1785</v>
      </c>
      <c r="H177" s="467">
        <f>H178</f>
        <v>1785</v>
      </c>
      <c r="I177" s="204"/>
    </row>
    <row r="178" spans="1:9" ht="31.5" x14ac:dyDescent="0.25">
      <c r="A178" s="466" t="s">
        <v>133</v>
      </c>
      <c r="B178" s="460">
        <v>902</v>
      </c>
      <c r="C178" s="462" t="s">
        <v>215</v>
      </c>
      <c r="D178" s="462" t="s">
        <v>244</v>
      </c>
      <c r="E178" s="462" t="s">
        <v>875</v>
      </c>
      <c r="F178" s="462" t="s">
        <v>134</v>
      </c>
      <c r="G178" s="467">
        <f>1785</f>
        <v>1785</v>
      </c>
      <c r="H178" s="467">
        <f t="shared" si="4"/>
        <v>1785</v>
      </c>
      <c r="I178" s="204"/>
    </row>
    <row r="179" spans="1:9" ht="15.75" x14ac:dyDescent="0.25">
      <c r="A179" s="466" t="s">
        <v>230</v>
      </c>
      <c r="B179" s="460">
        <v>902</v>
      </c>
      <c r="C179" s="462" t="s">
        <v>215</v>
      </c>
      <c r="D179" s="462" t="s">
        <v>244</v>
      </c>
      <c r="E179" s="462" t="s">
        <v>876</v>
      </c>
      <c r="F179" s="462"/>
      <c r="G179" s="467">
        <f>G180</f>
        <v>197</v>
      </c>
      <c r="H179" s="467">
        <f>H180</f>
        <v>197</v>
      </c>
      <c r="I179" s="204"/>
    </row>
    <row r="180" spans="1:9" ht="31.5" x14ac:dyDescent="0.25">
      <c r="A180" s="466" t="s">
        <v>198</v>
      </c>
      <c r="B180" s="460">
        <v>902</v>
      </c>
      <c r="C180" s="462" t="s">
        <v>215</v>
      </c>
      <c r="D180" s="462" t="s">
        <v>244</v>
      </c>
      <c r="E180" s="462" t="s">
        <v>876</v>
      </c>
      <c r="F180" s="462" t="s">
        <v>132</v>
      </c>
      <c r="G180" s="467">
        <f>G181</f>
        <v>197</v>
      </c>
      <c r="H180" s="467">
        <f>H181</f>
        <v>197</v>
      </c>
      <c r="I180" s="204"/>
    </row>
    <row r="181" spans="1:9" ht="31.5" x14ac:dyDescent="0.25">
      <c r="A181" s="466" t="s">
        <v>133</v>
      </c>
      <c r="B181" s="460">
        <v>902</v>
      </c>
      <c r="C181" s="462" t="s">
        <v>215</v>
      </c>
      <c r="D181" s="462" t="s">
        <v>244</v>
      </c>
      <c r="E181" s="462" t="s">
        <v>876</v>
      </c>
      <c r="F181" s="462" t="s">
        <v>134</v>
      </c>
      <c r="G181" s="467">
        <f>197</f>
        <v>197</v>
      </c>
      <c r="H181" s="467">
        <f t="shared" ref="H181:H241" si="11">G181</f>
        <v>197</v>
      </c>
      <c r="I181" s="204"/>
    </row>
    <row r="182" spans="1:9" ht="31.5" x14ac:dyDescent="0.25">
      <c r="A182" s="464" t="s">
        <v>923</v>
      </c>
      <c r="B182" s="461">
        <v>902</v>
      </c>
      <c r="C182" s="465" t="s">
        <v>215</v>
      </c>
      <c r="D182" s="465" t="s">
        <v>244</v>
      </c>
      <c r="E182" s="465" t="s">
        <v>872</v>
      </c>
      <c r="F182" s="465"/>
      <c r="G182" s="463">
        <f>G183+G188</f>
        <v>6108.1</v>
      </c>
      <c r="H182" s="463">
        <f>H183+H188</f>
        <v>6108.1</v>
      </c>
      <c r="I182" s="204"/>
    </row>
    <row r="183" spans="1:9" ht="31.5" x14ac:dyDescent="0.25">
      <c r="A183" s="466" t="s">
        <v>927</v>
      </c>
      <c r="B183" s="460">
        <v>902</v>
      </c>
      <c r="C183" s="462" t="s">
        <v>215</v>
      </c>
      <c r="D183" s="462" t="s">
        <v>244</v>
      </c>
      <c r="E183" s="462" t="s">
        <v>873</v>
      </c>
      <c r="F183" s="462"/>
      <c r="G183" s="467">
        <f>G184+G186</f>
        <v>5856.1</v>
      </c>
      <c r="H183" s="467">
        <f>H184+H186</f>
        <v>5856.1</v>
      </c>
      <c r="I183" s="204"/>
    </row>
    <row r="184" spans="1:9" ht="78.75" x14ac:dyDescent="0.25">
      <c r="A184" s="466" t="s">
        <v>127</v>
      </c>
      <c r="B184" s="460">
        <v>902</v>
      </c>
      <c r="C184" s="462" t="s">
        <v>215</v>
      </c>
      <c r="D184" s="462" t="s">
        <v>244</v>
      </c>
      <c r="E184" s="462" t="s">
        <v>873</v>
      </c>
      <c r="F184" s="462" t="s">
        <v>128</v>
      </c>
      <c r="G184" s="467">
        <f>G185</f>
        <v>5693.1</v>
      </c>
      <c r="H184" s="467">
        <f t="shared" si="11"/>
        <v>5693.1</v>
      </c>
      <c r="I184" s="204"/>
    </row>
    <row r="185" spans="1:9" ht="15.75" x14ac:dyDescent="0.25">
      <c r="A185" s="466" t="s">
        <v>208</v>
      </c>
      <c r="B185" s="460">
        <v>902</v>
      </c>
      <c r="C185" s="462" t="s">
        <v>215</v>
      </c>
      <c r="D185" s="462" t="s">
        <v>244</v>
      </c>
      <c r="E185" s="462" t="s">
        <v>873</v>
      </c>
      <c r="F185" s="462" t="s">
        <v>209</v>
      </c>
      <c r="G185" s="467">
        <v>5693.1</v>
      </c>
      <c r="H185" s="467">
        <f t="shared" si="11"/>
        <v>5693.1</v>
      </c>
      <c r="I185" s="204"/>
    </row>
    <row r="186" spans="1:9" ht="31.5" x14ac:dyDescent="0.25">
      <c r="A186" s="466" t="s">
        <v>198</v>
      </c>
      <c r="B186" s="460">
        <v>902</v>
      </c>
      <c r="C186" s="462" t="s">
        <v>215</v>
      </c>
      <c r="D186" s="462" t="s">
        <v>244</v>
      </c>
      <c r="E186" s="462" t="s">
        <v>873</v>
      </c>
      <c r="F186" s="462" t="s">
        <v>132</v>
      </c>
      <c r="G186" s="467">
        <f>G187</f>
        <v>163</v>
      </c>
      <c r="H186" s="467">
        <f>H187</f>
        <v>163</v>
      </c>
      <c r="I186" s="204"/>
    </row>
    <row r="187" spans="1:9" ht="31.5" x14ac:dyDescent="0.25">
      <c r="A187" s="466" t="s">
        <v>133</v>
      </c>
      <c r="B187" s="460">
        <v>902</v>
      </c>
      <c r="C187" s="462" t="s">
        <v>215</v>
      </c>
      <c r="D187" s="462" t="s">
        <v>244</v>
      </c>
      <c r="E187" s="462" t="s">
        <v>873</v>
      </c>
      <c r="F187" s="462" t="s">
        <v>134</v>
      </c>
      <c r="G187" s="467">
        <f>163</f>
        <v>163</v>
      </c>
      <c r="H187" s="467">
        <f t="shared" si="11"/>
        <v>163</v>
      </c>
      <c r="I187" s="204"/>
    </row>
    <row r="188" spans="1:9" ht="47.25" x14ac:dyDescent="0.25">
      <c r="A188" s="466" t="s">
        <v>839</v>
      </c>
      <c r="B188" s="460">
        <v>902</v>
      </c>
      <c r="C188" s="462" t="s">
        <v>215</v>
      </c>
      <c r="D188" s="462" t="s">
        <v>244</v>
      </c>
      <c r="E188" s="462" t="s">
        <v>874</v>
      </c>
      <c r="F188" s="462"/>
      <c r="G188" s="467">
        <f>G189</f>
        <v>252</v>
      </c>
      <c r="H188" s="467">
        <f>H189</f>
        <v>252</v>
      </c>
      <c r="I188" s="204"/>
    </row>
    <row r="189" spans="1:9" ht="78.75" x14ac:dyDescent="0.25">
      <c r="A189" s="466" t="s">
        <v>127</v>
      </c>
      <c r="B189" s="460">
        <v>902</v>
      </c>
      <c r="C189" s="462" t="s">
        <v>215</v>
      </c>
      <c r="D189" s="462" t="s">
        <v>244</v>
      </c>
      <c r="E189" s="462" t="s">
        <v>874</v>
      </c>
      <c r="F189" s="462" t="s">
        <v>128</v>
      </c>
      <c r="G189" s="467">
        <f>G190</f>
        <v>252</v>
      </c>
      <c r="H189" s="467">
        <f>H190</f>
        <v>252</v>
      </c>
      <c r="I189" s="204"/>
    </row>
    <row r="190" spans="1:9" ht="19.5" customHeight="1" x14ac:dyDescent="0.25">
      <c r="A190" s="466" t="s">
        <v>208</v>
      </c>
      <c r="B190" s="460">
        <v>902</v>
      </c>
      <c r="C190" s="462" t="s">
        <v>215</v>
      </c>
      <c r="D190" s="462" t="s">
        <v>244</v>
      </c>
      <c r="E190" s="462" t="s">
        <v>874</v>
      </c>
      <c r="F190" s="462" t="s">
        <v>209</v>
      </c>
      <c r="G190" s="467">
        <f>252</f>
        <v>252</v>
      </c>
      <c r="H190" s="467">
        <f t="shared" si="11"/>
        <v>252</v>
      </c>
      <c r="I190" s="204"/>
    </row>
    <row r="191" spans="1:9" ht="15.75" x14ac:dyDescent="0.25">
      <c r="A191" s="464" t="s">
        <v>232</v>
      </c>
      <c r="B191" s="461">
        <v>902</v>
      </c>
      <c r="C191" s="465" t="s">
        <v>150</v>
      </c>
      <c r="D191" s="465"/>
      <c r="E191" s="465"/>
      <c r="F191" s="462"/>
      <c r="G191" s="463">
        <f>G205+G192</f>
        <v>688.2</v>
      </c>
      <c r="H191" s="463">
        <f>H205+H192</f>
        <v>698.8</v>
      </c>
      <c r="I191" s="204"/>
    </row>
    <row r="192" spans="1:9" ht="15.75" x14ac:dyDescent="0.25">
      <c r="A192" s="464" t="s">
        <v>233</v>
      </c>
      <c r="B192" s="461">
        <v>902</v>
      </c>
      <c r="C192" s="465" t="s">
        <v>150</v>
      </c>
      <c r="D192" s="465" t="s">
        <v>234</v>
      </c>
      <c r="E192" s="465"/>
      <c r="F192" s="462"/>
      <c r="G192" s="463">
        <f>G193</f>
        <v>274</v>
      </c>
      <c r="H192" s="463">
        <f>H193</f>
        <v>274</v>
      </c>
      <c r="I192" s="204"/>
    </row>
    <row r="193" spans="1:9" ht="31.5" x14ac:dyDescent="0.25">
      <c r="A193" s="34" t="s">
        <v>1355</v>
      </c>
      <c r="B193" s="461">
        <v>902</v>
      </c>
      <c r="C193" s="465" t="s">
        <v>150</v>
      </c>
      <c r="D193" s="465" t="s">
        <v>234</v>
      </c>
      <c r="E193" s="194" t="s">
        <v>182</v>
      </c>
      <c r="F193" s="474"/>
      <c r="G193" s="463">
        <f>G194+G201</f>
        <v>274</v>
      </c>
      <c r="H193" s="463">
        <f>H194+H201</f>
        <v>274</v>
      </c>
      <c r="I193" s="204"/>
    </row>
    <row r="194" spans="1:9" ht="31.5" x14ac:dyDescent="0.25">
      <c r="A194" s="34" t="s">
        <v>1006</v>
      </c>
      <c r="B194" s="461">
        <v>902</v>
      </c>
      <c r="C194" s="465" t="s">
        <v>150</v>
      </c>
      <c r="D194" s="465" t="s">
        <v>234</v>
      </c>
      <c r="E194" s="248" t="s">
        <v>877</v>
      </c>
      <c r="F194" s="474"/>
      <c r="G194" s="463">
        <f>G195+G198</f>
        <v>274</v>
      </c>
      <c r="H194" s="463">
        <f>H195+H198</f>
        <v>274</v>
      </c>
      <c r="I194" s="204"/>
    </row>
    <row r="195" spans="1:9" ht="31.5" x14ac:dyDescent="0.25">
      <c r="A195" s="466" t="s">
        <v>235</v>
      </c>
      <c r="B195" s="460">
        <v>902</v>
      </c>
      <c r="C195" s="462" t="s">
        <v>150</v>
      </c>
      <c r="D195" s="462" t="s">
        <v>234</v>
      </c>
      <c r="E195" s="462" t="s">
        <v>898</v>
      </c>
      <c r="F195" s="468"/>
      <c r="G195" s="467">
        <f>G196</f>
        <v>274</v>
      </c>
      <c r="H195" s="467">
        <f>H196</f>
        <v>274</v>
      </c>
      <c r="I195" s="204"/>
    </row>
    <row r="196" spans="1:9" ht="15.75" x14ac:dyDescent="0.25">
      <c r="A196" s="29" t="s">
        <v>135</v>
      </c>
      <c r="B196" s="460">
        <v>902</v>
      </c>
      <c r="C196" s="462" t="s">
        <v>150</v>
      </c>
      <c r="D196" s="462" t="s">
        <v>234</v>
      </c>
      <c r="E196" s="462" t="s">
        <v>898</v>
      </c>
      <c r="F196" s="468" t="s">
        <v>145</v>
      </c>
      <c r="G196" s="467">
        <f>G197</f>
        <v>274</v>
      </c>
      <c r="H196" s="467">
        <f>H197</f>
        <v>274</v>
      </c>
      <c r="I196" s="204"/>
    </row>
    <row r="197" spans="1:9" ht="47.25" x14ac:dyDescent="0.25">
      <c r="A197" s="29" t="s">
        <v>184</v>
      </c>
      <c r="B197" s="460">
        <v>902</v>
      </c>
      <c r="C197" s="462" t="s">
        <v>150</v>
      </c>
      <c r="D197" s="462" t="s">
        <v>234</v>
      </c>
      <c r="E197" s="462" t="s">
        <v>898</v>
      </c>
      <c r="F197" s="468" t="s">
        <v>160</v>
      </c>
      <c r="G197" s="467">
        <f>19+255</f>
        <v>274</v>
      </c>
      <c r="H197" s="467">
        <f>19+255</f>
        <v>274</v>
      </c>
      <c r="I197" s="204"/>
    </row>
    <row r="198" spans="1:9" ht="31.5" hidden="1" x14ac:dyDescent="0.25">
      <c r="A198" s="466" t="s">
        <v>235</v>
      </c>
      <c r="B198" s="460">
        <v>902</v>
      </c>
      <c r="C198" s="462" t="s">
        <v>150</v>
      </c>
      <c r="D198" s="462" t="s">
        <v>234</v>
      </c>
      <c r="E198" s="462" t="s">
        <v>880</v>
      </c>
      <c r="F198" s="462"/>
      <c r="G198" s="467">
        <f>G199</f>
        <v>0</v>
      </c>
      <c r="H198" s="467">
        <f>H199</f>
        <v>0</v>
      </c>
      <c r="I198" s="204"/>
    </row>
    <row r="199" spans="1:9" ht="15.75" hidden="1" x14ac:dyDescent="0.25">
      <c r="A199" s="466" t="s">
        <v>135</v>
      </c>
      <c r="B199" s="460">
        <v>902</v>
      </c>
      <c r="C199" s="462" t="s">
        <v>150</v>
      </c>
      <c r="D199" s="462" t="s">
        <v>234</v>
      </c>
      <c r="E199" s="462" t="s">
        <v>880</v>
      </c>
      <c r="F199" s="462" t="s">
        <v>145</v>
      </c>
      <c r="G199" s="467">
        <f>G200</f>
        <v>0</v>
      </c>
      <c r="H199" s="467">
        <f>H200</f>
        <v>0</v>
      </c>
      <c r="I199" s="204"/>
    </row>
    <row r="200" spans="1:9" ht="47.25" hidden="1" x14ac:dyDescent="0.25">
      <c r="A200" s="466" t="s">
        <v>184</v>
      </c>
      <c r="B200" s="460">
        <v>902</v>
      </c>
      <c r="C200" s="462" t="s">
        <v>150</v>
      </c>
      <c r="D200" s="462" t="s">
        <v>234</v>
      </c>
      <c r="E200" s="462" t="s">
        <v>880</v>
      </c>
      <c r="F200" s="462" t="s">
        <v>160</v>
      </c>
      <c r="G200" s="467"/>
      <c r="H200" s="467"/>
      <c r="I200" s="204"/>
    </row>
    <row r="201" spans="1:9" ht="47.25" hidden="1" x14ac:dyDescent="0.25">
      <c r="A201" s="213" t="s">
        <v>1007</v>
      </c>
      <c r="B201" s="461">
        <v>902</v>
      </c>
      <c r="C201" s="465" t="s">
        <v>150</v>
      </c>
      <c r="D201" s="465" t="s">
        <v>234</v>
      </c>
      <c r="E201" s="194" t="s">
        <v>879</v>
      </c>
      <c r="F201" s="474"/>
      <c r="G201" s="463">
        <f t="shared" ref="G201:H203" si="12">G202</f>
        <v>0</v>
      </c>
      <c r="H201" s="463">
        <f t="shared" si="12"/>
        <v>0</v>
      </c>
      <c r="I201" s="204"/>
    </row>
    <row r="202" spans="1:9" ht="15.75" hidden="1" x14ac:dyDescent="0.25">
      <c r="A202" s="466" t="s">
        <v>878</v>
      </c>
      <c r="B202" s="460">
        <v>902</v>
      </c>
      <c r="C202" s="462" t="s">
        <v>150</v>
      </c>
      <c r="D202" s="462" t="s">
        <v>234</v>
      </c>
      <c r="E202" s="5" t="s">
        <v>899</v>
      </c>
      <c r="F202" s="468"/>
      <c r="G202" s="467">
        <f t="shared" si="12"/>
        <v>0</v>
      </c>
      <c r="H202" s="467">
        <f t="shared" si="12"/>
        <v>0</v>
      </c>
      <c r="I202" s="204"/>
    </row>
    <row r="203" spans="1:9" ht="15.75" hidden="1" x14ac:dyDescent="0.25">
      <c r="A203" s="29" t="s">
        <v>135</v>
      </c>
      <c r="B203" s="460">
        <v>902</v>
      </c>
      <c r="C203" s="462" t="s">
        <v>150</v>
      </c>
      <c r="D203" s="462" t="s">
        <v>234</v>
      </c>
      <c r="E203" s="5" t="s">
        <v>899</v>
      </c>
      <c r="F203" s="468" t="s">
        <v>145</v>
      </c>
      <c r="G203" s="467">
        <f t="shared" si="12"/>
        <v>0</v>
      </c>
      <c r="H203" s="467">
        <f t="shared" si="12"/>
        <v>0</v>
      </c>
      <c r="I203" s="204"/>
    </row>
    <row r="204" spans="1:9" ht="47.25" hidden="1" x14ac:dyDescent="0.25">
      <c r="A204" s="29" t="s">
        <v>184</v>
      </c>
      <c r="B204" s="460">
        <v>902</v>
      </c>
      <c r="C204" s="462" t="s">
        <v>150</v>
      </c>
      <c r="D204" s="462" t="s">
        <v>234</v>
      </c>
      <c r="E204" s="5" t="s">
        <v>899</v>
      </c>
      <c r="F204" s="468" t="s">
        <v>160</v>
      </c>
      <c r="G204" s="467">
        <v>0</v>
      </c>
      <c r="H204" s="467">
        <v>0</v>
      </c>
      <c r="I204" s="204"/>
    </row>
    <row r="205" spans="1:9" ht="31.5" x14ac:dyDescent="0.25">
      <c r="A205" s="464" t="s">
        <v>237</v>
      </c>
      <c r="B205" s="461">
        <v>902</v>
      </c>
      <c r="C205" s="465" t="s">
        <v>150</v>
      </c>
      <c r="D205" s="465" t="s">
        <v>238</v>
      </c>
      <c r="E205" s="465"/>
      <c r="F205" s="465"/>
      <c r="G205" s="463">
        <f>G206+G213</f>
        <v>414.2</v>
      </c>
      <c r="H205" s="463">
        <f>H206+H213</f>
        <v>424.8</v>
      </c>
      <c r="I205" s="204"/>
    </row>
    <row r="206" spans="1:9" ht="31.5" x14ac:dyDescent="0.25">
      <c r="A206" s="464" t="s">
        <v>917</v>
      </c>
      <c r="B206" s="461">
        <v>902</v>
      </c>
      <c r="C206" s="465" t="s">
        <v>150</v>
      </c>
      <c r="D206" s="465" t="s">
        <v>238</v>
      </c>
      <c r="E206" s="465" t="s">
        <v>858</v>
      </c>
      <c r="F206" s="465"/>
      <c r="G206" s="463">
        <f>G207</f>
        <v>264.2</v>
      </c>
      <c r="H206" s="463">
        <f>H207</f>
        <v>274.8</v>
      </c>
      <c r="I206" s="204"/>
    </row>
    <row r="207" spans="1:9" ht="31.5" x14ac:dyDescent="0.25">
      <c r="A207" s="464" t="s">
        <v>885</v>
      </c>
      <c r="B207" s="461">
        <v>902</v>
      </c>
      <c r="C207" s="465" t="s">
        <v>150</v>
      </c>
      <c r="D207" s="465" t="s">
        <v>238</v>
      </c>
      <c r="E207" s="465" t="s">
        <v>863</v>
      </c>
      <c r="F207" s="465"/>
      <c r="G207" s="463">
        <f>G208</f>
        <v>264.2</v>
      </c>
      <c r="H207" s="463">
        <f>H208</f>
        <v>274.8</v>
      </c>
      <c r="I207" s="204"/>
    </row>
    <row r="208" spans="1:9" ht="63" x14ac:dyDescent="0.25">
      <c r="A208" s="31" t="s">
        <v>241</v>
      </c>
      <c r="B208" s="460">
        <v>902</v>
      </c>
      <c r="C208" s="462" t="s">
        <v>150</v>
      </c>
      <c r="D208" s="462" t="s">
        <v>238</v>
      </c>
      <c r="E208" s="462" t="s">
        <v>924</v>
      </c>
      <c r="F208" s="462"/>
      <c r="G208" s="467">
        <f>G209+G211</f>
        <v>264.2</v>
      </c>
      <c r="H208" s="467">
        <f>H209+H211</f>
        <v>274.8</v>
      </c>
      <c r="I208" s="204"/>
    </row>
    <row r="209" spans="1:9" ht="78.75" x14ac:dyDescent="0.25">
      <c r="A209" s="466" t="s">
        <v>127</v>
      </c>
      <c r="B209" s="460">
        <v>902</v>
      </c>
      <c r="C209" s="462" t="s">
        <v>150</v>
      </c>
      <c r="D209" s="462" t="s">
        <v>238</v>
      </c>
      <c r="E209" s="462" t="s">
        <v>924</v>
      </c>
      <c r="F209" s="462" t="s">
        <v>128</v>
      </c>
      <c r="G209" s="467">
        <f>G210</f>
        <v>205.8</v>
      </c>
      <c r="H209" s="467">
        <f>H210</f>
        <v>205.8</v>
      </c>
      <c r="I209" s="204"/>
    </row>
    <row r="210" spans="1:9" ht="31.5" x14ac:dyDescent="0.25">
      <c r="A210" s="466" t="s">
        <v>129</v>
      </c>
      <c r="B210" s="460">
        <v>902</v>
      </c>
      <c r="C210" s="462" t="s">
        <v>150</v>
      </c>
      <c r="D210" s="462" t="s">
        <v>238</v>
      </c>
      <c r="E210" s="462" t="s">
        <v>924</v>
      </c>
      <c r="F210" s="462" t="s">
        <v>130</v>
      </c>
      <c r="G210" s="467">
        <f>187+18.8</f>
        <v>205.8</v>
      </c>
      <c r="H210" s="467">
        <f t="shared" si="11"/>
        <v>205.8</v>
      </c>
      <c r="I210" s="204"/>
    </row>
    <row r="211" spans="1:9" ht="31.5" x14ac:dyDescent="0.25">
      <c r="A211" s="466" t="s">
        <v>131</v>
      </c>
      <c r="B211" s="460">
        <v>902</v>
      </c>
      <c r="C211" s="462" t="s">
        <v>150</v>
      </c>
      <c r="D211" s="462" t="s">
        <v>238</v>
      </c>
      <c r="E211" s="462" t="s">
        <v>924</v>
      </c>
      <c r="F211" s="462" t="s">
        <v>132</v>
      </c>
      <c r="G211" s="467">
        <f>G212</f>
        <v>58.4</v>
      </c>
      <c r="H211" s="467">
        <f>H212</f>
        <v>69</v>
      </c>
      <c r="I211" s="204"/>
    </row>
    <row r="212" spans="1:9" ht="31.5" x14ac:dyDescent="0.25">
      <c r="A212" s="466" t="s">
        <v>133</v>
      </c>
      <c r="B212" s="460">
        <v>902</v>
      </c>
      <c r="C212" s="462" t="s">
        <v>150</v>
      </c>
      <c r="D212" s="462" t="s">
        <v>238</v>
      </c>
      <c r="E212" s="462" t="s">
        <v>924</v>
      </c>
      <c r="F212" s="462" t="s">
        <v>134</v>
      </c>
      <c r="G212" s="467">
        <f>101.8-43.4</f>
        <v>58.4</v>
      </c>
      <c r="H212" s="467">
        <v>69</v>
      </c>
      <c r="I212" s="204"/>
    </row>
    <row r="213" spans="1:9" ht="47.25" x14ac:dyDescent="0.25">
      <c r="A213" s="464" t="s">
        <v>1345</v>
      </c>
      <c r="B213" s="461">
        <v>902</v>
      </c>
      <c r="C213" s="465" t="s">
        <v>150</v>
      </c>
      <c r="D213" s="465" t="s">
        <v>238</v>
      </c>
      <c r="E213" s="465" t="s">
        <v>156</v>
      </c>
      <c r="F213" s="465"/>
      <c r="G213" s="463">
        <f t="shared" ref="G213:H215" si="13">G214</f>
        <v>150</v>
      </c>
      <c r="H213" s="463">
        <f t="shared" si="13"/>
        <v>150</v>
      </c>
      <c r="I213" s="204"/>
    </row>
    <row r="214" spans="1:9" ht="47.25" x14ac:dyDescent="0.25">
      <c r="A214" s="464" t="s">
        <v>1067</v>
      </c>
      <c r="B214" s="461">
        <v>902</v>
      </c>
      <c r="C214" s="465" t="s">
        <v>150</v>
      </c>
      <c r="D214" s="465" t="s">
        <v>238</v>
      </c>
      <c r="E214" s="465" t="s">
        <v>1064</v>
      </c>
      <c r="F214" s="465"/>
      <c r="G214" s="463">
        <f t="shared" si="13"/>
        <v>150</v>
      </c>
      <c r="H214" s="463">
        <f t="shared" si="13"/>
        <v>150</v>
      </c>
      <c r="I214" s="204"/>
    </row>
    <row r="215" spans="1:9" ht="31.5" x14ac:dyDescent="0.25">
      <c r="A215" s="466" t="s">
        <v>1068</v>
      </c>
      <c r="B215" s="460">
        <v>902</v>
      </c>
      <c r="C215" s="462" t="s">
        <v>150</v>
      </c>
      <c r="D215" s="462" t="s">
        <v>238</v>
      </c>
      <c r="E215" s="462" t="s">
        <v>1065</v>
      </c>
      <c r="F215" s="462"/>
      <c r="G215" s="467">
        <f t="shared" si="13"/>
        <v>150</v>
      </c>
      <c r="H215" s="467">
        <f t="shared" si="13"/>
        <v>150</v>
      </c>
      <c r="I215" s="204"/>
    </row>
    <row r="216" spans="1:9" ht="15.75" x14ac:dyDescent="0.25">
      <c r="A216" s="466" t="s">
        <v>135</v>
      </c>
      <c r="B216" s="460">
        <v>902</v>
      </c>
      <c r="C216" s="462" t="s">
        <v>150</v>
      </c>
      <c r="D216" s="462" t="s">
        <v>238</v>
      </c>
      <c r="E216" s="462" t="s">
        <v>1065</v>
      </c>
      <c r="F216" s="462" t="s">
        <v>145</v>
      </c>
      <c r="G216" s="467">
        <f>G217</f>
        <v>150</v>
      </c>
      <c r="H216" s="467">
        <f t="shared" si="11"/>
        <v>150</v>
      </c>
      <c r="I216" s="204"/>
    </row>
    <row r="217" spans="1:9" ht="47.25" x14ac:dyDescent="0.25">
      <c r="A217" s="466" t="s">
        <v>184</v>
      </c>
      <c r="B217" s="460">
        <v>902</v>
      </c>
      <c r="C217" s="462" t="s">
        <v>150</v>
      </c>
      <c r="D217" s="462" t="s">
        <v>238</v>
      </c>
      <c r="E217" s="462" t="s">
        <v>1065</v>
      </c>
      <c r="F217" s="462" t="s">
        <v>160</v>
      </c>
      <c r="G217" s="159">
        <v>150</v>
      </c>
      <c r="H217" s="159">
        <f t="shared" si="11"/>
        <v>150</v>
      </c>
      <c r="I217" s="204"/>
    </row>
    <row r="218" spans="1:9" ht="15.75" x14ac:dyDescent="0.25">
      <c r="A218" s="464" t="s">
        <v>243</v>
      </c>
      <c r="B218" s="461">
        <v>902</v>
      </c>
      <c r="C218" s="465" t="s">
        <v>244</v>
      </c>
      <c r="D218" s="465"/>
      <c r="E218" s="465"/>
      <c r="F218" s="465"/>
      <c r="G218" s="463">
        <f>G219+G225+G234</f>
        <v>13475.699999999999</v>
      </c>
      <c r="H218" s="463">
        <f>H219+H225+H234</f>
        <v>13431.699999999999</v>
      </c>
      <c r="I218" s="204"/>
    </row>
    <row r="219" spans="1:9" ht="15.75" x14ac:dyDescent="0.25">
      <c r="A219" s="464" t="s">
        <v>245</v>
      </c>
      <c r="B219" s="461">
        <v>902</v>
      </c>
      <c r="C219" s="465" t="s">
        <v>244</v>
      </c>
      <c r="D219" s="465" t="s">
        <v>118</v>
      </c>
      <c r="E219" s="465"/>
      <c r="F219" s="465"/>
      <c r="G219" s="463">
        <f t="shared" ref="G219:H223" si="14">G220</f>
        <v>9815.2999999999993</v>
      </c>
      <c r="H219" s="463">
        <f t="shared" si="14"/>
        <v>9815.2999999999993</v>
      </c>
      <c r="I219" s="204"/>
    </row>
    <row r="220" spans="1:9" ht="15.75" x14ac:dyDescent="0.25">
      <c r="A220" s="464" t="s">
        <v>141</v>
      </c>
      <c r="B220" s="461">
        <v>902</v>
      </c>
      <c r="C220" s="465" t="s">
        <v>244</v>
      </c>
      <c r="D220" s="465" t="s">
        <v>118</v>
      </c>
      <c r="E220" s="465" t="s">
        <v>866</v>
      </c>
      <c r="F220" s="465"/>
      <c r="G220" s="463">
        <f t="shared" si="14"/>
        <v>9815.2999999999993</v>
      </c>
      <c r="H220" s="463">
        <f t="shared" si="14"/>
        <v>9815.2999999999993</v>
      </c>
      <c r="I220" s="204"/>
    </row>
    <row r="221" spans="1:9" ht="31.5" x14ac:dyDescent="0.25">
      <c r="A221" s="464" t="s">
        <v>870</v>
      </c>
      <c r="B221" s="461">
        <v>902</v>
      </c>
      <c r="C221" s="465" t="s">
        <v>244</v>
      </c>
      <c r="D221" s="465" t="s">
        <v>118</v>
      </c>
      <c r="E221" s="465" t="s">
        <v>865</v>
      </c>
      <c r="F221" s="465"/>
      <c r="G221" s="463">
        <f t="shared" si="14"/>
        <v>9815.2999999999993</v>
      </c>
      <c r="H221" s="463">
        <f t="shared" si="14"/>
        <v>9815.2999999999993</v>
      </c>
      <c r="I221" s="204"/>
    </row>
    <row r="222" spans="1:9" ht="15.75" x14ac:dyDescent="0.25">
      <c r="A222" s="466" t="s">
        <v>246</v>
      </c>
      <c r="B222" s="460">
        <v>902</v>
      </c>
      <c r="C222" s="462" t="s">
        <v>244</v>
      </c>
      <c r="D222" s="462" t="s">
        <v>118</v>
      </c>
      <c r="E222" s="462" t="s">
        <v>881</v>
      </c>
      <c r="F222" s="462"/>
      <c r="G222" s="467">
        <f t="shared" si="14"/>
        <v>9815.2999999999993</v>
      </c>
      <c r="H222" s="467">
        <f t="shared" si="14"/>
        <v>9815.2999999999993</v>
      </c>
      <c r="I222" s="204"/>
    </row>
    <row r="223" spans="1:9" ht="22.7" customHeight="1" x14ac:dyDescent="0.25">
      <c r="A223" s="466" t="s">
        <v>248</v>
      </c>
      <c r="B223" s="460">
        <v>902</v>
      </c>
      <c r="C223" s="462" t="s">
        <v>244</v>
      </c>
      <c r="D223" s="462" t="s">
        <v>118</v>
      </c>
      <c r="E223" s="462" t="s">
        <v>881</v>
      </c>
      <c r="F223" s="462" t="s">
        <v>249</v>
      </c>
      <c r="G223" s="467">
        <f t="shared" si="14"/>
        <v>9815.2999999999993</v>
      </c>
      <c r="H223" s="467">
        <f t="shared" si="14"/>
        <v>9815.2999999999993</v>
      </c>
      <c r="I223" s="204"/>
    </row>
    <row r="224" spans="1:9" ht="31.5" x14ac:dyDescent="0.25">
      <c r="A224" s="466" t="s">
        <v>348</v>
      </c>
      <c r="B224" s="460">
        <v>902</v>
      </c>
      <c r="C224" s="462" t="s">
        <v>244</v>
      </c>
      <c r="D224" s="462" t="s">
        <v>118</v>
      </c>
      <c r="E224" s="462" t="s">
        <v>881</v>
      </c>
      <c r="F224" s="462" t="s">
        <v>349</v>
      </c>
      <c r="G224" s="467">
        <v>9815.2999999999993</v>
      </c>
      <c r="H224" s="467">
        <f t="shared" si="11"/>
        <v>9815.2999999999993</v>
      </c>
      <c r="I224" s="204"/>
    </row>
    <row r="225" spans="1:9" ht="15.75" x14ac:dyDescent="0.25">
      <c r="A225" s="464" t="s">
        <v>252</v>
      </c>
      <c r="B225" s="461">
        <v>902</v>
      </c>
      <c r="C225" s="465" t="s">
        <v>244</v>
      </c>
      <c r="D225" s="465" t="s">
        <v>215</v>
      </c>
      <c r="E225" s="462"/>
      <c r="F225" s="462"/>
      <c r="G225" s="463">
        <f>G226</f>
        <v>10</v>
      </c>
      <c r="H225" s="463">
        <f>H226</f>
        <v>10</v>
      </c>
      <c r="I225" s="204"/>
    </row>
    <row r="226" spans="1:9" ht="63" x14ac:dyDescent="0.25">
      <c r="A226" s="464" t="s">
        <v>1357</v>
      </c>
      <c r="B226" s="461">
        <v>902</v>
      </c>
      <c r="C226" s="465" t="s">
        <v>244</v>
      </c>
      <c r="D226" s="465" t="s">
        <v>215</v>
      </c>
      <c r="E226" s="465" t="s">
        <v>254</v>
      </c>
      <c r="F226" s="465"/>
      <c r="G226" s="463">
        <f>G227</f>
        <v>10</v>
      </c>
      <c r="H226" s="463">
        <f>H227</f>
        <v>10</v>
      </c>
      <c r="I226" s="204"/>
    </row>
    <row r="227" spans="1:9" ht="47.25" x14ac:dyDescent="0.25">
      <c r="A227" s="464" t="s">
        <v>884</v>
      </c>
      <c r="B227" s="461">
        <v>902</v>
      </c>
      <c r="C227" s="465" t="s">
        <v>244</v>
      </c>
      <c r="D227" s="465" t="s">
        <v>215</v>
      </c>
      <c r="E227" s="465" t="s">
        <v>882</v>
      </c>
      <c r="F227" s="465"/>
      <c r="G227" s="463">
        <f>G228+G231</f>
        <v>10</v>
      </c>
      <c r="H227" s="463">
        <f>H228+H231</f>
        <v>10</v>
      </c>
      <c r="I227" s="204"/>
    </row>
    <row r="228" spans="1:9" ht="31.5" x14ac:dyDescent="0.25">
      <c r="A228" s="466" t="s">
        <v>883</v>
      </c>
      <c r="B228" s="460">
        <v>902</v>
      </c>
      <c r="C228" s="462" t="s">
        <v>244</v>
      </c>
      <c r="D228" s="462" t="s">
        <v>215</v>
      </c>
      <c r="E228" s="462" t="s">
        <v>1193</v>
      </c>
      <c r="F228" s="462"/>
      <c r="G228" s="467">
        <f>G229</f>
        <v>10</v>
      </c>
      <c r="H228" s="467">
        <f>H229</f>
        <v>10</v>
      </c>
      <c r="I228" s="204"/>
    </row>
    <row r="229" spans="1:9" ht="19.5" customHeight="1" x14ac:dyDescent="0.25">
      <c r="A229" s="466" t="s">
        <v>248</v>
      </c>
      <c r="B229" s="460">
        <v>902</v>
      </c>
      <c r="C229" s="462" t="s">
        <v>244</v>
      </c>
      <c r="D229" s="462" t="s">
        <v>215</v>
      </c>
      <c r="E229" s="462" t="s">
        <v>1193</v>
      </c>
      <c r="F229" s="462" t="s">
        <v>249</v>
      </c>
      <c r="G229" s="467">
        <f>G230</f>
        <v>10</v>
      </c>
      <c r="H229" s="467">
        <f>H230</f>
        <v>10</v>
      </c>
      <c r="I229" s="204"/>
    </row>
    <row r="230" spans="1:9" ht="31.5" x14ac:dyDescent="0.25">
      <c r="A230" s="466" t="s">
        <v>250</v>
      </c>
      <c r="B230" s="460">
        <v>902</v>
      </c>
      <c r="C230" s="462" t="s">
        <v>244</v>
      </c>
      <c r="D230" s="462" t="s">
        <v>215</v>
      </c>
      <c r="E230" s="462" t="s">
        <v>1193</v>
      </c>
      <c r="F230" s="462" t="s">
        <v>251</v>
      </c>
      <c r="G230" s="467">
        <f>10</f>
        <v>10</v>
      </c>
      <c r="H230" s="467">
        <f t="shared" si="11"/>
        <v>10</v>
      </c>
      <c r="I230" s="204"/>
    </row>
    <row r="231" spans="1:9" ht="63" hidden="1" x14ac:dyDescent="0.25">
      <c r="A231" s="466" t="s">
        <v>1192</v>
      </c>
      <c r="B231" s="460">
        <v>902</v>
      </c>
      <c r="C231" s="462" t="s">
        <v>244</v>
      </c>
      <c r="D231" s="462" t="s">
        <v>215</v>
      </c>
      <c r="E231" s="462" t="s">
        <v>1180</v>
      </c>
      <c r="F231" s="462"/>
      <c r="G231" s="467">
        <f>G232</f>
        <v>0</v>
      </c>
      <c r="H231" s="467">
        <f>H232</f>
        <v>0</v>
      </c>
      <c r="I231" s="204"/>
    </row>
    <row r="232" spans="1:9" ht="20.25" hidden="1" customHeight="1" x14ac:dyDescent="0.25">
      <c r="A232" s="466" t="s">
        <v>248</v>
      </c>
      <c r="B232" s="460">
        <v>902</v>
      </c>
      <c r="C232" s="462" t="s">
        <v>244</v>
      </c>
      <c r="D232" s="462" t="s">
        <v>215</v>
      </c>
      <c r="E232" s="462" t="s">
        <v>1180</v>
      </c>
      <c r="F232" s="462" t="s">
        <v>249</v>
      </c>
      <c r="G232" s="467">
        <f>G233</f>
        <v>0</v>
      </c>
      <c r="H232" s="467">
        <f>H233</f>
        <v>0</v>
      </c>
      <c r="I232" s="204"/>
    </row>
    <row r="233" spans="1:9" ht="31.5" hidden="1" x14ac:dyDescent="0.25">
      <c r="A233" s="466" t="s">
        <v>250</v>
      </c>
      <c r="B233" s="460">
        <v>902</v>
      </c>
      <c r="C233" s="462" t="s">
        <v>244</v>
      </c>
      <c r="D233" s="462" t="s">
        <v>215</v>
      </c>
      <c r="E233" s="462" t="s">
        <v>1180</v>
      </c>
      <c r="F233" s="462" t="s">
        <v>251</v>
      </c>
      <c r="G233" s="467">
        <v>0</v>
      </c>
      <c r="H233" s="467">
        <v>0</v>
      </c>
      <c r="I233" s="204"/>
    </row>
    <row r="234" spans="1:9" ht="15.75" x14ac:dyDescent="0.25">
      <c r="A234" s="464" t="s">
        <v>258</v>
      </c>
      <c r="B234" s="461">
        <v>902</v>
      </c>
      <c r="C234" s="465" t="s">
        <v>244</v>
      </c>
      <c r="D234" s="465" t="s">
        <v>120</v>
      </c>
      <c r="E234" s="465"/>
      <c r="F234" s="465"/>
      <c r="G234" s="463">
        <f t="shared" ref="G234:H236" si="15">G235</f>
        <v>3650.4</v>
      </c>
      <c r="H234" s="463">
        <f t="shared" si="15"/>
        <v>3606.4</v>
      </c>
      <c r="I234" s="204"/>
    </row>
    <row r="235" spans="1:9" ht="31.5" x14ac:dyDescent="0.25">
      <c r="A235" s="464" t="s">
        <v>917</v>
      </c>
      <c r="B235" s="461">
        <v>902</v>
      </c>
      <c r="C235" s="465" t="s">
        <v>244</v>
      </c>
      <c r="D235" s="465" t="s">
        <v>120</v>
      </c>
      <c r="E235" s="465" t="s">
        <v>858</v>
      </c>
      <c r="F235" s="465"/>
      <c r="G235" s="463">
        <f t="shared" si="15"/>
        <v>3650.4</v>
      </c>
      <c r="H235" s="463">
        <f t="shared" si="15"/>
        <v>3606.4</v>
      </c>
      <c r="I235" s="204"/>
    </row>
    <row r="236" spans="1:9" ht="31.5" x14ac:dyDescent="0.25">
      <c r="A236" s="464" t="s">
        <v>885</v>
      </c>
      <c r="B236" s="461">
        <v>902</v>
      </c>
      <c r="C236" s="465" t="s">
        <v>244</v>
      </c>
      <c r="D236" s="465" t="s">
        <v>120</v>
      </c>
      <c r="E236" s="465" t="s">
        <v>863</v>
      </c>
      <c r="F236" s="465"/>
      <c r="G236" s="463">
        <f t="shared" si="15"/>
        <v>3650.4</v>
      </c>
      <c r="H236" s="463">
        <f t="shared" si="15"/>
        <v>3606.4</v>
      </c>
      <c r="I236" s="204"/>
    </row>
    <row r="237" spans="1:9" ht="47.25" x14ac:dyDescent="0.25">
      <c r="A237" s="31" t="s">
        <v>259</v>
      </c>
      <c r="B237" s="460">
        <v>902</v>
      </c>
      <c r="C237" s="462" t="s">
        <v>244</v>
      </c>
      <c r="D237" s="462" t="s">
        <v>120</v>
      </c>
      <c r="E237" s="462" t="s">
        <v>925</v>
      </c>
      <c r="F237" s="462"/>
      <c r="G237" s="467">
        <f>G238+G240</f>
        <v>3650.4</v>
      </c>
      <c r="H237" s="467">
        <f>H238+H240</f>
        <v>3606.4</v>
      </c>
      <c r="I237" s="204"/>
    </row>
    <row r="238" spans="1:9" ht="78.75" x14ac:dyDescent="0.25">
      <c r="A238" s="466" t="s">
        <v>127</v>
      </c>
      <c r="B238" s="460">
        <v>902</v>
      </c>
      <c r="C238" s="462" t="s">
        <v>244</v>
      </c>
      <c r="D238" s="462" t="s">
        <v>120</v>
      </c>
      <c r="E238" s="462" t="s">
        <v>925</v>
      </c>
      <c r="F238" s="462" t="s">
        <v>128</v>
      </c>
      <c r="G238" s="467">
        <f>G239</f>
        <v>3249.8</v>
      </c>
      <c r="H238" s="467">
        <f>H239</f>
        <v>3205.8</v>
      </c>
      <c r="I238" s="204"/>
    </row>
    <row r="239" spans="1:9" ht="31.5" x14ac:dyDescent="0.25">
      <c r="A239" s="466" t="s">
        <v>129</v>
      </c>
      <c r="B239" s="460">
        <v>902</v>
      </c>
      <c r="C239" s="462" t="s">
        <v>244</v>
      </c>
      <c r="D239" s="462" t="s">
        <v>120</v>
      </c>
      <c r="E239" s="462" t="s">
        <v>925</v>
      </c>
      <c r="F239" s="462" t="s">
        <v>130</v>
      </c>
      <c r="G239" s="467">
        <v>3249.8</v>
      </c>
      <c r="H239" s="467">
        <v>3205.8</v>
      </c>
      <c r="I239" s="204"/>
    </row>
    <row r="240" spans="1:9" ht="31.5" x14ac:dyDescent="0.25">
      <c r="A240" s="466" t="s">
        <v>131</v>
      </c>
      <c r="B240" s="460">
        <v>902</v>
      </c>
      <c r="C240" s="462" t="s">
        <v>244</v>
      </c>
      <c r="D240" s="462" t="s">
        <v>120</v>
      </c>
      <c r="E240" s="462" t="s">
        <v>925</v>
      </c>
      <c r="F240" s="462" t="s">
        <v>132</v>
      </c>
      <c r="G240" s="467">
        <f>G241</f>
        <v>400.6</v>
      </c>
      <c r="H240" s="467">
        <f>H241</f>
        <v>400.6</v>
      </c>
      <c r="I240" s="204"/>
    </row>
    <row r="241" spans="1:12" ht="31.5" x14ac:dyDescent="0.25">
      <c r="A241" s="466" t="s">
        <v>133</v>
      </c>
      <c r="B241" s="460">
        <v>902</v>
      </c>
      <c r="C241" s="462" t="s">
        <v>244</v>
      </c>
      <c r="D241" s="462" t="s">
        <v>120</v>
      </c>
      <c r="E241" s="462" t="s">
        <v>925</v>
      </c>
      <c r="F241" s="462" t="s">
        <v>134</v>
      </c>
      <c r="G241" s="467">
        <v>400.6</v>
      </c>
      <c r="H241" s="467">
        <f t="shared" si="11"/>
        <v>400.6</v>
      </c>
      <c r="I241" s="204"/>
    </row>
    <row r="242" spans="1:12" ht="47.25" x14ac:dyDescent="0.25">
      <c r="A242" s="461" t="s">
        <v>261</v>
      </c>
      <c r="B242" s="461">
        <v>903</v>
      </c>
      <c r="C242" s="462"/>
      <c r="D242" s="462"/>
      <c r="E242" s="462"/>
      <c r="F242" s="462"/>
      <c r="G242" s="463">
        <f>G293+G357+G445+G243+G273+G468</f>
        <v>104757.7</v>
      </c>
      <c r="H242" s="463">
        <f>H293+H357+H445+H243+H273+H468</f>
        <v>106518</v>
      </c>
      <c r="I242" s="204"/>
    </row>
    <row r="243" spans="1:12" ht="15.75" x14ac:dyDescent="0.25">
      <c r="A243" s="464" t="s">
        <v>117</v>
      </c>
      <c r="B243" s="461">
        <v>903</v>
      </c>
      <c r="C243" s="465" t="s">
        <v>118</v>
      </c>
      <c r="D243" s="462"/>
      <c r="E243" s="462"/>
      <c r="F243" s="462"/>
      <c r="G243" s="463">
        <f>G244</f>
        <v>225</v>
      </c>
      <c r="H243" s="463">
        <f>H244</f>
        <v>625</v>
      </c>
      <c r="I243" s="204"/>
    </row>
    <row r="244" spans="1:12" ht="15.75" x14ac:dyDescent="0.25">
      <c r="A244" s="464" t="s">
        <v>139</v>
      </c>
      <c r="B244" s="461">
        <v>903</v>
      </c>
      <c r="C244" s="465" t="s">
        <v>118</v>
      </c>
      <c r="D244" s="465" t="s">
        <v>140</v>
      </c>
      <c r="E244" s="462"/>
      <c r="F244" s="462"/>
      <c r="G244" s="463">
        <f>G245+G251+G268</f>
        <v>225</v>
      </c>
      <c r="H244" s="463">
        <f>H245+H251+H268</f>
        <v>625</v>
      </c>
      <c r="I244" s="204"/>
    </row>
    <row r="245" spans="1:12" ht="47.25" x14ac:dyDescent="0.25">
      <c r="A245" s="464" t="s">
        <v>1377</v>
      </c>
      <c r="B245" s="461">
        <v>903</v>
      </c>
      <c r="C245" s="8" t="s">
        <v>118</v>
      </c>
      <c r="D245" s="8" t="s">
        <v>140</v>
      </c>
      <c r="E245" s="194" t="s">
        <v>344</v>
      </c>
      <c r="F245" s="8"/>
      <c r="G245" s="463">
        <f t="shared" ref="G245:H249" si="16">G246</f>
        <v>200</v>
      </c>
      <c r="H245" s="463">
        <f t="shared" si="16"/>
        <v>500</v>
      </c>
      <c r="I245" s="204"/>
      <c r="L245" s="231"/>
    </row>
    <row r="246" spans="1:12" ht="78.75" x14ac:dyDescent="0.25">
      <c r="A246" s="470" t="s">
        <v>1359</v>
      </c>
      <c r="B246" s="461">
        <v>903</v>
      </c>
      <c r="C246" s="7" t="s">
        <v>118</v>
      </c>
      <c r="D246" s="7" t="s">
        <v>140</v>
      </c>
      <c r="E246" s="7" t="s">
        <v>359</v>
      </c>
      <c r="F246" s="7"/>
      <c r="G246" s="463">
        <f t="shared" si="16"/>
        <v>200</v>
      </c>
      <c r="H246" s="463">
        <f t="shared" si="16"/>
        <v>500</v>
      </c>
      <c r="I246" s="204"/>
    </row>
    <row r="247" spans="1:12" ht="63" x14ac:dyDescent="0.25">
      <c r="A247" s="247" t="s">
        <v>1047</v>
      </c>
      <c r="B247" s="461">
        <v>903</v>
      </c>
      <c r="C247" s="7" t="s">
        <v>118</v>
      </c>
      <c r="D247" s="7" t="s">
        <v>140</v>
      </c>
      <c r="E247" s="7" t="s">
        <v>909</v>
      </c>
      <c r="F247" s="7"/>
      <c r="G247" s="463">
        <f t="shared" si="16"/>
        <v>200</v>
      </c>
      <c r="H247" s="463">
        <f t="shared" si="16"/>
        <v>500</v>
      </c>
      <c r="I247" s="204"/>
    </row>
    <row r="248" spans="1:12" ht="31.5" x14ac:dyDescent="0.25">
      <c r="A248" s="98" t="s">
        <v>1048</v>
      </c>
      <c r="B248" s="460">
        <v>903</v>
      </c>
      <c r="C248" s="469" t="s">
        <v>118</v>
      </c>
      <c r="D248" s="469" t="s">
        <v>140</v>
      </c>
      <c r="E248" s="469" t="s">
        <v>1203</v>
      </c>
      <c r="F248" s="469"/>
      <c r="G248" s="467">
        <f t="shared" si="16"/>
        <v>200</v>
      </c>
      <c r="H248" s="467">
        <f t="shared" si="16"/>
        <v>500</v>
      </c>
      <c r="I248" s="204"/>
    </row>
    <row r="249" spans="1:12" ht="31.5" x14ac:dyDescent="0.25">
      <c r="A249" s="29" t="s">
        <v>131</v>
      </c>
      <c r="B249" s="460">
        <v>903</v>
      </c>
      <c r="C249" s="469" t="s">
        <v>118</v>
      </c>
      <c r="D249" s="469" t="s">
        <v>140</v>
      </c>
      <c r="E249" s="469" t="s">
        <v>1203</v>
      </c>
      <c r="F249" s="469" t="s">
        <v>132</v>
      </c>
      <c r="G249" s="467">
        <f t="shared" si="16"/>
        <v>200</v>
      </c>
      <c r="H249" s="467">
        <f t="shared" si="16"/>
        <v>500</v>
      </c>
      <c r="I249" s="204"/>
    </row>
    <row r="250" spans="1:12" ht="31.5" x14ac:dyDescent="0.25">
      <c r="A250" s="29" t="s">
        <v>133</v>
      </c>
      <c r="B250" s="460">
        <v>903</v>
      </c>
      <c r="C250" s="469" t="s">
        <v>118</v>
      </c>
      <c r="D250" s="469" t="s">
        <v>140</v>
      </c>
      <c r="E250" s="469" t="s">
        <v>1203</v>
      </c>
      <c r="F250" s="469" t="s">
        <v>134</v>
      </c>
      <c r="G250" s="467">
        <v>200</v>
      </c>
      <c r="H250" s="467">
        <v>500</v>
      </c>
      <c r="I250" s="204"/>
    </row>
    <row r="251" spans="1:12" ht="47.25" x14ac:dyDescent="0.25">
      <c r="A251" s="464" t="s">
        <v>1360</v>
      </c>
      <c r="B251" s="461">
        <v>903</v>
      </c>
      <c r="C251" s="465" t="s">
        <v>118</v>
      </c>
      <c r="D251" s="465" t="s">
        <v>140</v>
      </c>
      <c r="E251" s="465" t="s">
        <v>335</v>
      </c>
      <c r="F251" s="465"/>
      <c r="G251" s="463">
        <f>G252</f>
        <v>20</v>
      </c>
      <c r="H251" s="463">
        <f>H252</f>
        <v>120</v>
      </c>
      <c r="I251" s="204"/>
    </row>
    <row r="252" spans="1:12" ht="31.5" x14ac:dyDescent="0.25">
      <c r="A252" s="464" t="s">
        <v>1052</v>
      </c>
      <c r="B252" s="461">
        <v>903</v>
      </c>
      <c r="C252" s="465" t="s">
        <v>118</v>
      </c>
      <c r="D252" s="465" t="s">
        <v>140</v>
      </c>
      <c r="E252" s="465" t="s">
        <v>1053</v>
      </c>
      <c r="F252" s="465"/>
      <c r="G252" s="463">
        <f>G253+G262+G256+G259+G265</f>
        <v>20</v>
      </c>
      <c r="H252" s="463">
        <f>H253+H262+H256+H259+H265</f>
        <v>120</v>
      </c>
      <c r="I252" s="204"/>
    </row>
    <row r="253" spans="1:12" ht="31.5" x14ac:dyDescent="0.25">
      <c r="A253" s="97" t="s">
        <v>336</v>
      </c>
      <c r="B253" s="460">
        <v>903</v>
      </c>
      <c r="C253" s="462" t="s">
        <v>118</v>
      </c>
      <c r="D253" s="462" t="s">
        <v>140</v>
      </c>
      <c r="E253" s="462" t="s">
        <v>1054</v>
      </c>
      <c r="F253" s="462"/>
      <c r="G253" s="467">
        <f>'[1]Пр.5 ведом.21'!G238</f>
        <v>0</v>
      </c>
      <c r="H253" s="467">
        <f>H254</f>
        <v>100</v>
      </c>
      <c r="I253" s="204"/>
    </row>
    <row r="254" spans="1:12" ht="31.5" x14ac:dyDescent="0.25">
      <c r="A254" s="466" t="s">
        <v>131</v>
      </c>
      <c r="B254" s="460">
        <v>903</v>
      </c>
      <c r="C254" s="462" t="s">
        <v>118</v>
      </c>
      <c r="D254" s="462" t="s">
        <v>140</v>
      </c>
      <c r="E254" s="462" t="s">
        <v>1054</v>
      </c>
      <c r="F254" s="462" t="s">
        <v>132</v>
      </c>
      <c r="G254" s="467">
        <f>'[1]Пр.5 ведом.21'!G239</f>
        <v>0</v>
      </c>
      <c r="H254" s="467">
        <f>H255</f>
        <v>100</v>
      </c>
      <c r="I254" s="204"/>
    </row>
    <row r="255" spans="1:12" ht="31.5" x14ac:dyDescent="0.25">
      <c r="A255" s="466" t="s">
        <v>133</v>
      </c>
      <c r="B255" s="460">
        <v>903</v>
      </c>
      <c r="C255" s="462" t="s">
        <v>118</v>
      </c>
      <c r="D255" s="462" t="s">
        <v>140</v>
      </c>
      <c r="E255" s="462" t="s">
        <v>1054</v>
      </c>
      <c r="F255" s="462" t="s">
        <v>134</v>
      </c>
      <c r="G255" s="467">
        <f>'[1]Пр.5 ведом.21'!G240</f>
        <v>0</v>
      </c>
      <c r="H255" s="467">
        <v>100</v>
      </c>
      <c r="I255" s="204"/>
    </row>
    <row r="256" spans="1:12" ht="31.5" hidden="1" x14ac:dyDescent="0.25">
      <c r="A256" s="97" t="s">
        <v>336</v>
      </c>
      <c r="B256" s="460">
        <v>906</v>
      </c>
      <c r="C256" s="462" t="s">
        <v>118</v>
      </c>
      <c r="D256" s="462" t="s">
        <v>140</v>
      </c>
      <c r="E256" s="462" t="s">
        <v>1054</v>
      </c>
      <c r="F256" s="462"/>
      <c r="G256" s="467">
        <f>G257</f>
        <v>0</v>
      </c>
      <c r="H256" s="467">
        <f>H257</f>
        <v>0</v>
      </c>
      <c r="I256" s="204"/>
    </row>
    <row r="257" spans="1:9" ht="31.5" hidden="1" x14ac:dyDescent="0.25">
      <c r="A257" s="466" t="s">
        <v>131</v>
      </c>
      <c r="B257" s="460">
        <v>906</v>
      </c>
      <c r="C257" s="462" t="s">
        <v>118</v>
      </c>
      <c r="D257" s="462" t="s">
        <v>140</v>
      </c>
      <c r="E257" s="462" t="s">
        <v>1054</v>
      </c>
      <c r="F257" s="462" t="s">
        <v>132</v>
      </c>
      <c r="G257" s="467">
        <f>G258</f>
        <v>0</v>
      </c>
      <c r="H257" s="467">
        <f>H258</f>
        <v>0</v>
      </c>
      <c r="I257" s="204"/>
    </row>
    <row r="258" spans="1:9" ht="31.5" hidden="1" x14ac:dyDescent="0.25">
      <c r="A258" s="466" t="s">
        <v>133</v>
      </c>
      <c r="B258" s="460">
        <v>906</v>
      </c>
      <c r="C258" s="462" t="s">
        <v>118</v>
      </c>
      <c r="D258" s="462" t="s">
        <v>140</v>
      </c>
      <c r="E258" s="462" t="s">
        <v>1054</v>
      </c>
      <c r="F258" s="462" t="s">
        <v>134</v>
      </c>
      <c r="G258" s="467">
        <v>0</v>
      </c>
      <c r="H258" s="467">
        <v>0</v>
      </c>
      <c r="I258" s="204"/>
    </row>
    <row r="259" spans="1:9" ht="15.75" hidden="1" x14ac:dyDescent="0.25">
      <c r="A259" s="466" t="s">
        <v>994</v>
      </c>
      <c r="B259" s="460">
        <v>903</v>
      </c>
      <c r="C259" s="462" t="s">
        <v>118</v>
      </c>
      <c r="D259" s="462" t="s">
        <v>140</v>
      </c>
      <c r="E259" s="462" t="s">
        <v>1057</v>
      </c>
      <c r="F259" s="462"/>
      <c r="G259" s="467">
        <f>'[1]Пр.5 ведом.21'!G247</f>
        <v>0</v>
      </c>
      <c r="H259" s="467">
        <f t="shared" ref="H259:H299" si="17">G259</f>
        <v>0</v>
      </c>
      <c r="I259" s="204"/>
    </row>
    <row r="260" spans="1:9" ht="31.5" hidden="1" x14ac:dyDescent="0.25">
      <c r="A260" s="466" t="s">
        <v>131</v>
      </c>
      <c r="B260" s="460">
        <v>903</v>
      </c>
      <c r="C260" s="462" t="s">
        <v>118</v>
      </c>
      <c r="D260" s="462" t="s">
        <v>140</v>
      </c>
      <c r="E260" s="462" t="s">
        <v>1057</v>
      </c>
      <c r="F260" s="462" t="s">
        <v>132</v>
      </c>
      <c r="G260" s="467">
        <f>'[1]Пр.5 ведом.21'!G248</f>
        <v>0</v>
      </c>
      <c r="H260" s="467">
        <f t="shared" si="17"/>
        <v>0</v>
      </c>
      <c r="I260" s="204"/>
    </row>
    <row r="261" spans="1:9" ht="31.5" hidden="1" x14ac:dyDescent="0.25">
      <c r="A261" s="466" t="s">
        <v>133</v>
      </c>
      <c r="B261" s="460">
        <v>903</v>
      </c>
      <c r="C261" s="462" t="s">
        <v>118</v>
      </c>
      <c r="D261" s="462" t="s">
        <v>140</v>
      </c>
      <c r="E261" s="462" t="s">
        <v>1057</v>
      </c>
      <c r="F261" s="462" t="s">
        <v>134</v>
      </c>
      <c r="G261" s="467">
        <f>'[1]Пр.5 ведом.21'!G249</f>
        <v>0</v>
      </c>
      <c r="H261" s="467">
        <f t="shared" si="17"/>
        <v>0</v>
      </c>
      <c r="I261" s="204"/>
    </row>
    <row r="262" spans="1:9" ht="31.5" x14ac:dyDescent="0.25">
      <c r="A262" s="466" t="s">
        <v>338</v>
      </c>
      <c r="B262" s="460">
        <v>903</v>
      </c>
      <c r="C262" s="462" t="s">
        <v>118</v>
      </c>
      <c r="D262" s="462" t="s">
        <v>140</v>
      </c>
      <c r="E262" s="462" t="s">
        <v>1055</v>
      </c>
      <c r="F262" s="462"/>
      <c r="G262" s="467">
        <f>G263</f>
        <v>20</v>
      </c>
      <c r="H262" s="467">
        <f>H263</f>
        <v>20</v>
      </c>
      <c r="I262" s="204"/>
    </row>
    <row r="263" spans="1:9" ht="31.5" x14ac:dyDescent="0.25">
      <c r="A263" s="466" t="s">
        <v>131</v>
      </c>
      <c r="B263" s="460">
        <v>903</v>
      </c>
      <c r="C263" s="462" t="s">
        <v>118</v>
      </c>
      <c r="D263" s="462" t="s">
        <v>140</v>
      </c>
      <c r="E263" s="462" t="s">
        <v>1055</v>
      </c>
      <c r="F263" s="462" t="s">
        <v>132</v>
      </c>
      <c r="G263" s="467">
        <f>G264</f>
        <v>20</v>
      </c>
      <c r="H263" s="467">
        <f>H264</f>
        <v>20</v>
      </c>
      <c r="I263" s="204"/>
    </row>
    <row r="264" spans="1:9" ht="31.5" x14ac:dyDescent="0.25">
      <c r="A264" s="466" t="s">
        <v>133</v>
      </c>
      <c r="B264" s="460">
        <v>903</v>
      </c>
      <c r="C264" s="462" t="s">
        <v>118</v>
      </c>
      <c r="D264" s="462" t="s">
        <v>140</v>
      </c>
      <c r="E264" s="462" t="s">
        <v>1055</v>
      </c>
      <c r="F264" s="462" t="s">
        <v>134</v>
      </c>
      <c r="G264" s="467">
        <v>20</v>
      </c>
      <c r="H264" s="467">
        <v>20</v>
      </c>
      <c r="I264" s="204"/>
    </row>
    <row r="265" spans="1:9" ht="31.5" hidden="1" x14ac:dyDescent="0.25">
      <c r="A265" s="31" t="s">
        <v>772</v>
      </c>
      <c r="B265" s="460">
        <v>903</v>
      </c>
      <c r="C265" s="462" t="s">
        <v>118</v>
      </c>
      <c r="D265" s="462" t="s">
        <v>140</v>
      </c>
      <c r="E265" s="462" t="s">
        <v>1058</v>
      </c>
      <c r="F265" s="462"/>
      <c r="G265" s="467">
        <f>G266</f>
        <v>0</v>
      </c>
      <c r="H265" s="467">
        <f>H266</f>
        <v>0</v>
      </c>
      <c r="I265" s="204"/>
    </row>
    <row r="266" spans="1:9" ht="31.5" hidden="1" x14ac:dyDescent="0.25">
      <c r="A266" s="466" t="s">
        <v>131</v>
      </c>
      <c r="B266" s="460">
        <v>903</v>
      </c>
      <c r="C266" s="462" t="s">
        <v>118</v>
      </c>
      <c r="D266" s="462" t="s">
        <v>140</v>
      </c>
      <c r="E266" s="462" t="s">
        <v>1058</v>
      </c>
      <c r="F266" s="462" t="s">
        <v>132</v>
      </c>
      <c r="G266" s="467">
        <f>G267</f>
        <v>0</v>
      </c>
      <c r="H266" s="467">
        <f>H267</f>
        <v>0</v>
      </c>
      <c r="I266" s="204"/>
    </row>
    <row r="267" spans="1:9" ht="31.5" hidden="1" x14ac:dyDescent="0.25">
      <c r="A267" s="466" t="s">
        <v>133</v>
      </c>
      <c r="B267" s="460">
        <v>903</v>
      </c>
      <c r="C267" s="462" t="s">
        <v>118</v>
      </c>
      <c r="D267" s="462" t="s">
        <v>140</v>
      </c>
      <c r="E267" s="462" t="s">
        <v>1058</v>
      </c>
      <c r="F267" s="462" t="s">
        <v>134</v>
      </c>
      <c r="G267" s="467">
        <v>0</v>
      </c>
      <c r="H267" s="467">
        <f t="shared" si="17"/>
        <v>0</v>
      </c>
      <c r="I267" s="204"/>
    </row>
    <row r="268" spans="1:9" ht="47.25" x14ac:dyDescent="0.25">
      <c r="A268" s="470" t="s">
        <v>1363</v>
      </c>
      <c r="B268" s="461">
        <v>903</v>
      </c>
      <c r="C268" s="465" t="s">
        <v>118</v>
      </c>
      <c r="D268" s="465" t="s">
        <v>140</v>
      </c>
      <c r="E268" s="465" t="s">
        <v>705</v>
      </c>
      <c r="F268" s="465"/>
      <c r="G268" s="463">
        <f>G270</f>
        <v>5</v>
      </c>
      <c r="H268" s="463">
        <f>H270</f>
        <v>5</v>
      </c>
      <c r="I268" s="204"/>
    </row>
    <row r="269" spans="1:9" ht="47.25" x14ac:dyDescent="0.25">
      <c r="A269" s="210" t="s">
        <v>846</v>
      </c>
      <c r="B269" s="461">
        <v>903</v>
      </c>
      <c r="C269" s="465" t="s">
        <v>118</v>
      </c>
      <c r="D269" s="465" t="s">
        <v>140</v>
      </c>
      <c r="E269" s="465" t="s">
        <v>852</v>
      </c>
      <c r="F269" s="465"/>
      <c r="G269" s="463">
        <f t="shared" ref="G269:H271" si="18">G270</f>
        <v>5</v>
      </c>
      <c r="H269" s="463">
        <f t="shared" si="18"/>
        <v>5</v>
      </c>
      <c r="I269" s="204"/>
    </row>
    <row r="270" spans="1:9" ht="31.5" x14ac:dyDescent="0.25">
      <c r="A270" s="98" t="s">
        <v>776</v>
      </c>
      <c r="B270" s="460">
        <v>903</v>
      </c>
      <c r="C270" s="462" t="s">
        <v>118</v>
      </c>
      <c r="D270" s="462" t="s">
        <v>140</v>
      </c>
      <c r="E270" s="462" t="s">
        <v>847</v>
      </c>
      <c r="F270" s="462"/>
      <c r="G270" s="467">
        <f t="shared" si="18"/>
        <v>5</v>
      </c>
      <c r="H270" s="467">
        <f t="shared" si="18"/>
        <v>5</v>
      </c>
      <c r="I270" s="204"/>
    </row>
    <row r="271" spans="1:9" ht="31.5" x14ac:dyDescent="0.25">
      <c r="A271" s="466" t="s">
        <v>131</v>
      </c>
      <c r="B271" s="460">
        <v>903</v>
      </c>
      <c r="C271" s="462" t="s">
        <v>118</v>
      </c>
      <c r="D271" s="462" t="s">
        <v>140</v>
      </c>
      <c r="E271" s="462" t="s">
        <v>847</v>
      </c>
      <c r="F271" s="462" t="s">
        <v>132</v>
      </c>
      <c r="G271" s="467">
        <f t="shared" si="18"/>
        <v>5</v>
      </c>
      <c r="H271" s="467">
        <f t="shared" si="18"/>
        <v>5</v>
      </c>
      <c r="I271" s="204"/>
    </row>
    <row r="272" spans="1:9" ht="31.5" x14ac:dyDescent="0.25">
      <c r="A272" s="466" t="s">
        <v>133</v>
      </c>
      <c r="B272" s="460">
        <v>903</v>
      </c>
      <c r="C272" s="462" t="s">
        <v>118</v>
      </c>
      <c r="D272" s="462" t="s">
        <v>140</v>
      </c>
      <c r="E272" s="462" t="s">
        <v>847</v>
      </c>
      <c r="F272" s="462" t="s">
        <v>134</v>
      </c>
      <c r="G272" s="467">
        <f>5</f>
        <v>5</v>
      </c>
      <c r="H272" s="467">
        <f t="shared" si="17"/>
        <v>5</v>
      </c>
      <c r="I272" s="204"/>
    </row>
    <row r="273" spans="1:9" ht="15.75" x14ac:dyDescent="0.25">
      <c r="A273" s="216" t="s">
        <v>232</v>
      </c>
      <c r="B273" s="461">
        <v>903</v>
      </c>
      <c r="C273" s="465" t="s">
        <v>150</v>
      </c>
      <c r="D273" s="462"/>
      <c r="E273" s="462"/>
      <c r="F273" s="468"/>
      <c r="G273" s="463">
        <f t="shared" ref="G273:H275" si="19">G274</f>
        <v>260</v>
      </c>
      <c r="H273" s="463">
        <f t="shared" si="19"/>
        <v>260</v>
      </c>
      <c r="I273" s="204"/>
    </row>
    <row r="274" spans="1:9" ht="31.5" x14ac:dyDescent="0.25">
      <c r="A274" s="464" t="s">
        <v>237</v>
      </c>
      <c r="B274" s="461">
        <v>903</v>
      </c>
      <c r="C274" s="465" t="s">
        <v>150</v>
      </c>
      <c r="D274" s="465" t="s">
        <v>238</v>
      </c>
      <c r="E274" s="462"/>
      <c r="F274" s="468"/>
      <c r="G274" s="463">
        <f t="shared" si="19"/>
        <v>260</v>
      </c>
      <c r="H274" s="463">
        <f t="shared" si="19"/>
        <v>260</v>
      </c>
      <c r="I274" s="204"/>
    </row>
    <row r="275" spans="1:9" ht="47.25" x14ac:dyDescent="0.25">
      <c r="A275" s="464" t="s">
        <v>1377</v>
      </c>
      <c r="B275" s="461">
        <v>903</v>
      </c>
      <c r="C275" s="465" t="s">
        <v>150</v>
      </c>
      <c r="D275" s="465" t="s">
        <v>238</v>
      </c>
      <c r="E275" s="465" t="s">
        <v>344</v>
      </c>
      <c r="F275" s="474"/>
      <c r="G275" s="463">
        <f t="shared" si="19"/>
        <v>260</v>
      </c>
      <c r="H275" s="463">
        <f t="shared" si="19"/>
        <v>260</v>
      </c>
      <c r="I275" s="204"/>
    </row>
    <row r="276" spans="1:9" ht="64.5" customHeight="1" x14ac:dyDescent="0.25">
      <c r="A276" s="464" t="s">
        <v>367</v>
      </c>
      <c r="B276" s="461">
        <v>903</v>
      </c>
      <c r="C276" s="465" t="s">
        <v>150</v>
      </c>
      <c r="D276" s="465" t="s">
        <v>238</v>
      </c>
      <c r="E276" s="465" t="s">
        <v>356</v>
      </c>
      <c r="F276" s="465"/>
      <c r="G276" s="463">
        <f>G277+G281+G285+G289</f>
        <v>260</v>
      </c>
      <c r="H276" s="463">
        <f>H277+H281+H285+H289</f>
        <v>260</v>
      </c>
      <c r="I276" s="204"/>
    </row>
    <row r="277" spans="1:9" ht="47.25" hidden="1" x14ac:dyDescent="0.25">
      <c r="A277" s="214" t="s">
        <v>1045</v>
      </c>
      <c r="B277" s="461">
        <v>903</v>
      </c>
      <c r="C277" s="465" t="s">
        <v>150</v>
      </c>
      <c r="D277" s="465" t="s">
        <v>238</v>
      </c>
      <c r="E277" s="465" t="s">
        <v>907</v>
      </c>
      <c r="F277" s="465"/>
      <c r="G277" s="463">
        <f>G278</f>
        <v>0</v>
      </c>
      <c r="H277" s="463">
        <f>H278</f>
        <v>0</v>
      </c>
      <c r="I277" s="204"/>
    </row>
    <row r="278" spans="1:9" ht="47.25" hidden="1" x14ac:dyDescent="0.25">
      <c r="A278" s="466" t="s">
        <v>375</v>
      </c>
      <c r="B278" s="460">
        <v>903</v>
      </c>
      <c r="C278" s="462" t="s">
        <v>150</v>
      </c>
      <c r="D278" s="462" t="s">
        <v>238</v>
      </c>
      <c r="E278" s="462" t="s">
        <v>1323</v>
      </c>
      <c r="F278" s="462"/>
      <c r="G278" s="467">
        <f>'[1]Пр.5 ведом.21'!G263</f>
        <v>0</v>
      </c>
      <c r="H278" s="467">
        <f t="shared" si="17"/>
        <v>0</v>
      </c>
      <c r="I278" s="204"/>
    </row>
    <row r="279" spans="1:9" ht="31.5" hidden="1" x14ac:dyDescent="0.25">
      <c r="A279" s="466" t="s">
        <v>248</v>
      </c>
      <c r="B279" s="460">
        <v>903</v>
      </c>
      <c r="C279" s="462" t="s">
        <v>150</v>
      </c>
      <c r="D279" s="462" t="s">
        <v>238</v>
      </c>
      <c r="E279" s="462" t="s">
        <v>1323</v>
      </c>
      <c r="F279" s="462" t="s">
        <v>249</v>
      </c>
      <c r="G279" s="467">
        <f>'[1]Пр.5 ведом.21'!G264</f>
        <v>0</v>
      </c>
      <c r="H279" s="467">
        <f t="shared" si="17"/>
        <v>0</v>
      </c>
      <c r="I279" s="204"/>
    </row>
    <row r="280" spans="1:9" ht="31.5" hidden="1" x14ac:dyDescent="0.25">
      <c r="A280" s="466" t="s">
        <v>250</v>
      </c>
      <c r="B280" s="460">
        <v>903</v>
      </c>
      <c r="C280" s="462" t="s">
        <v>150</v>
      </c>
      <c r="D280" s="462" t="s">
        <v>238</v>
      </c>
      <c r="E280" s="462" t="s">
        <v>1323</v>
      </c>
      <c r="F280" s="462" t="s">
        <v>251</v>
      </c>
      <c r="G280" s="467">
        <f>'[1]Пр.5 ведом.21'!G265</f>
        <v>0</v>
      </c>
      <c r="H280" s="467">
        <f t="shared" si="17"/>
        <v>0</v>
      </c>
      <c r="I280" s="204"/>
    </row>
    <row r="281" spans="1:9" ht="31.5" x14ac:dyDescent="0.25">
      <c r="A281" s="464" t="s">
        <v>1043</v>
      </c>
      <c r="B281" s="461">
        <v>903</v>
      </c>
      <c r="C281" s="465" t="s">
        <v>150</v>
      </c>
      <c r="D281" s="465" t="s">
        <v>238</v>
      </c>
      <c r="E281" s="465" t="s">
        <v>1204</v>
      </c>
      <c r="F281" s="465"/>
      <c r="G281" s="463">
        <f t="shared" ref="G281:H283" si="20">G282</f>
        <v>260</v>
      </c>
      <c r="H281" s="463">
        <f t="shared" si="20"/>
        <v>260</v>
      </c>
      <c r="I281" s="204"/>
    </row>
    <row r="282" spans="1:9" ht="110.25" x14ac:dyDescent="0.25">
      <c r="A282" s="466" t="s">
        <v>1517</v>
      </c>
      <c r="B282" s="460">
        <v>903</v>
      </c>
      <c r="C282" s="462" t="s">
        <v>150</v>
      </c>
      <c r="D282" s="462" t="s">
        <v>238</v>
      </c>
      <c r="E282" s="462" t="s">
        <v>1205</v>
      </c>
      <c r="F282" s="462"/>
      <c r="G282" s="467">
        <f t="shared" si="20"/>
        <v>260</v>
      </c>
      <c r="H282" s="467">
        <f t="shared" si="20"/>
        <v>260</v>
      </c>
      <c r="I282" s="204"/>
    </row>
    <row r="283" spans="1:9" ht="31.5" x14ac:dyDescent="0.25">
      <c r="A283" s="466" t="s">
        <v>272</v>
      </c>
      <c r="B283" s="460">
        <v>903</v>
      </c>
      <c r="C283" s="462" t="s">
        <v>150</v>
      </c>
      <c r="D283" s="462" t="s">
        <v>238</v>
      </c>
      <c r="E283" s="462" t="s">
        <v>1205</v>
      </c>
      <c r="F283" s="462" t="s">
        <v>273</v>
      </c>
      <c r="G283" s="467">
        <f t="shared" si="20"/>
        <v>260</v>
      </c>
      <c r="H283" s="467">
        <f t="shared" si="20"/>
        <v>260</v>
      </c>
      <c r="I283" s="204"/>
    </row>
    <row r="284" spans="1:9" ht="63" x14ac:dyDescent="0.25">
      <c r="A284" s="466" t="s">
        <v>1093</v>
      </c>
      <c r="B284" s="460">
        <v>903</v>
      </c>
      <c r="C284" s="462" t="s">
        <v>150</v>
      </c>
      <c r="D284" s="462" t="s">
        <v>238</v>
      </c>
      <c r="E284" s="462" t="s">
        <v>1205</v>
      </c>
      <c r="F284" s="462" t="s">
        <v>372</v>
      </c>
      <c r="G284" s="467">
        <f>60+200</f>
        <v>260</v>
      </c>
      <c r="H284" s="467">
        <f t="shared" si="17"/>
        <v>260</v>
      </c>
      <c r="I284" s="204"/>
    </row>
    <row r="285" spans="1:9" ht="31.5" hidden="1" x14ac:dyDescent="0.25">
      <c r="A285" s="464" t="s">
        <v>995</v>
      </c>
      <c r="B285" s="461">
        <v>903</v>
      </c>
      <c r="C285" s="465" t="s">
        <v>150</v>
      </c>
      <c r="D285" s="465" t="s">
        <v>238</v>
      </c>
      <c r="E285" s="465" t="s">
        <v>1315</v>
      </c>
      <c r="F285" s="465"/>
      <c r="G285" s="463">
        <f>G286</f>
        <v>0</v>
      </c>
      <c r="H285" s="463">
        <f>H286</f>
        <v>0</v>
      </c>
      <c r="I285" s="204"/>
    </row>
    <row r="286" spans="1:9" ht="31.5" hidden="1" x14ac:dyDescent="0.25">
      <c r="A286" s="249" t="s">
        <v>1046</v>
      </c>
      <c r="B286" s="460">
        <v>903</v>
      </c>
      <c r="C286" s="462" t="s">
        <v>150</v>
      </c>
      <c r="D286" s="462" t="s">
        <v>238</v>
      </c>
      <c r="E286" s="462" t="s">
        <v>1316</v>
      </c>
      <c r="F286" s="462"/>
      <c r="G286" s="467">
        <f>'[1]Пр.5 ведом.21'!G271</f>
        <v>0</v>
      </c>
      <c r="H286" s="467">
        <f t="shared" si="17"/>
        <v>0</v>
      </c>
      <c r="I286" s="204"/>
    </row>
    <row r="287" spans="1:9" ht="31.5" hidden="1" x14ac:dyDescent="0.25">
      <c r="A287" s="466" t="s">
        <v>131</v>
      </c>
      <c r="B287" s="460">
        <v>903</v>
      </c>
      <c r="C287" s="462" t="s">
        <v>150</v>
      </c>
      <c r="D287" s="462" t="s">
        <v>238</v>
      </c>
      <c r="E287" s="462" t="s">
        <v>1316</v>
      </c>
      <c r="F287" s="462" t="s">
        <v>132</v>
      </c>
      <c r="G287" s="467">
        <f>'[1]Пр.5 ведом.21'!G272</f>
        <v>0</v>
      </c>
      <c r="H287" s="467">
        <f t="shared" si="17"/>
        <v>0</v>
      </c>
      <c r="I287" s="204"/>
    </row>
    <row r="288" spans="1:9" ht="31.5" hidden="1" x14ac:dyDescent="0.25">
      <c r="A288" s="466" t="s">
        <v>133</v>
      </c>
      <c r="B288" s="460">
        <v>903</v>
      </c>
      <c r="C288" s="462" t="s">
        <v>150</v>
      </c>
      <c r="D288" s="462" t="s">
        <v>238</v>
      </c>
      <c r="E288" s="462" t="s">
        <v>1316</v>
      </c>
      <c r="F288" s="462" t="s">
        <v>134</v>
      </c>
      <c r="G288" s="467">
        <f>'[1]Пр.5 ведом.21'!G273</f>
        <v>0</v>
      </c>
      <c r="H288" s="467">
        <f t="shared" si="17"/>
        <v>0</v>
      </c>
      <c r="I288" s="204"/>
    </row>
    <row r="289" spans="1:9" ht="31.5" hidden="1" x14ac:dyDescent="0.25">
      <c r="A289" s="473" t="s">
        <v>1106</v>
      </c>
      <c r="B289" s="461">
        <v>903</v>
      </c>
      <c r="C289" s="465" t="s">
        <v>150</v>
      </c>
      <c r="D289" s="465" t="s">
        <v>238</v>
      </c>
      <c r="E289" s="465" t="s">
        <v>1206</v>
      </c>
      <c r="F289" s="465"/>
      <c r="G289" s="463">
        <f t="shared" ref="G289:H291" si="21">G290</f>
        <v>0</v>
      </c>
      <c r="H289" s="463">
        <f t="shared" si="21"/>
        <v>0</v>
      </c>
      <c r="I289" s="204"/>
    </row>
    <row r="290" spans="1:9" ht="31.5" hidden="1" x14ac:dyDescent="0.25">
      <c r="A290" s="230" t="s">
        <v>1107</v>
      </c>
      <c r="B290" s="460">
        <v>903</v>
      </c>
      <c r="C290" s="462" t="s">
        <v>150</v>
      </c>
      <c r="D290" s="462" t="s">
        <v>238</v>
      </c>
      <c r="E290" s="462" t="s">
        <v>1207</v>
      </c>
      <c r="F290" s="462"/>
      <c r="G290" s="467">
        <f t="shared" si="21"/>
        <v>0</v>
      </c>
      <c r="H290" s="467">
        <f t="shared" si="21"/>
        <v>0</v>
      </c>
      <c r="I290" s="204"/>
    </row>
    <row r="291" spans="1:9" ht="31.5" hidden="1" x14ac:dyDescent="0.25">
      <c r="A291" s="466" t="s">
        <v>131</v>
      </c>
      <c r="B291" s="460">
        <v>903</v>
      </c>
      <c r="C291" s="462" t="s">
        <v>150</v>
      </c>
      <c r="D291" s="462" t="s">
        <v>238</v>
      </c>
      <c r="E291" s="462" t="s">
        <v>1207</v>
      </c>
      <c r="F291" s="462" t="s">
        <v>132</v>
      </c>
      <c r="G291" s="467">
        <f t="shared" si="21"/>
        <v>0</v>
      </c>
      <c r="H291" s="467">
        <f t="shared" si="21"/>
        <v>0</v>
      </c>
      <c r="I291" s="204"/>
    </row>
    <row r="292" spans="1:9" ht="31.5" hidden="1" x14ac:dyDescent="0.25">
      <c r="A292" s="466" t="s">
        <v>133</v>
      </c>
      <c r="B292" s="460">
        <v>903</v>
      </c>
      <c r="C292" s="462" t="s">
        <v>150</v>
      </c>
      <c r="D292" s="462" t="s">
        <v>238</v>
      </c>
      <c r="E292" s="462" t="s">
        <v>1207</v>
      </c>
      <c r="F292" s="462" t="s">
        <v>134</v>
      </c>
      <c r="G292" s="467">
        <v>0</v>
      </c>
      <c r="H292" s="467">
        <v>0</v>
      </c>
      <c r="I292" s="204"/>
    </row>
    <row r="293" spans="1:9" ht="15.75" x14ac:dyDescent="0.25">
      <c r="A293" s="464" t="s">
        <v>263</v>
      </c>
      <c r="B293" s="461">
        <v>903</v>
      </c>
      <c r="C293" s="465" t="s">
        <v>264</v>
      </c>
      <c r="D293" s="462"/>
      <c r="E293" s="462"/>
      <c r="F293" s="462"/>
      <c r="G293" s="463">
        <f>G294+G337</f>
        <v>19986.610000000004</v>
      </c>
      <c r="H293" s="463">
        <f>H294+H337</f>
        <v>20065.210000000003</v>
      </c>
      <c r="I293" s="204"/>
    </row>
    <row r="294" spans="1:9" ht="15.75" x14ac:dyDescent="0.25">
      <c r="A294" s="464" t="s">
        <v>265</v>
      </c>
      <c r="B294" s="461">
        <v>903</v>
      </c>
      <c r="C294" s="465" t="s">
        <v>264</v>
      </c>
      <c r="D294" s="465" t="s">
        <v>215</v>
      </c>
      <c r="E294" s="465"/>
      <c r="F294" s="465"/>
      <c r="G294" s="463">
        <f>G295+G332+G327</f>
        <v>19226.610000000004</v>
      </c>
      <c r="H294" s="463">
        <f>H295+H332+H327</f>
        <v>19240.210000000003</v>
      </c>
      <c r="I294" s="204"/>
    </row>
    <row r="295" spans="1:9" ht="31.5" x14ac:dyDescent="0.25">
      <c r="A295" s="464" t="s">
        <v>1362</v>
      </c>
      <c r="B295" s="461">
        <v>903</v>
      </c>
      <c r="C295" s="465" t="s">
        <v>264</v>
      </c>
      <c r="D295" s="465" t="s">
        <v>215</v>
      </c>
      <c r="E295" s="465" t="s">
        <v>267</v>
      </c>
      <c r="F295" s="465"/>
      <c r="G295" s="463">
        <f>G296+G304+G313+G317</f>
        <v>18730.410000000003</v>
      </c>
      <c r="H295" s="463">
        <f>H296+H304+H313+H317</f>
        <v>18730.410000000003</v>
      </c>
      <c r="I295" s="204"/>
    </row>
    <row r="296" spans="1:9" ht="36" customHeight="1" x14ac:dyDescent="0.25">
      <c r="A296" s="464" t="s">
        <v>895</v>
      </c>
      <c r="B296" s="461">
        <v>903</v>
      </c>
      <c r="C296" s="465" t="s">
        <v>264</v>
      </c>
      <c r="D296" s="465" t="s">
        <v>215</v>
      </c>
      <c r="E296" s="465" t="s">
        <v>1208</v>
      </c>
      <c r="F296" s="465"/>
      <c r="G296" s="44">
        <f>G297</f>
        <v>15854.01</v>
      </c>
      <c r="H296" s="44">
        <f>H297</f>
        <v>15854.01</v>
      </c>
      <c r="I296" s="204"/>
    </row>
    <row r="297" spans="1:9" ht="15.75" x14ac:dyDescent="0.25">
      <c r="A297" s="466" t="s">
        <v>800</v>
      </c>
      <c r="B297" s="460">
        <v>903</v>
      </c>
      <c r="C297" s="462" t="s">
        <v>264</v>
      </c>
      <c r="D297" s="462" t="s">
        <v>215</v>
      </c>
      <c r="E297" s="462" t="s">
        <v>1209</v>
      </c>
      <c r="F297" s="462"/>
      <c r="G297" s="467">
        <f>G298+G300+G303</f>
        <v>15854.01</v>
      </c>
      <c r="H297" s="467">
        <f>H298+H300+H303</f>
        <v>15854.01</v>
      </c>
      <c r="I297" s="204"/>
    </row>
    <row r="298" spans="1:9" ht="78.75" x14ac:dyDescent="0.25">
      <c r="A298" s="466" t="s">
        <v>127</v>
      </c>
      <c r="B298" s="460">
        <v>903</v>
      </c>
      <c r="C298" s="462" t="s">
        <v>264</v>
      </c>
      <c r="D298" s="462" t="s">
        <v>215</v>
      </c>
      <c r="E298" s="462" t="s">
        <v>1209</v>
      </c>
      <c r="F298" s="462" t="s">
        <v>128</v>
      </c>
      <c r="G298" s="467">
        <f>G299</f>
        <v>14172.31</v>
      </c>
      <c r="H298" s="467">
        <f>H299</f>
        <v>14172.31</v>
      </c>
      <c r="I298" s="204"/>
    </row>
    <row r="299" spans="1:9" ht="21.2" customHeight="1" x14ac:dyDescent="0.25">
      <c r="A299" s="46" t="s">
        <v>342</v>
      </c>
      <c r="B299" s="460">
        <v>903</v>
      </c>
      <c r="C299" s="462" t="s">
        <v>264</v>
      </c>
      <c r="D299" s="462" t="s">
        <v>215</v>
      </c>
      <c r="E299" s="462" t="s">
        <v>1209</v>
      </c>
      <c r="F299" s="462" t="s">
        <v>209</v>
      </c>
      <c r="G299" s="467">
        <v>14172.31</v>
      </c>
      <c r="H299" s="467">
        <f t="shared" si="17"/>
        <v>14172.31</v>
      </c>
      <c r="I299" s="204"/>
    </row>
    <row r="300" spans="1:9" ht="31.5" x14ac:dyDescent="0.25">
      <c r="A300" s="466" t="s">
        <v>131</v>
      </c>
      <c r="B300" s="460">
        <v>903</v>
      </c>
      <c r="C300" s="462" t="s">
        <v>264</v>
      </c>
      <c r="D300" s="462" t="s">
        <v>215</v>
      </c>
      <c r="E300" s="462" t="s">
        <v>1209</v>
      </c>
      <c r="F300" s="462" t="s">
        <v>132</v>
      </c>
      <c r="G300" s="467">
        <f>G301</f>
        <v>1603.7</v>
      </c>
      <c r="H300" s="467">
        <f>H301</f>
        <v>1603.7</v>
      </c>
      <c r="I300" s="204"/>
    </row>
    <row r="301" spans="1:9" ht="31.5" x14ac:dyDescent="0.25">
      <c r="A301" s="466" t="s">
        <v>133</v>
      </c>
      <c r="B301" s="460">
        <v>903</v>
      </c>
      <c r="C301" s="462" t="s">
        <v>264</v>
      </c>
      <c r="D301" s="462" t="s">
        <v>215</v>
      </c>
      <c r="E301" s="462" t="s">
        <v>1209</v>
      </c>
      <c r="F301" s="462" t="s">
        <v>134</v>
      </c>
      <c r="G301" s="467">
        <v>1603.7</v>
      </c>
      <c r="H301" s="467">
        <f t="shared" ref="H301:H365" si="22">G301</f>
        <v>1603.7</v>
      </c>
      <c r="I301" s="204"/>
    </row>
    <row r="302" spans="1:9" ht="15.75" x14ac:dyDescent="0.25">
      <c r="A302" s="466" t="s">
        <v>135</v>
      </c>
      <c r="B302" s="460">
        <v>903</v>
      </c>
      <c r="C302" s="462" t="s">
        <v>264</v>
      </c>
      <c r="D302" s="462" t="s">
        <v>215</v>
      </c>
      <c r="E302" s="462" t="s">
        <v>1209</v>
      </c>
      <c r="F302" s="462" t="s">
        <v>145</v>
      </c>
      <c r="G302" s="467">
        <f>G303</f>
        <v>78</v>
      </c>
      <c r="H302" s="467">
        <f>H303</f>
        <v>78</v>
      </c>
      <c r="I302" s="204"/>
    </row>
    <row r="303" spans="1:9" ht="15.75" x14ac:dyDescent="0.25">
      <c r="A303" s="466" t="s">
        <v>704</v>
      </c>
      <c r="B303" s="460">
        <v>903</v>
      </c>
      <c r="C303" s="462" t="s">
        <v>264</v>
      </c>
      <c r="D303" s="462" t="s">
        <v>215</v>
      </c>
      <c r="E303" s="462" t="s">
        <v>1209</v>
      </c>
      <c r="F303" s="462" t="s">
        <v>138</v>
      </c>
      <c r="G303" s="467">
        <f>78</f>
        <v>78</v>
      </c>
      <c r="H303" s="467">
        <f t="shared" si="22"/>
        <v>78</v>
      </c>
      <c r="I303" s="204"/>
    </row>
    <row r="304" spans="1:9" ht="31.5" x14ac:dyDescent="0.25">
      <c r="A304" s="215" t="s">
        <v>1307</v>
      </c>
      <c r="B304" s="461">
        <v>903</v>
      </c>
      <c r="C304" s="465" t="s">
        <v>264</v>
      </c>
      <c r="D304" s="465" t="s">
        <v>215</v>
      </c>
      <c r="E304" s="465" t="s">
        <v>1210</v>
      </c>
      <c r="F304" s="465"/>
      <c r="G304" s="44">
        <f>G305+G308</f>
        <v>1295</v>
      </c>
      <c r="H304" s="44">
        <f>H305+H308</f>
        <v>1295</v>
      </c>
      <c r="I304" s="204"/>
    </row>
    <row r="305" spans="1:9" ht="39.200000000000003" customHeight="1" x14ac:dyDescent="0.25">
      <c r="A305" s="195" t="s">
        <v>799</v>
      </c>
      <c r="B305" s="460">
        <v>903</v>
      </c>
      <c r="C305" s="462" t="s">
        <v>264</v>
      </c>
      <c r="D305" s="462" t="s">
        <v>215</v>
      </c>
      <c r="E305" s="462" t="s">
        <v>1211</v>
      </c>
      <c r="F305" s="462"/>
      <c r="G305" s="467">
        <f t="shared" ref="G305:H306" si="23">G306</f>
        <v>45</v>
      </c>
      <c r="H305" s="467">
        <f t="shared" si="23"/>
        <v>45</v>
      </c>
      <c r="I305" s="204"/>
    </row>
    <row r="306" spans="1:9" ht="20.25" customHeight="1" x14ac:dyDescent="0.25">
      <c r="A306" s="466" t="s">
        <v>248</v>
      </c>
      <c r="B306" s="460">
        <v>903</v>
      </c>
      <c r="C306" s="462" t="s">
        <v>264</v>
      </c>
      <c r="D306" s="462" t="s">
        <v>215</v>
      </c>
      <c r="E306" s="462" t="s">
        <v>1211</v>
      </c>
      <c r="F306" s="462" t="s">
        <v>249</v>
      </c>
      <c r="G306" s="467">
        <f t="shared" si="23"/>
        <v>45</v>
      </c>
      <c r="H306" s="467">
        <f t="shared" si="23"/>
        <v>45</v>
      </c>
      <c r="I306" s="204"/>
    </row>
    <row r="307" spans="1:9" ht="15.75" x14ac:dyDescent="0.25">
      <c r="A307" s="466" t="s">
        <v>820</v>
      </c>
      <c r="B307" s="460">
        <v>903</v>
      </c>
      <c r="C307" s="462" t="s">
        <v>264</v>
      </c>
      <c r="D307" s="462" t="s">
        <v>215</v>
      </c>
      <c r="E307" s="462" t="s">
        <v>1211</v>
      </c>
      <c r="F307" s="462" t="s">
        <v>819</v>
      </c>
      <c r="G307" s="467">
        <f>45</f>
        <v>45</v>
      </c>
      <c r="H307" s="467">
        <f t="shared" si="22"/>
        <v>45</v>
      </c>
      <c r="I307" s="204"/>
    </row>
    <row r="308" spans="1:9" ht="31.5" x14ac:dyDescent="0.25">
      <c r="A308" s="31" t="s">
        <v>816</v>
      </c>
      <c r="B308" s="460">
        <v>903</v>
      </c>
      <c r="C308" s="462" t="s">
        <v>264</v>
      </c>
      <c r="D308" s="462" t="s">
        <v>215</v>
      </c>
      <c r="E308" s="462" t="s">
        <v>1212</v>
      </c>
      <c r="F308" s="462"/>
      <c r="G308" s="467">
        <f t="shared" ref="G308:H309" si="24">G309</f>
        <v>1250</v>
      </c>
      <c r="H308" s="467">
        <f t="shared" si="24"/>
        <v>1250</v>
      </c>
      <c r="I308" s="204"/>
    </row>
    <row r="309" spans="1:9" ht="78.75" x14ac:dyDescent="0.25">
      <c r="A309" s="466" t="s">
        <v>127</v>
      </c>
      <c r="B309" s="460">
        <v>903</v>
      </c>
      <c r="C309" s="462" t="s">
        <v>264</v>
      </c>
      <c r="D309" s="462" t="s">
        <v>215</v>
      </c>
      <c r="E309" s="462" t="s">
        <v>1212</v>
      </c>
      <c r="F309" s="462" t="s">
        <v>128</v>
      </c>
      <c r="G309" s="467">
        <f t="shared" si="24"/>
        <v>1250</v>
      </c>
      <c r="H309" s="467">
        <f t="shared" si="24"/>
        <v>1250</v>
      </c>
      <c r="I309" s="204"/>
    </row>
    <row r="310" spans="1:9" ht="24" customHeight="1" x14ac:dyDescent="0.25">
      <c r="A310" s="46" t="s">
        <v>342</v>
      </c>
      <c r="B310" s="460">
        <v>903</v>
      </c>
      <c r="C310" s="462" t="s">
        <v>264</v>
      </c>
      <c r="D310" s="462" t="s">
        <v>215</v>
      </c>
      <c r="E310" s="462" t="s">
        <v>1212</v>
      </c>
      <c r="F310" s="462" t="s">
        <v>209</v>
      </c>
      <c r="G310" s="467">
        <f>250+1000</f>
        <v>1250</v>
      </c>
      <c r="H310" s="467">
        <f t="shared" si="22"/>
        <v>1250</v>
      </c>
      <c r="I310" s="204"/>
    </row>
    <row r="311" spans="1:9" ht="31.5" hidden="1" x14ac:dyDescent="0.25">
      <c r="A311" s="466" t="s">
        <v>131</v>
      </c>
      <c r="B311" s="460">
        <v>903</v>
      </c>
      <c r="C311" s="462" t="s">
        <v>264</v>
      </c>
      <c r="D311" s="462" t="s">
        <v>215</v>
      </c>
      <c r="E311" s="462" t="s">
        <v>887</v>
      </c>
      <c r="F311" s="462" t="s">
        <v>132</v>
      </c>
      <c r="G311" s="467">
        <f>'[1]Пр.5 ведом.21'!G299</f>
        <v>0</v>
      </c>
      <c r="H311" s="467">
        <f t="shared" si="22"/>
        <v>0</v>
      </c>
      <c r="I311" s="204"/>
    </row>
    <row r="312" spans="1:9" ht="31.5" hidden="1" x14ac:dyDescent="0.25">
      <c r="A312" s="466" t="s">
        <v>133</v>
      </c>
      <c r="B312" s="460">
        <v>903</v>
      </c>
      <c r="C312" s="462" t="s">
        <v>264</v>
      </c>
      <c r="D312" s="462" t="s">
        <v>215</v>
      </c>
      <c r="E312" s="462" t="s">
        <v>887</v>
      </c>
      <c r="F312" s="462" t="s">
        <v>134</v>
      </c>
      <c r="G312" s="467">
        <f>'[1]Пр.5 ведом.21'!G300</f>
        <v>0</v>
      </c>
      <c r="H312" s="467">
        <f t="shared" si="22"/>
        <v>0</v>
      </c>
      <c r="I312" s="204"/>
    </row>
    <row r="313" spans="1:9" ht="31.5" x14ac:dyDescent="0.25">
      <c r="A313" s="464" t="s">
        <v>947</v>
      </c>
      <c r="B313" s="461">
        <v>903</v>
      </c>
      <c r="C313" s="465" t="s">
        <v>264</v>
      </c>
      <c r="D313" s="465" t="s">
        <v>215</v>
      </c>
      <c r="E313" s="465" t="s">
        <v>1213</v>
      </c>
      <c r="F313" s="465"/>
      <c r="G313" s="44">
        <f t="shared" ref="G313:H315" si="25">G314</f>
        <v>506</v>
      </c>
      <c r="H313" s="44">
        <f t="shared" si="25"/>
        <v>506</v>
      </c>
      <c r="I313" s="204"/>
    </row>
    <row r="314" spans="1:9" ht="47.25" x14ac:dyDescent="0.25">
      <c r="A314" s="466" t="s">
        <v>839</v>
      </c>
      <c r="B314" s="460">
        <v>903</v>
      </c>
      <c r="C314" s="462" t="s">
        <v>264</v>
      </c>
      <c r="D314" s="462" t="s">
        <v>215</v>
      </c>
      <c r="E314" s="462" t="s">
        <v>1214</v>
      </c>
      <c r="F314" s="462"/>
      <c r="G314" s="467">
        <f t="shared" si="25"/>
        <v>506</v>
      </c>
      <c r="H314" s="467">
        <f t="shared" si="25"/>
        <v>506</v>
      </c>
      <c r="I314" s="204"/>
    </row>
    <row r="315" spans="1:9" ht="78.75" x14ac:dyDescent="0.25">
      <c r="A315" s="466" t="s">
        <v>127</v>
      </c>
      <c r="B315" s="460">
        <v>903</v>
      </c>
      <c r="C315" s="462" t="s">
        <v>264</v>
      </c>
      <c r="D315" s="462" t="s">
        <v>215</v>
      </c>
      <c r="E315" s="462" t="s">
        <v>1214</v>
      </c>
      <c r="F315" s="462" t="s">
        <v>128</v>
      </c>
      <c r="G315" s="467">
        <f t="shared" si="25"/>
        <v>506</v>
      </c>
      <c r="H315" s="467">
        <f t="shared" si="25"/>
        <v>506</v>
      </c>
      <c r="I315" s="204"/>
    </row>
    <row r="316" spans="1:9" ht="31.5" x14ac:dyDescent="0.25">
      <c r="A316" s="466" t="s">
        <v>342</v>
      </c>
      <c r="B316" s="460">
        <v>903</v>
      </c>
      <c r="C316" s="462" t="s">
        <v>264</v>
      </c>
      <c r="D316" s="462" t="s">
        <v>215</v>
      </c>
      <c r="E316" s="462" t="s">
        <v>1214</v>
      </c>
      <c r="F316" s="462" t="s">
        <v>209</v>
      </c>
      <c r="G316" s="467">
        <v>506</v>
      </c>
      <c r="H316" s="467">
        <f t="shared" si="22"/>
        <v>506</v>
      </c>
      <c r="I316" s="204"/>
    </row>
    <row r="317" spans="1:9" ht="47.25" x14ac:dyDescent="0.25">
      <c r="A317" s="464" t="s">
        <v>900</v>
      </c>
      <c r="B317" s="461">
        <v>903</v>
      </c>
      <c r="C317" s="465" t="s">
        <v>264</v>
      </c>
      <c r="D317" s="465" t="s">
        <v>215</v>
      </c>
      <c r="E317" s="465" t="s">
        <v>1215</v>
      </c>
      <c r="F317" s="465"/>
      <c r="G317" s="44">
        <f>G321+G324+G318</f>
        <v>1075.4000000000001</v>
      </c>
      <c r="H317" s="44">
        <f>H321+H324+H318</f>
        <v>1075.4000000000001</v>
      </c>
      <c r="I317" s="204"/>
    </row>
    <row r="318" spans="1:9" ht="94.5" x14ac:dyDescent="0.25">
      <c r="A318" s="31" t="s">
        <v>293</v>
      </c>
      <c r="B318" s="460">
        <v>903</v>
      </c>
      <c r="C318" s="462" t="s">
        <v>264</v>
      </c>
      <c r="D318" s="462" t="s">
        <v>215</v>
      </c>
      <c r="E318" s="462" t="s">
        <v>1414</v>
      </c>
      <c r="F318" s="462"/>
      <c r="G318" s="467">
        <f>G319</f>
        <v>671</v>
      </c>
      <c r="H318" s="467">
        <f>H319</f>
        <v>671</v>
      </c>
      <c r="I318" s="204"/>
    </row>
    <row r="319" spans="1:9" ht="78.75" x14ac:dyDescent="0.25">
      <c r="A319" s="466" t="s">
        <v>127</v>
      </c>
      <c r="B319" s="460">
        <v>903</v>
      </c>
      <c r="C319" s="462" t="s">
        <v>264</v>
      </c>
      <c r="D319" s="462" t="s">
        <v>215</v>
      </c>
      <c r="E319" s="462" t="s">
        <v>1414</v>
      </c>
      <c r="F319" s="462" t="s">
        <v>128</v>
      </c>
      <c r="G319" s="467">
        <f>G320</f>
        <v>671</v>
      </c>
      <c r="H319" s="467">
        <f>H320</f>
        <v>671</v>
      </c>
      <c r="I319" s="204"/>
    </row>
    <row r="320" spans="1:9" ht="31.5" x14ac:dyDescent="0.25">
      <c r="A320" s="46" t="s">
        <v>342</v>
      </c>
      <c r="B320" s="460">
        <v>903</v>
      </c>
      <c r="C320" s="462" t="s">
        <v>264</v>
      </c>
      <c r="D320" s="462" t="s">
        <v>215</v>
      </c>
      <c r="E320" s="462" t="s">
        <v>1414</v>
      </c>
      <c r="F320" s="462" t="s">
        <v>209</v>
      </c>
      <c r="G320" s="467">
        <v>671</v>
      </c>
      <c r="H320" s="467">
        <f>G320</f>
        <v>671</v>
      </c>
      <c r="I320" s="204"/>
    </row>
    <row r="321" spans="1:9" ht="63" x14ac:dyDescent="0.25">
      <c r="A321" s="31" t="s">
        <v>289</v>
      </c>
      <c r="B321" s="460">
        <v>903</v>
      </c>
      <c r="C321" s="462" t="s">
        <v>264</v>
      </c>
      <c r="D321" s="462" t="s">
        <v>215</v>
      </c>
      <c r="E321" s="462" t="s">
        <v>1216</v>
      </c>
      <c r="F321" s="462"/>
      <c r="G321" s="467">
        <f>G322</f>
        <v>106</v>
      </c>
      <c r="H321" s="467">
        <f>H322</f>
        <v>106</v>
      </c>
      <c r="I321" s="204"/>
    </row>
    <row r="322" spans="1:9" ht="78.75" x14ac:dyDescent="0.25">
      <c r="A322" s="466" t="s">
        <v>127</v>
      </c>
      <c r="B322" s="460">
        <v>903</v>
      </c>
      <c r="C322" s="462" t="s">
        <v>264</v>
      </c>
      <c r="D322" s="462" t="s">
        <v>215</v>
      </c>
      <c r="E322" s="462" t="s">
        <v>1216</v>
      </c>
      <c r="F322" s="462" t="s">
        <v>128</v>
      </c>
      <c r="G322" s="467">
        <f>G323</f>
        <v>106</v>
      </c>
      <c r="H322" s="467">
        <f>H323</f>
        <v>106</v>
      </c>
      <c r="I322" s="204"/>
    </row>
    <row r="323" spans="1:9" ht="31.5" x14ac:dyDescent="0.25">
      <c r="A323" s="46" t="s">
        <v>342</v>
      </c>
      <c r="B323" s="460">
        <v>903</v>
      </c>
      <c r="C323" s="462" t="s">
        <v>264</v>
      </c>
      <c r="D323" s="462" t="s">
        <v>215</v>
      </c>
      <c r="E323" s="462" t="s">
        <v>1216</v>
      </c>
      <c r="F323" s="462" t="s">
        <v>209</v>
      </c>
      <c r="G323" s="467">
        <v>106</v>
      </c>
      <c r="H323" s="467">
        <f t="shared" si="22"/>
        <v>106</v>
      </c>
      <c r="I323" s="204"/>
    </row>
    <row r="324" spans="1:9" ht="63" x14ac:dyDescent="0.25">
      <c r="A324" s="31" t="s">
        <v>291</v>
      </c>
      <c r="B324" s="460">
        <v>903</v>
      </c>
      <c r="C324" s="462" t="s">
        <v>264</v>
      </c>
      <c r="D324" s="462" t="s">
        <v>215</v>
      </c>
      <c r="E324" s="462" t="s">
        <v>1217</v>
      </c>
      <c r="F324" s="462"/>
      <c r="G324" s="467">
        <f>G325</f>
        <v>298.39999999999998</v>
      </c>
      <c r="H324" s="467">
        <f t="shared" si="22"/>
        <v>298.39999999999998</v>
      </c>
      <c r="I324" s="204"/>
    </row>
    <row r="325" spans="1:9" ht="78.75" x14ac:dyDescent="0.25">
      <c r="A325" s="466" t="s">
        <v>127</v>
      </c>
      <c r="B325" s="460">
        <v>903</v>
      </c>
      <c r="C325" s="462" t="s">
        <v>264</v>
      </c>
      <c r="D325" s="462" t="s">
        <v>215</v>
      </c>
      <c r="E325" s="462" t="s">
        <v>1217</v>
      </c>
      <c r="F325" s="462" t="s">
        <v>128</v>
      </c>
      <c r="G325" s="467">
        <f>G326</f>
        <v>298.39999999999998</v>
      </c>
      <c r="H325" s="467">
        <f>H326</f>
        <v>298.39999999999998</v>
      </c>
      <c r="I325" s="204"/>
    </row>
    <row r="326" spans="1:9" ht="31.5" x14ac:dyDescent="0.25">
      <c r="A326" s="46" t="s">
        <v>342</v>
      </c>
      <c r="B326" s="460">
        <v>903</v>
      </c>
      <c r="C326" s="462" t="s">
        <v>264</v>
      </c>
      <c r="D326" s="462" t="s">
        <v>215</v>
      </c>
      <c r="E326" s="462" t="s">
        <v>1217</v>
      </c>
      <c r="F326" s="462" t="s">
        <v>209</v>
      </c>
      <c r="G326" s="467">
        <f>298.4</f>
        <v>298.39999999999998</v>
      </c>
      <c r="H326" s="467">
        <f t="shared" si="22"/>
        <v>298.39999999999998</v>
      </c>
      <c r="I326" s="204"/>
    </row>
    <row r="327" spans="1:9" ht="47.25" x14ac:dyDescent="0.25">
      <c r="A327" s="34" t="s">
        <v>1225</v>
      </c>
      <c r="B327" s="461">
        <v>903</v>
      </c>
      <c r="C327" s="465" t="s">
        <v>264</v>
      </c>
      <c r="D327" s="465" t="s">
        <v>215</v>
      </c>
      <c r="E327" s="465" t="s">
        <v>324</v>
      </c>
      <c r="F327" s="465"/>
      <c r="G327" s="463">
        <f>G329</f>
        <v>6</v>
      </c>
      <c r="H327" s="463">
        <f>H329</f>
        <v>0</v>
      </c>
      <c r="I327" s="204"/>
    </row>
    <row r="328" spans="1:9" ht="63" x14ac:dyDescent="0.25">
      <c r="A328" s="34" t="s">
        <v>1025</v>
      </c>
      <c r="B328" s="461">
        <v>903</v>
      </c>
      <c r="C328" s="465" t="s">
        <v>264</v>
      </c>
      <c r="D328" s="465" t="s">
        <v>215</v>
      </c>
      <c r="E328" s="465" t="s">
        <v>934</v>
      </c>
      <c r="F328" s="465"/>
      <c r="G328" s="463">
        <f>G331</f>
        <v>6</v>
      </c>
      <c r="H328" s="463">
        <f>H331</f>
        <v>0</v>
      </c>
      <c r="I328" s="204"/>
    </row>
    <row r="329" spans="1:9" ht="47.25" x14ac:dyDescent="0.25">
      <c r="A329" s="31" t="s">
        <v>1083</v>
      </c>
      <c r="B329" s="460">
        <v>903</v>
      </c>
      <c r="C329" s="462" t="s">
        <v>264</v>
      </c>
      <c r="D329" s="462" t="s">
        <v>215</v>
      </c>
      <c r="E329" s="462" t="s">
        <v>1026</v>
      </c>
      <c r="F329" s="462"/>
      <c r="G329" s="467">
        <f>G330</f>
        <v>6</v>
      </c>
      <c r="H329" s="467">
        <f>H330</f>
        <v>0</v>
      </c>
      <c r="I329" s="204"/>
    </row>
    <row r="330" spans="1:9" ht="31.5" x14ac:dyDescent="0.25">
      <c r="A330" s="466" t="s">
        <v>131</v>
      </c>
      <c r="B330" s="460">
        <v>903</v>
      </c>
      <c r="C330" s="462" t="s">
        <v>264</v>
      </c>
      <c r="D330" s="462" t="s">
        <v>215</v>
      </c>
      <c r="E330" s="462" t="s">
        <v>1026</v>
      </c>
      <c r="F330" s="462" t="s">
        <v>132</v>
      </c>
      <c r="G330" s="467">
        <f>G331</f>
        <v>6</v>
      </c>
      <c r="H330" s="467">
        <f>H331</f>
        <v>0</v>
      </c>
      <c r="I330" s="204"/>
    </row>
    <row r="331" spans="1:9" ht="31.5" x14ac:dyDescent="0.25">
      <c r="A331" s="466" t="s">
        <v>133</v>
      </c>
      <c r="B331" s="460">
        <v>903</v>
      </c>
      <c r="C331" s="462" t="s">
        <v>264</v>
      </c>
      <c r="D331" s="462" t="s">
        <v>215</v>
      </c>
      <c r="E331" s="462" t="s">
        <v>1026</v>
      </c>
      <c r="F331" s="462" t="s">
        <v>134</v>
      </c>
      <c r="G331" s="467">
        <v>6</v>
      </c>
      <c r="H331" s="467">
        <v>0</v>
      </c>
      <c r="I331" s="204"/>
    </row>
    <row r="332" spans="1:9" ht="47.25" x14ac:dyDescent="0.25">
      <c r="A332" s="470" t="s">
        <v>1363</v>
      </c>
      <c r="B332" s="461">
        <v>903</v>
      </c>
      <c r="C332" s="465" t="s">
        <v>264</v>
      </c>
      <c r="D332" s="465" t="s">
        <v>215</v>
      </c>
      <c r="E332" s="465" t="s">
        <v>705</v>
      </c>
      <c r="F332" s="465"/>
      <c r="G332" s="463">
        <f>G334</f>
        <v>490.2</v>
      </c>
      <c r="H332" s="463">
        <f>H334</f>
        <v>509.8</v>
      </c>
      <c r="I332" s="204"/>
    </row>
    <row r="333" spans="1:9" ht="47.25" x14ac:dyDescent="0.25">
      <c r="A333" s="470" t="s">
        <v>890</v>
      </c>
      <c r="B333" s="461">
        <v>903</v>
      </c>
      <c r="C333" s="465" t="s">
        <v>264</v>
      </c>
      <c r="D333" s="465" t="s">
        <v>215</v>
      </c>
      <c r="E333" s="465" t="s">
        <v>888</v>
      </c>
      <c r="F333" s="465"/>
      <c r="G333" s="463">
        <f t="shared" ref="G333:H335" si="26">G334</f>
        <v>490.2</v>
      </c>
      <c r="H333" s="463">
        <f t="shared" si="26"/>
        <v>509.8</v>
      </c>
      <c r="I333" s="204"/>
    </row>
    <row r="334" spans="1:9" ht="47.25" x14ac:dyDescent="0.25">
      <c r="A334" s="98" t="s">
        <v>1004</v>
      </c>
      <c r="B334" s="462" t="s">
        <v>627</v>
      </c>
      <c r="C334" s="462" t="s">
        <v>264</v>
      </c>
      <c r="D334" s="462" t="s">
        <v>215</v>
      </c>
      <c r="E334" s="462" t="s">
        <v>889</v>
      </c>
      <c r="F334" s="468"/>
      <c r="G334" s="467">
        <f t="shared" si="26"/>
        <v>490.2</v>
      </c>
      <c r="H334" s="467">
        <f t="shared" si="26"/>
        <v>509.8</v>
      </c>
      <c r="I334" s="204"/>
    </row>
    <row r="335" spans="1:9" ht="31.5" x14ac:dyDescent="0.25">
      <c r="A335" s="466" t="s">
        <v>131</v>
      </c>
      <c r="B335" s="460">
        <v>903</v>
      </c>
      <c r="C335" s="462" t="s">
        <v>264</v>
      </c>
      <c r="D335" s="462" t="s">
        <v>215</v>
      </c>
      <c r="E335" s="462" t="s">
        <v>889</v>
      </c>
      <c r="F335" s="468" t="s">
        <v>132</v>
      </c>
      <c r="G335" s="467">
        <f t="shared" si="26"/>
        <v>490.2</v>
      </c>
      <c r="H335" s="467">
        <f t="shared" si="26"/>
        <v>509.8</v>
      </c>
      <c r="I335" s="204"/>
    </row>
    <row r="336" spans="1:9" ht="31.5" x14ac:dyDescent="0.25">
      <c r="A336" s="466" t="s">
        <v>133</v>
      </c>
      <c r="B336" s="460">
        <v>903</v>
      </c>
      <c r="C336" s="462" t="s">
        <v>264</v>
      </c>
      <c r="D336" s="462" t="s">
        <v>215</v>
      </c>
      <c r="E336" s="462" t="s">
        <v>889</v>
      </c>
      <c r="F336" s="468" t="s">
        <v>134</v>
      </c>
      <c r="G336" s="467">
        <v>490.2</v>
      </c>
      <c r="H336" s="467">
        <v>509.8</v>
      </c>
      <c r="I336" s="204"/>
    </row>
    <row r="337" spans="1:9" ht="15.75" x14ac:dyDescent="0.25">
      <c r="A337" s="464" t="s">
        <v>466</v>
      </c>
      <c r="B337" s="461">
        <v>903</v>
      </c>
      <c r="C337" s="465" t="s">
        <v>264</v>
      </c>
      <c r="D337" s="465" t="s">
        <v>264</v>
      </c>
      <c r="E337" s="462"/>
      <c r="F337" s="462"/>
      <c r="G337" s="463">
        <f>G338</f>
        <v>760</v>
      </c>
      <c r="H337" s="463">
        <f>H338</f>
        <v>825</v>
      </c>
      <c r="I337" s="204"/>
    </row>
    <row r="338" spans="1:9" ht="47.25" x14ac:dyDescent="0.25">
      <c r="A338" s="464" t="s">
        <v>1377</v>
      </c>
      <c r="B338" s="461">
        <v>903</v>
      </c>
      <c r="C338" s="465" t="s">
        <v>264</v>
      </c>
      <c r="D338" s="465" t="s">
        <v>264</v>
      </c>
      <c r="E338" s="465" t="s">
        <v>344</v>
      </c>
      <c r="F338" s="465"/>
      <c r="G338" s="463">
        <f>G339</f>
        <v>760</v>
      </c>
      <c r="H338" s="463">
        <f>H339</f>
        <v>825</v>
      </c>
      <c r="I338" s="204"/>
    </row>
    <row r="339" spans="1:9" ht="31.5" x14ac:dyDescent="0.25">
      <c r="A339" s="464" t="s">
        <v>345</v>
      </c>
      <c r="B339" s="461">
        <v>903</v>
      </c>
      <c r="C339" s="465" t="s">
        <v>264</v>
      </c>
      <c r="D339" s="465" t="s">
        <v>264</v>
      </c>
      <c r="E339" s="465" t="s">
        <v>346</v>
      </c>
      <c r="F339" s="465"/>
      <c r="G339" s="463">
        <f>G340+G347+G353</f>
        <v>760</v>
      </c>
      <c r="H339" s="463">
        <f>H340+H347+H353</f>
        <v>825</v>
      </c>
      <c r="I339" s="204"/>
    </row>
    <row r="340" spans="1:9" ht="47.25" x14ac:dyDescent="0.25">
      <c r="A340" s="210" t="s">
        <v>1031</v>
      </c>
      <c r="B340" s="461">
        <v>903</v>
      </c>
      <c r="C340" s="465" t="s">
        <v>264</v>
      </c>
      <c r="D340" s="465" t="s">
        <v>264</v>
      </c>
      <c r="E340" s="465" t="s">
        <v>892</v>
      </c>
      <c r="F340" s="465"/>
      <c r="G340" s="463">
        <f>G341+G344</f>
        <v>280</v>
      </c>
      <c r="H340" s="463">
        <f>H341+H344</f>
        <v>280</v>
      </c>
      <c r="I340" s="204"/>
    </row>
    <row r="341" spans="1:9" ht="31.5" x14ac:dyDescent="0.25">
      <c r="A341" s="98" t="s">
        <v>1037</v>
      </c>
      <c r="B341" s="460">
        <v>903</v>
      </c>
      <c r="C341" s="462" t="s">
        <v>264</v>
      </c>
      <c r="D341" s="462" t="s">
        <v>264</v>
      </c>
      <c r="E341" s="462" t="s">
        <v>893</v>
      </c>
      <c r="F341" s="462"/>
      <c r="G341" s="467">
        <f>G342</f>
        <v>280</v>
      </c>
      <c r="H341" s="467">
        <f>H342</f>
        <v>280</v>
      </c>
      <c r="I341" s="204"/>
    </row>
    <row r="342" spans="1:9" ht="78.75" x14ac:dyDescent="0.25">
      <c r="A342" s="466" t="s">
        <v>127</v>
      </c>
      <c r="B342" s="460">
        <v>903</v>
      </c>
      <c r="C342" s="462" t="s">
        <v>264</v>
      </c>
      <c r="D342" s="462" t="s">
        <v>264</v>
      </c>
      <c r="E342" s="462" t="s">
        <v>893</v>
      </c>
      <c r="F342" s="462" t="s">
        <v>128</v>
      </c>
      <c r="G342" s="467">
        <f>G343</f>
        <v>280</v>
      </c>
      <c r="H342" s="467">
        <f>H343</f>
        <v>280</v>
      </c>
      <c r="I342" s="204"/>
    </row>
    <row r="343" spans="1:9" ht="31.5" x14ac:dyDescent="0.25">
      <c r="A343" s="466" t="s">
        <v>342</v>
      </c>
      <c r="B343" s="460">
        <v>903</v>
      </c>
      <c r="C343" s="462" t="s">
        <v>264</v>
      </c>
      <c r="D343" s="462" t="s">
        <v>264</v>
      </c>
      <c r="E343" s="462" t="s">
        <v>893</v>
      </c>
      <c r="F343" s="462" t="s">
        <v>209</v>
      </c>
      <c r="G343" s="467">
        <f>280</f>
        <v>280</v>
      </c>
      <c r="H343" s="467">
        <f t="shared" si="22"/>
        <v>280</v>
      </c>
      <c r="I343" s="204"/>
    </row>
    <row r="344" spans="1:9" ht="31.5" hidden="1" x14ac:dyDescent="0.25">
      <c r="A344" s="466" t="s">
        <v>1032</v>
      </c>
      <c r="B344" s="460">
        <v>903</v>
      </c>
      <c r="C344" s="462" t="s">
        <v>264</v>
      </c>
      <c r="D344" s="462" t="s">
        <v>264</v>
      </c>
      <c r="E344" s="462" t="s">
        <v>1049</v>
      </c>
      <c r="F344" s="462"/>
      <c r="G344" s="467">
        <f>'[1]Пр.5 ведом.21'!G332</f>
        <v>0</v>
      </c>
      <c r="H344" s="467">
        <f t="shared" si="22"/>
        <v>0</v>
      </c>
      <c r="I344" s="204"/>
    </row>
    <row r="345" spans="1:9" ht="31.5" hidden="1" x14ac:dyDescent="0.25">
      <c r="A345" s="466" t="s">
        <v>131</v>
      </c>
      <c r="B345" s="460">
        <v>903</v>
      </c>
      <c r="C345" s="462" t="s">
        <v>264</v>
      </c>
      <c r="D345" s="462" t="s">
        <v>264</v>
      </c>
      <c r="E345" s="462" t="s">
        <v>1049</v>
      </c>
      <c r="F345" s="462" t="s">
        <v>132</v>
      </c>
      <c r="G345" s="467">
        <f>'[1]Пр.5 ведом.21'!G333</f>
        <v>0</v>
      </c>
      <c r="H345" s="467">
        <f t="shared" si="22"/>
        <v>0</v>
      </c>
      <c r="I345" s="204"/>
    </row>
    <row r="346" spans="1:9" ht="31.5" hidden="1" x14ac:dyDescent="0.25">
      <c r="A346" s="466" t="s">
        <v>133</v>
      </c>
      <c r="B346" s="460">
        <v>903</v>
      </c>
      <c r="C346" s="462" t="s">
        <v>264</v>
      </c>
      <c r="D346" s="462" t="s">
        <v>264</v>
      </c>
      <c r="E346" s="462" t="s">
        <v>1049</v>
      </c>
      <c r="F346" s="462" t="s">
        <v>134</v>
      </c>
      <c r="G346" s="467">
        <f>'[1]Пр.5 ведом.21'!G334</f>
        <v>0</v>
      </c>
      <c r="H346" s="467">
        <f t="shared" si="22"/>
        <v>0</v>
      </c>
      <c r="I346" s="204"/>
    </row>
    <row r="347" spans="1:9" ht="63" x14ac:dyDescent="0.25">
      <c r="A347" s="464" t="s">
        <v>1033</v>
      </c>
      <c r="B347" s="461">
        <v>903</v>
      </c>
      <c r="C347" s="465" t="s">
        <v>264</v>
      </c>
      <c r="D347" s="465" t="s">
        <v>264</v>
      </c>
      <c r="E347" s="465" t="s">
        <v>894</v>
      </c>
      <c r="F347" s="465"/>
      <c r="G347" s="463">
        <f>G348</f>
        <v>455</v>
      </c>
      <c r="H347" s="463">
        <f>H348</f>
        <v>520</v>
      </c>
      <c r="I347" s="204"/>
    </row>
    <row r="348" spans="1:9" ht="15.75" x14ac:dyDescent="0.25">
      <c r="A348" s="466" t="s">
        <v>1034</v>
      </c>
      <c r="B348" s="460">
        <v>903</v>
      </c>
      <c r="C348" s="462" t="s">
        <v>264</v>
      </c>
      <c r="D348" s="462" t="s">
        <v>264</v>
      </c>
      <c r="E348" s="462" t="s">
        <v>901</v>
      </c>
      <c r="F348" s="462"/>
      <c r="G348" s="467">
        <f>G349+G351</f>
        <v>455</v>
      </c>
      <c r="H348" s="467">
        <f>H349+H351</f>
        <v>520</v>
      </c>
      <c r="I348" s="204"/>
    </row>
    <row r="349" spans="1:9" ht="78.75" x14ac:dyDescent="0.25">
      <c r="A349" s="466" t="s">
        <v>127</v>
      </c>
      <c r="B349" s="460">
        <v>903</v>
      </c>
      <c r="C349" s="462" t="s">
        <v>264</v>
      </c>
      <c r="D349" s="462" t="s">
        <v>264</v>
      </c>
      <c r="E349" s="462" t="s">
        <v>901</v>
      </c>
      <c r="F349" s="462" t="s">
        <v>128</v>
      </c>
      <c r="G349" s="467">
        <f>G350</f>
        <v>40</v>
      </c>
      <c r="H349" s="467">
        <f>H350</f>
        <v>40</v>
      </c>
      <c r="I349" s="204"/>
    </row>
    <row r="350" spans="1:9" ht="31.5" x14ac:dyDescent="0.25">
      <c r="A350" s="466" t="s">
        <v>342</v>
      </c>
      <c r="B350" s="460">
        <v>903</v>
      </c>
      <c r="C350" s="462" t="s">
        <v>264</v>
      </c>
      <c r="D350" s="462" t="s">
        <v>264</v>
      </c>
      <c r="E350" s="462" t="s">
        <v>901</v>
      </c>
      <c r="F350" s="462" t="s">
        <v>209</v>
      </c>
      <c r="G350" s="467">
        <f>40</f>
        <v>40</v>
      </c>
      <c r="H350" s="467">
        <f t="shared" si="22"/>
        <v>40</v>
      </c>
      <c r="I350" s="204"/>
    </row>
    <row r="351" spans="1:9" ht="31.5" x14ac:dyDescent="0.25">
      <c r="A351" s="466" t="s">
        <v>131</v>
      </c>
      <c r="B351" s="460">
        <v>903</v>
      </c>
      <c r="C351" s="462" t="s">
        <v>264</v>
      </c>
      <c r="D351" s="462" t="s">
        <v>264</v>
      </c>
      <c r="E351" s="462" t="s">
        <v>901</v>
      </c>
      <c r="F351" s="462" t="s">
        <v>132</v>
      </c>
      <c r="G351" s="467">
        <f>G352</f>
        <v>415</v>
      </c>
      <c r="H351" s="467">
        <f>H352</f>
        <v>480</v>
      </c>
      <c r="I351" s="204"/>
    </row>
    <row r="352" spans="1:9" ht="31.5" x14ac:dyDescent="0.25">
      <c r="A352" s="466" t="s">
        <v>133</v>
      </c>
      <c r="B352" s="460">
        <v>903</v>
      </c>
      <c r="C352" s="462" t="s">
        <v>264</v>
      </c>
      <c r="D352" s="462" t="s">
        <v>264</v>
      </c>
      <c r="E352" s="462" t="s">
        <v>901</v>
      </c>
      <c r="F352" s="462" t="s">
        <v>134</v>
      </c>
      <c r="G352" s="467">
        <f>415</f>
        <v>415</v>
      </c>
      <c r="H352" s="467">
        <v>480</v>
      </c>
      <c r="I352" s="204"/>
    </row>
    <row r="353" spans="1:13" ht="31.5" x14ac:dyDescent="0.25">
      <c r="A353" s="464" t="s">
        <v>1039</v>
      </c>
      <c r="B353" s="461">
        <v>903</v>
      </c>
      <c r="C353" s="465" t="s">
        <v>264</v>
      </c>
      <c r="D353" s="465" t="s">
        <v>264</v>
      </c>
      <c r="E353" s="465" t="s">
        <v>1035</v>
      </c>
      <c r="F353" s="465"/>
      <c r="G353" s="463">
        <f t="shared" ref="G353:H355" si="27">G354</f>
        <v>25</v>
      </c>
      <c r="H353" s="463">
        <f t="shared" si="27"/>
        <v>25</v>
      </c>
      <c r="I353" s="204"/>
    </row>
    <row r="354" spans="1:13" ht="47.25" x14ac:dyDescent="0.25">
      <c r="A354" s="230" t="s">
        <v>1036</v>
      </c>
      <c r="B354" s="460">
        <v>903</v>
      </c>
      <c r="C354" s="462" t="s">
        <v>264</v>
      </c>
      <c r="D354" s="462" t="s">
        <v>264</v>
      </c>
      <c r="E354" s="462" t="s">
        <v>1050</v>
      </c>
      <c r="F354" s="462"/>
      <c r="G354" s="467">
        <f t="shared" si="27"/>
        <v>25</v>
      </c>
      <c r="H354" s="467">
        <f t="shared" si="27"/>
        <v>25</v>
      </c>
      <c r="I354" s="204"/>
    </row>
    <row r="355" spans="1:13" ht="31.5" x14ac:dyDescent="0.25">
      <c r="A355" s="466" t="s">
        <v>248</v>
      </c>
      <c r="B355" s="460">
        <v>903</v>
      </c>
      <c r="C355" s="462" t="s">
        <v>264</v>
      </c>
      <c r="D355" s="462" t="s">
        <v>264</v>
      </c>
      <c r="E355" s="462" t="s">
        <v>1050</v>
      </c>
      <c r="F355" s="462" t="s">
        <v>249</v>
      </c>
      <c r="G355" s="467">
        <f t="shared" si="27"/>
        <v>25</v>
      </c>
      <c r="H355" s="467">
        <f t="shared" si="27"/>
        <v>25</v>
      </c>
      <c r="I355" s="204"/>
    </row>
    <row r="356" spans="1:13" ht="31.5" x14ac:dyDescent="0.25">
      <c r="A356" s="466" t="s">
        <v>1201</v>
      </c>
      <c r="B356" s="460">
        <v>903</v>
      </c>
      <c r="C356" s="462" t="s">
        <v>264</v>
      </c>
      <c r="D356" s="462" t="s">
        <v>264</v>
      </c>
      <c r="E356" s="462" t="s">
        <v>1050</v>
      </c>
      <c r="F356" s="462" t="s">
        <v>1200</v>
      </c>
      <c r="G356" s="467">
        <f>25</f>
        <v>25</v>
      </c>
      <c r="H356" s="467">
        <f t="shared" si="22"/>
        <v>25</v>
      </c>
      <c r="I356" s="204"/>
    </row>
    <row r="357" spans="1:13" ht="15.75" x14ac:dyDescent="0.25">
      <c r="A357" s="464" t="s">
        <v>298</v>
      </c>
      <c r="B357" s="461">
        <v>903</v>
      </c>
      <c r="C357" s="465" t="s">
        <v>299</v>
      </c>
      <c r="D357" s="465"/>
      <c r="E357" s="465"/>
      <c r="F357" s="465"/>
      <c r="G357" s="463">
        <f>G358+G411</f>
        <v>76411.28</v>
      </c>
      <c r="H357" s="463">
        <f>H358+H411</f>
        <v>77665.48</v>
      </c>
      <c r="I357" s="204"/>
    </row>
    <row r="358" spans="1:13" ht="15.75" x14ac:dyDescent="0.25">
      <c r="A358" s="464" t="s">
        <v>300</v>
      </c>
      <c r="B358" s="461">
        <v>903</v>
      </c>
      <c r="C358" s="465" t="s">
        <v>299</v>
      </c>
      <c r="D358" s="465" t="s">
        <v>118</v>
      </c>
      <c r="E358" s="465"/>
      <c r="F358" s="465"/>
      <c r="G358" s="463">
        <f>G359+G406+G401</f>
        <v>57844.87999999999</v>
      </c>
      <c r="H358" s="463">
        <f>H359+H406+H401</f>
        <v>59070.079999999994</v>
      </c>
      <c r="I358" s="204"/>
    </row>
    <row r="359" spans="1:13" ht="39.200000000000003" customHeight="1" x14ac:dyDescent="0.25">
      <c r="A359" s="464" t="s">
        <v>1378</v>
      </c>
      <c r="B359" s="461">
        <v>903</v>
      </c>
      <c r="C359" s="465" t="s">
        <v>299</v>
      </c>
      <c r="D359" s="465" t="s">
        <v>118</v>
      </c>
      <c r="E359" s="465" t="s">
        <v>267</v>
      </c>
      <c r="F359" s="465"/>
      <c r="G359" s="463">
        <f>G360+G368+G374+G378+G385+G393+G389+G397</f>
        <v>56956.179999999993</v>
      </c>
      <c r="H359" s="463">
        <f>H360+H368+H374+H378+H385+H393+H389+H397</f>
        <v>58156.179999999993</v>
      </c>
      <c r="I359" s="204"/>
    </row>
    <row r="360" spans="1:13" ht="33.75" customHeight="1" x14ac:dyDescent="0.25">
      <c r="A360" s="464" t="s">
        <v>895</v>
      </c>
      <c r="B360" s="461">
        <v>903</v>
      </c>
      <c r="C360" s="465" t="s">
        <v>299</v>
      </c>
      <c r="D360" s="465" t="s">
        <v>118</v>
      </c>
      <c r="E360" s="465" t="s">
        <v>1208</v>
      </c>
      <c r="F360" s="465"/>
      <c r="G360" s="463">
        <f>G361</f>
        <v>51840.479999999996</v>
      </c>
      <c r="H360" s="463">
        <f>H361</f>
        <v>51840.479999999996</v>
      </c>
      <c r="I360" s="204"/>
    </row>
    <row r="361" spans="1:13" ht="15.75" x14ac:dyDescent="0.25">
      <c r="A361" s="466" t="s">
        <v>800</v>
      </c>
      <c r="B361" s="460">
        <v>903</v>
      </c>
      <c r="C361" s="462" t="s">
        <v>299</v>
      </c>
      <c r="D361" s="462" t="s">
        <v>118</v>
      </c>
      <c r="E361" s="462" t="s">
        <v>1209</v>
      </c>
      <c r="F361" s="462"/>
      <c r="G361" s="467">
        <f>G362+G364+G366</f>
        <v>51840.479999999996</v>
      </c>
      <c r="H361" s="467">
        <f>H362+H364+H366</f>
        <v>51840.479999999996</v>
      </c>
      <c r="I361" s="204"/>
      <c r="M361" s="457">
        <v>51840.58</v>
      </c>
    </row>
    <row r="362" spans="1:13" ht="78.75" x14ac:dyDescent="0.25">
      <c r="A362" s="466" t="s">
        <v>127</v>
      </c>
      <c r="B362" s="460">
        <v>903</v>
      </c>
      <c r="C362" s="462" t="s">
        <v>299</v>
      </c>
      <c r="D362" s="462" t="s">
        <v>118</v>
      </c>
      <c r="E362" s="462" t="s">
        <v>1209</v>
      </c>
      <c r="F362" s="462" t="s">
        <v>128</v>
      </c>
      <c r="G362" s="467">
        <f>G363</f>
        <v>43271.28</v>
      </c>
      <c r="H362" s="467">
        <f>H363</f>
        <v>43271.28</v>
      </c>
      <c r="I362" s="204"/>
    </row>
    <row r="363" spans="1:13" ht="15.75" x14ac:dyDescent="0.25">
      <c r="A363" s="466" t="s">
        <v>208</v>
      </c>
      <c r="B363" s="460">
        <v>903</v>
      </c>
      <c r="C363" s="462" t="s">
        <v>299</v>
      </c>
      <c r="D363" s="462" t="s">
        <v>118</v>
      </c>
      <c r="E363" s="462" t="s">
        <v>1209</v>
      </c>
      <c r="F363" s="462" t="s">
        <v>209</v>
      </c>
      <c r="G363" s="467">
        <v>43271.28</v>
      </c>
      <c r="H363" s="467">
        <f t="shared" si="22"/>
        <v>43271.28</v>
      </c>
      <c r="I363" s="204"/>
    </row>
    <row r="364" spans="1:13" ht="31.5" x14ac:dyDescent="0.25">
      <c r="A364" s="466" t="s">
        <v>131</v>
      </c>
      <c r="B364" s="460">
        <v>903</v>
      </c>
      <c r="C364" s="462" t="s">
        <v>299</v>
      </c>
      <c r="D364" s="462" t="s">
        <v>118</v>
      </c>
      <c r="E364" s="462" t="s">
        <v>1209</v>
      </c>
      <c r="F364" s="462" t="s">
        <v>132</v>
      </c>
      <c r="G364" s="467">
        <f>G365</f>
        <v>8506.2000000000007</v>
      </c>
      <c r="H364" s="467">
        <f>H365</f>
        <v>8506.2000000000007</v>
      </c>
      <c r="I364" s="204"/>
    </row>
    <row r="365" spans="1:13" ht="29.85" customHeight="1" x14ac:dyDescent="0.25">
      <c r="A365" s="466" t="s">
        <v>133</v>
      </c>
      <c r="B365" s="460">
        <v>903</v>
      </c>
      <c r="C365" s="462" t="s">
        <v>299</v>
      </c>
      <c r="D365" s="462" t="s">
        <v>118</v>
      </c>
      <c r="E365" s="462" t="s">
        <v>1209</v>
      </c>
      <c r="F365" s="462" t="s">
        <v>134</v>
      </c>
      <c r="G365" s="467">
        <v>8506.2000000000007</v>
      </c>
      <c r="H365" s="467">
        <f t="shared" si="22"/>
        <v>8506.2000000000007</v>
      </c>
      <c r="I365" s="204"/>
    </row>
    <row r="366" spans="1:13" ht="15.75" x14ac:dyDescent="0.25">
      <c r="A366" s="466" t="s">
        <v>135</v>
      </c>
      <c r="B366" s="460">
        <v>903</v>
      </c>
      <c r="C366" s="462" t="s">
        <v>299</v>
      </c>
      <c r="D366" s="462" t="s">
        <v>118</v>
      </c>
      <c r="E366" s="462" t="s">
        <v>1209</v>
      </c>
      <c r="F366" s="462" t="s">
        <v>145</v>
      </c>
      <c r="G366" s="467">
        <f>G367</f>
        <v>63</v>
      </c>
      <c r="H366" s="467">
        <f>H367</f>
        <v>63</v>
      </c>
      <c r="I366" s="204"/>
    </row>
    <row r="367" spans="1:13" ht="15.75" x14ac:dyDescent="0.25">
      <c r="A367" s="466" t="s">
        <v>568</v>
      </c>
      <c r="B367" s="460">
        <v>903</v>
      </c>
      <c r="C367" s="462" t="s">
        <v>299</v>
      </c>
      <c r="D367" s="462" t="s">
        <v>118</v>
      </c>
      <c r="E367" s="462" t="s">
        <v>1209</v>
      </c>
      <c r="F367" s="462" t="s">
        <v>138</v>
      </c>
      <c r="G367" s="467">
        <v>63</v>
      </c>
      <c r="H367" s="467">
        <f t="shared" ref="H367:H377" si="28">G367</f>
        <v>63</v>
      </c>
      <c r="I367" s="204"/>
    </row>
    <row r="368" spans="1:13" ht="31.5" x14ac:dyDescent="0.25">
      <c r="A368" s="216" t="s">
        <v>1308</v>
      </c>
      <c r="B368" s="461">
        <v>903</v>
      </c>
      <c r="C368" s="465" t="s">
        <v>299</v>
      </c>
      <c r="D368" s="465" t="s">
        <v>118</v>
      </c>
      <c r="E368" s="465" t="s">
        <v>1210</v>
      </c>
      <c r="F368" s="465"/>
      <c r="G368" s="463">
        <f>G369</f>
        <v>1380</v>
      </c>
      <c r="H368" s="463">
        <f>H369</f>
        <v>1380</v>
      </c>
      <c r="I368" s="204"/>
    </row>
    <row r="369" spans="1:9" ht="31.5" x14ac:dyDescent="0.25">
      <c r="A369" s="31" t="s">
        <v>816</v>
      </c>
      <c r="B369" s="460">
        <v>903</v>
      </c>
      <c r="C369" s="462" t="s">
        <v>299</v>
      </c>
      <c r="D369" s="462" t="s">
        <v>118</v>
      </c>
      <c r="E369" s="462" t="s">
        <v>1212</v>
      </c>
      <c r="F369" s="462"/>
      <c r="G369" s="467">
        <f>G370+G372</f>
        <v>1380</v>
      </c>
      <c r="H369" s="467">
        <f>H370+H372</f>
        <v>1380</v>
      </c>
      <c r="I369" s="204"/>
    </row>
    <row r="370" spans="1:9" ht="78.75" x14ac:dyDescent="0.25">
      <c r="A370" s="466" t="s">
        <v>127</v>
      </c>
      <c r="B370" s="460">
        <v>903</v>
      </c>
      <c r="C370" s="462" t="s">
        <v>299</v>
      </c>
      <c r="D370" s="462" t="s">
        <v>118</v>
      </c>
      <c r="E370" s="462" t="s">
        <v>896</v>
      </c>
      <c r="F370" s="462" t="s">
        <v>128</v>
      </c>
      <c r="G370" s="467">
        <f>G371</f>
        <v>0</v>
      </c>
      <c r="H370" s="467">
        <f>H371</f>
        <v>0</v>
      </c>
      <c r="I370" s="204"/>
    </row>
    <row r="371" spans="1:9" ht="15.75" x14ac:dyDescent="0.25">
      <c r="A371" s="466" t="s">
        <v>208</v>
      </c>
      <c r="B371" s="460">
        <v>903</v>
      </c>
      <c r="C371" s="462" t="s">
        <v>299</v>
      </c>
      <c r="D371" s="462" t="s">
        <v>118</v>
      </c>
      <c r="E371" s="462" t="s">
        <v>896</v>
      </c>
      <c r="F371" s="462" t="s">
        <v>209</v>
      </c>
      <c r="G371" s="467">
        <v>0</v>
      </c>
      <c r="H371" s="467">
        <v>0</v>
      </c>
      <c r="I371" s="204"/>
    </row>
    <row r="372" spans="1:9" ht="31.5" x14ac:dyDescent="0.25">
      <c r="A372" s="466" t="s">
        <v>131</v>
      </c>
      <c r="B372" s="460">
        <v>903</v>
      </c>
      <c r="C372" s="462" t="s">
        <v>299</v>
      </c>
      <c r="D372" s="462" t="s">
        <v>118</v>
      </c>
      <c r="E372" s="462" t="s">
        <v>1212</v>
      </c>
      <c r="F372" s="462" t="s">
        <v>132</v>
      </c>
      <c r="G372" s="467">
        <f>G373</f>
        <v>1380</v>
      </c>
      <c r="H372" s="467">
        <f>H373</f>
        <v>1380</v>
      </c>
      <c r="I372" s="204"/>
    </row>
    <row r="373" spans="1:9" ht="31.9" customHeight="1" x14ac:dyDescent="0.25">
      <c r="A373" s="466" t="s">
        <v>133</v>
      </c>
      <c r="B373" s="460">
        <v>903</v>
      </c>
      <c r="C373" s="462" t="s">
        <v>299</v>
      </c>
      <c r="D373" s="462" t="s">
        <v>118</v>
      </c>
      <c r="E373" s="462" t="s">
        <v>1212</v>
      </c>
      <c r="F373" s="462" t="s">
        <v>134</v>
      </c>
      <c r="G373" s="467">
        <f>380+1000</f>
        <v>1380</v>
      </c>
      <c r="H373" s="467">
        <f t="shared" si="28"/>
        <v>1380</v>
      </c>
      <c r="I373" s="204"/>
    </row>
    <row r="374" spans="1:9" ht="31.5" x14ac:dyDescent="0.25">
      <c r="A374" s="464" t="s">
        <v>947</v>
      </c>
      <c r="B374" s="461">
        <v>903</v>
      </c>
      <c r="C374" s="465" t="s">
        <v>299</v>
      </c>
      <c r="D374" s="465" t="s">
        <v>118</v>
      </c>
      <c r="E374" s="465" t="s">
        <v>1213</v>
      </c>
      <c r="F374" s="465"/>
      <c r="G374" s="44">
        <f t="shared" ref="G374:H376" si="29">G375</f>
        <v>875</v>
      </c>
      <c r="H374" s="44">
        <f t="shared" si="29"/>
        <v>875</v>
      </c>
      <c r="I374" s="204"/>
    </row>
    <row r="375" spans="1:9" ht="47.25" x14ac:dyDescent="0.25">
      <c r="A375" s="466" t="s">
        <v>839</v>
      </c>
      <c r="B375" s="460">
        <v>903</v>
      </c>
      <c r="C375" s="462" t="s">
        <v>299</v>
      </c>
      <c r="D375" s="462" t="s">
        <v>118</v>
      </c>
      <c r="E375" s="462" t="s">
        <v>1214</v>
      </c>
      <c r="F375" s="462"/>
      <c r="G375" s="467">
        <f t="shared" si="29"/>
        <v>875</v>
      </c>
      <c r="H375" s="467">
        <f t="shared" si="29"/>
        <v>875</v>
      </c>
      <c r="I375" s="204"/>
    </row>
    <row r="376" spans="1:9" ht="78.75" x14ac:dyDescent="0.25">
      <c r="A376" s="466" t="s">
        <v>127</v>
      </c>
      <c r="B376" s="460">
        <v>903</v>
      </c>
      <c r="C376" s="462" t="s">
        <v>299</v>
      </c>
      <c r="D376" s="462" t="s">
        <v>118</v>
      </c>
      <c r="E376" s="462" t="s">
        <v>1214</v>
      </c>
      <c r="F376" s="462" t="s">
        <v>128</v>
      </c>
      <c r="G376" s="467">
        <f t="shared" si="29"/>
        <v>875</v>
      </c>
      <c r="H376" s="467">
        <f t="shared" si="29"/>
        <v>875</v>
      </c>
      <c r="I376" s="204"/>
    </row>
    <row r="377" spans="1:9" ht="31.5" x14ac:dyDescent="0.25">
      <c r="A377" s="466" t="s">
        <v>129</v>
      </c>
      <c r="B377" s="460">
        <v>903</v>
      </c>
      <c r="C377" s="462" t="s">
        <v>299</v>
      </c>
      <c r="D377" s="462" t="s">
        <v>118</v>
      </c>
      <c r="E377" s="462" t="s">
        <v>1214</v>
      </c>
      <c r="F377" s="462" t="s">
        <v>209</v>
      </c>
      <c r="G377" s="467">
        <v>875</v>
      </c>
      <c r="H377" s="467">
        <f t="shared" si="28"/>
        <v>875</v>
      </c>
      <c r="I377" s="204"/>
    </row>
    <row r="378" spans="1:9" ht="47.25" x14ac:dyDescent="0.25">
      <c r="A378" s="217" t="s">
        <v>900</v>
      </c>
      <c r="B378" s="461">
        <v>903</v>
      </c>
      <c r="C378" s="465" t="s">
        <v>299</v>
      </c>
      <c r="D378" s="465" t="s">
        <v>118</v>
      </c>
      <c r="E378" s="465" t="s">
        <v>1215</v>
      </c>
      <c r="F378" s="465"/>
      <c r="G378" s="463">
        <f>G379+G382</f>
        <v>2442</v>
      </c>
      <c r="H378" s="463">
        <f>H379+H382</f>
        <v>2442</v>
      </c>
      <c r="I378" s="204"/>
    </row>
    <row r="379" spans="1:9" ht="94.5" x14ac:dyDescent="0.25">
      <c r="A379" s="31" t="s">
        <v>293</v>
      </c>
      <c r="B379" s="460">
        <v>903</v>
      </c>
      <c r="C379" s="462" t="s">
        <v>299</v>
      </c>
      <c r="D379" s="462" t="s">
        <v>118</v>
      </c>
      <c r="E379" s="462" t="s">
        <v>1414</v>
      </c>
      <c r="F379" s="462"/>
      <c r="G379" s="467">
        <f t="shared" ref="G379:H380" si="30">G380</f>
        <v>2100.6</v>
      </c>
      <c r="H379" s="467">
        <f t="shared" si="30"/>
        <v>2100.6</v>
      </c>
      <c r="I379" s="204"/>
    </row>
    <row r="380" spans="1:9" ht="78.75" x14ac:dyDescent="0.25">
      <c r="A380" s="466" t="s">
        <v>127</v>
      </c>
      <c r="B380" s="460">
        <v>903</v>
      </c>
      <c r="C380" s="462" t="s">
        <v>299</v>
      </c>
      <c r="D380" s="462" t="s">
        <v>118</v>
      </c>
      <c r="E380" s="462" t="s">
        <v>1414</v>
      </c>
      <c r="F380" s="462" t="s">
        <v>128</v>
      </c>
      <c r="G380" s="467">
        <f t="shared" si="30"/>
        <v>2100.6</v>
      </c>
      <c r="H380" s="467">
        <f t="shared" si="30"/>
        <v>2100.6</v>
      </c>
      <c r="I380" s="204"/>
    </row>
    <row r="381" spans="1:9" ht="15.75" x14ac:dyDescent="0.25">
      <c r="A381" s="466" t="s">
        <v>208</v>
      </c>
      <c r="B381" s="460">
        <v>903</v>
      </c>
      <c r="C381" s="462" t="s">
        <v>299</v>
      </c>
      <c r="D381" s="462" t="s">
        <v>118</v>
      </c>
      <c r="E381" s="462" t="s">
        <v>1414</v>
      </c>
      <c r="F381" s="462" t="s">
        <v>209</v>
      </c>
      <c r="G381" s="467">
        <v>2100.6</v>
      </c>
      <c r="H381" s="467">
        <f>G381</f>
        <v>2100.6</v>
      </c>
      <c r="I381" s="204"/>
    </row>
    <row r="382" spans="1:9" ht="78.75" x14ac:dyDescent="0.25">
      <c r="A382" s="466" t="s">
        <v>331</v>
      </c>
      <c r="B382" s="460">
        <v>903</v>
      </c>
      <c r="C382" s="462" t="s">
        <v>299</v>
      </c>
      <c r="D382" s="462" t="s">
        <v>118</v>
      </c>
      <c r="E382" s="462" t="s">
        <v>1296</v>
      </c>
      <c r="F382" s="462"/>
      <c r="G382" s="467">
        <f>G383</f>
        <v>341.4</v>
      </c>
      <c r="H382" s="467">
        <f>H383</f>
        <v>341.4</v>
      </c>
      <c r="I382" s="204"/>
    </row>
    <row r="383" spans="1:9" ht="78.75" x14ac:dyDescent="0.25">
      <c r="A383" s="466" t="s">
        <v>127</v>
      </c>
      <c r="B383" s="460">
        <v>903</v>
      </c>
      <c r="C383" s="462" t="s">
        <v>299</v>
      </c>
      <c r="D383" s="462" t="s">
        <v>118</v>
      </c>
      <c r="E383" s="462" t="s">
        <v>1296</v>
      </c>
      <c r="F383" s="462" t="s">
        <v>128</v>
      </c>
      <c r="G383" s="467">
        <f>G384</f>
        <v>341.4</v>
      </c>
      <c r="H383" s="467">
        <f>H384</f>
        <v>341.4</v>
      </c>
      <c r="I383" s="204"/>
    </row>
    <row r="384" spans="1:9" ht="15.75" x14ac:dyDescent="0.25">
      <c r="A384" s="466" t="s">
        <v>208</v>
      </c>
      <c r="B384" s="460">
        <v>903</v>
      </c>
      <c r="C384" s="462" t="s">
        <v>299</v>
      </c>
      <c r="D384" s="462" t="s">
        <v>118</v>
      </c>
      <c r="E384" s="462" t="s">
        <v>1296</v>
      </c>
      <c r="F384" s="462" t="s">
        <v>209</v>
      </c>
      <c r="G384" s="467">
        <v>341.4</v>
      </c>
      <c r="H384" s="467">
        <f>G384</f>
        <v>341.4</v>
      </c>
      <c r="I384" s="204"/>
    </row>
    <row r="385" spans="1:9" ht="31.5" x14ac:dyDescent="0.25">
      <c r="A385" s="464" t="s">
        <v>902</v>
      </c>
      <c r="B385" s="461">
        <v>903</v>
      </c>
      <c r="C385" s="465" t="s">
        <v>299</v>
      </c>
      <c r="D385" s="465" t="s">
        <v>118</v>
      </c>
      <c r="E385" s="465" t="s">
        <v>1220</v>
      </c>
      <c r="F385" s="465"/>
      <c r="G385" s="463">
        <f t="shared" ref="G385:H387" si="31">G386</f>
        <v>50</v>
      </c>
      <c r="H385" s="463">
        <f t="shared" si="31"/>
        <v>50</v>
      </c>
      <c r="I385" s="204"/>
    </row>
    <row r="386" spans="1:9" ht="31.5" x14ac:dyDescent="0.25">
      <c r="A386" s="466" t="s">
        <v>821</v>
      </c>
      <c r="B386" s="460">
        <v>903</v>
      </c>
      <c r="C386" s="462" t="s">
        <v>299</v>
      </c>
      <c r="D386" s="462" t="s">
        <v>118</v>
      </c>
      <c r="E386" s="462" t="s">
        <v>1221</v>
      </c>
      <c r="F386" s="462"/>
      <c r="G386" s="467">
        <f t="shared" si="31"/>
        <v>50</v>
      </c>
      <c r="H386" s="467">
        <f t="shared" si="31"/>
        <v>50</v>
      </c>
      <c r="I386" s="204"/>
    </row>
    <row r="387" spans="1:9" ht="31.5" x14ac:dyDescent="0.25">
      <c r="A387" s="466" t="s">
        <v>131</v>
      </c>
      <c r="B387" s="460">
        <v>903</v>
      </c>
      <c r="C387" s="462" t="s">
        <v>299</v>
      </c>
      <c r="D387" s="462" t="s">
        <v>118</v>
      </c>
      <c r="E387" s="462" t="s">
        <v>1221</v>
      </c>
      <c r="F387" s="462" t="s">
        <v>132</v>
      </c>
      <c r="G387" s="467">
        <f t="shared" si="31"/>
        <v>50</v>
      </c>
      <c r="H387" s="467">
        <f t="shared" si="31"/>
        <v>50</v>
      </c>
      <c r="I387" s="204"/>
    </row>
    <row r="388" spans="1:9" ht="31.5" x14ac:dyDescent="0.25">
      <c r="A388" s="466" t="s">
        <v>133</v>
      </c>
      <c r="B388" s="460">
        <v>903</v>
      </c>
      <c r="C388" s="462" t="s">
        <v>299</v>
      </c>
      <c r="D388" s="462" t="s">
        <v>118</v>
      </c>
      <c r="E388" s="462" t="s">
        <v>1221</v>
      </c>
      <c r="F388" s="462" t="s">
        <v>134</v>
      </c>
      <c r="G388" s="467">
        <v>50</v>
      </c>
      <c r="H388" s="467">
        <v>50</v>
      </c>
      <c r="I388" s="204"/>
    </row>
    <row r="389" spans="1:9" ht="31.5" x14ac:dyDescent="0.25">
      <c r="A389" s="464" t="s">
        <v>1010</v>
      </c>
      <c r="B389" s="461">
        <v>903</v>
      </c>
      <c r="C389" s="465" t="s">
        <v>299</v>
      </c>
      <c r="D389" s="465" t="s">
        <v>118</v>
      </c>
      <c r="E389" s="465" t="s">
        <v>1222</v>
      </c>
      <c r="F389" s="465"/>
      <c r="G389" s="463">
        <f t="shared" ref="G389:H391" si="32">G390</f>
        <v>68.7</v>
      </c>
      <c r="H389" s="463">
        <f t="shared" si="32"/>
        <v>68.7</v>
      </c>
      <c r="I389" s="204"/>
    </row>
    <row r="390" spans="1:9" ht="31.5" x14ac:dyDescent="0.25">
      <c r="A390" s="466" t="s">
        <v>1497</v>
      </c>
      <c r="B390" s="460">
        <v>903</v>
      </c>
      <c r="C390" s="462" t="s">
        <v>299</v>
      </c>
      <c r="D390" s="462" t="s">
        <v>118</v>
      </c>
      <c r="E390" s="462" t="s">
        <v>1223</v>
      </c>
      <c r="F390" s="462"/>
      <c r="G390" s="467">
        <f t="shared" si="32"/>
        <v>68.7</v>
      </c>
      <c r="H390" s="467">
        <f t="shared" si="32"/>
        <v>68.7</v>
      </c>
      <c r="I390" s="204"/>
    </row>
    <row r="391" spans="1:9" ht="31.5" x14ac:dyDescent="0.25">
      <c r="A391" s="466" t="s">
        <v>131</v>
      </c>
      <c r="B391" s="460">
        <v>903</v>
      </c>
      <c r="C391" s="462" t="s">
        <v>299</v>
      </c>
      <c r="D391" s="462" t="s">
        <v>118</v>
      </c>
      <c r="E391" s="462" t="s">
        <v>1223</v>
      </c>
      <c r="F391" s="462" t="s">
        <v>132</v>
      </c>
      <c r="G391" s="467">
        <f t="shared" si="32"/>
        <v>68.7</v>
      </c>
      <c r="H391" s="467">
        <f t="shared" si="32"/>
        <v>68.7</v>
      </c>
      <c r="I391" s="204"/>
    </row>
    <row r="392" spans="1:9" ht="31.5" x14ac:dyDescent="0.25">
      <c r="A392" s="466" t="s">
        <v>133</v>
      </c>
      <c r="B392" s="460">
        <v>903</v>
      </c>
      <c r="C392" s="462" t="s">
        <v>299</v>
      </c>
      <c r="D392" s="462" t="s">
        <v>118</v>
      </c>
      <c r="E392" s="462" t="s">
        <v>1223</v>
      </c>
      <c r="F392" s="462" t="s">
        <v>134</v>
      </c>
      <c r="G392" s="467">
        <f>3.5+65.2</f>
        <v>68.7</v>
      </c>
      <c r="H392" s="467">
        <f t="shared" ref="H392" si="33">G392</f>
        <v>68.7</v>
      </c>
      <c r="I392" s="204"/>
    </row>
    <row r="393" spans="1:9" ht="31.5" x14ac:dyDescent="0.25">
      <c r="A393" s="210" t="s">
        <v>1184</v>
      </c>
      <c r="B393" s="461">
        <v>903</v>
      </c>
      <c r="C393" s="465" t="s">
        <v>299</v>
      </c>
      <c r="D393" s="465" t="s">
        <v>118</v>
      </c>
      <c r="E393" s="465" t="s">
        <v>1218</v>
      </c>
      <c r="F393" s="465"/>
      <c r="G393" s="463">
        <f t="shared" ref="G393:H395" si="34">G394</f>
        <v>300</v>
      </c>
      <c r="H393" s="463">
        <f t="shared" si="34"/>
        <v>1500</v>
      </c>
      <c r="I393" s="204"/>
    </row>
    <row r="394" spans="1:9" ht="15.75" x14ac:dyDescent="0.25">
      <c r="A394" s="98" t="s">
        <v>1191</v>
      </c>
      <c r="B394" s="460">
        <v>903</v>
      </c>
      <c r="C394" s="462" t="s">
        <v>299</v>
      </c>
      <c r="D394" s="462" t="s">
        <v>118</v>
      </c>
      <c r="E394" s="462" t="s">
        <v>1219</v>
      </c>
      <c r="F394" s="462"/>
      <c r="G394" s="467">
        <f t="shared" si="34"/>
        <v>300</v>
      </c>
      <c r="H394" s="467">
        <f t="shared" si="34"/>
        <v>1500</v>
      </c>
      <c r="I394" s="204"/>
    </row>
    <row r="395" spans="1:9" ht="31.5" x14ac:dyDescent="0.25">
      <c r="A395" s="466" t="s">
        <v>131</v>
      </c>
      <c r="B395" s="460">
        <v>903</v>
      </c>
      <c r="C395" s="462" t="s">
        <v>299</v>
      </c>
      <c r="D395" s="462" t="s">
        <v>118</v>
      </c>
      <c r="E395" s="462" t="s">
        <v>1219</v>
      </c>
      <c r="F395" s="462" t="s">
        <v>132</v>
      </c>
      <c r="G395" s="467">
        <f>G396</f>
        <v>300</v>
      </c>
      <c r="H395" s="467">
        <f t="shared" si="34"/>
        <v>1500</v>
      </c>
      <c r="I395" s="204"/>
    </row>
    <row r="396" spans="1:9" ht="31.5" x14ac:dyDescent="0.25">
      <c r="A396" s="466" t="s">
        <v>133</v>
      </c>
      <c r="B396" s="460">
        <v>903</v>
      </c>
      <c r="C396" s="462" t="s">
        <v>299</v>
      </c>
      <c r="D396" s="462" t="s">
        <v>118</v>
      </c>
      <c r="E396" s="462" t="s">
        <v>1219</v>
      </c>
      <c r="F396" s="462" t="s">
        <v>134</v>
      </c>
      <c r="G396" s="467">
        <v>300</v>
      </c>
      <c r="H396" s="467">
        <v>1500</v>
      </c>
      <c r="I396" s="204"/>
    </row>
    <row r="397" spans="1:9" ht="31.5" hidden="1" x14ac:dyDescent="0.25">
      <c r="A397" s="346" t="s">
        <v>1340</v>
      </c>
      <c r="B397" s="461">
        <v>903</v>
      </c>
      <c r="C397" s="465" t="s">
        <v>299</v>
      </c>
      <c r="D397" s="465" t="s">
        <v>118</v>
      </c>
      <c r="E397" s="465"/>
      <c r="F397" s="465"/>
      <c r="G397" s="463">
        <f t="shared" ref="G397:H399" si="35">G398</f>
        <v>0</v>
      </c>
      <c r="H397" s="463">
        <f t="shared" si="35"/>
        <v>0</v>
      </c>
      <c r="I397" s="204"/>
    </row>
    <row r="398" spans="1:9" ht="15.75" hidden="1" x14ac:dyDescent="0.25">
      <c r="A398" s="466"/>
      <c r="B398" s="460">
        <v>903</v>
      </c>
      <c r="C398" s="462" t="s">
        <v>299</v>
      </c>
      <c r="D398" s="462" t="s">
        <v>118</v>
      </c>
      <c r="E398" s="462"/>
      <c r="F398" s="462"/>
      <c r="G398" s="467">
        <f t="shared" si="35"/>
        <v>0</v>
      </c>
      <c r="H398" s="467">
        <f t="shared" si="35"/>
        <v>0</v>
      </c>
      <c r="I398" s="204"/>
    </row>
    <row r="399" spans="1:9" ht="31.5" hidden="1" x14ac:dyDescent="0.25">
      <c r="A399" s="466" t="s">
        <v>131</v>
      </c>
      <c r="B399" s="460">
        <v>903</v>
      </c>
      <c r="C399" s="462" t="s">
        <v>299</v>
      </c>
      <c r="D399" s="462" t="s">
        <v>118</v>
      </c>
      <c r="E399" s="462"/>
      <c r="F399" s="462" t="s">
        <v>132</v>
      </c>
      <c r="G399" s="467">
        <f t="shared" si="35"/>
        <v>0</v>
      </c>
      <c r="H399" s="467">
        <f t="shared" si="35"/>
        <v>0</v>
      </c>
      <c r="I399" s="204"/>
    </row>
    <row r="400" spans="1:9" ht="31.5" hidden="1" x14ac:dyDescent="0.25">
      <c r="A400" s="466" t="s">
        <v>133</v>
      </c>
      <c r="B400" s="460">
        <v>903</v>
      </c>
      <c r="C400" s="462" t="s">
        <v>299</v>
      </c>
      <c r="D400" s="462" t="s">
        <v>118</v>
      </c>
      <c r="E400" s="462"/>
      <c r="F400" s="462" t="s">
        <v>134</v>
      </c>
      <c r="G400" s="467">
        <v>0</v>
      </c>
      <c r="H400" s="467">
        <v>0</v>
      </c>
      <c r="I400" s="204"/>
    </row>
    <row r="401" spans="1:9" ht="63" x14ac:dyDescent="0.25">
      <c r="A401" s="34" t="s">
        <v>781</v>
      </c>
      <c r="B401" s="461">
        <v>903</v>
      </c>
      <c r="C401" s="465" t="s">
        <v>299</v>
      </c>
      <c r="D401" s="465" t="s">
        <v>118</v>
      </c>
      <c r="E401" s="465" t="s">
        <v>324</v>
      </c>
      <c r="F401" s="465"/>
      <c r="G401" s="463">
        <f>G403</f>
        <v>10</v>
      </c>
      <c r="H401" s="463">
        <f>H403</f>
        <v>0</v>
      </c>
      <c r="I401" s="204"/>
    </row>
    <row r="402" spans="1:9" ht="63" x14ac:dyDescent="0.25">
      <c r="A402" s="34" t="s">
        <v>1025</v>
      </c>
      <c r="B402" s="461">
        <v>903</v>
      </c>
      <c r="C402" s="465" t="s">
        <v>299</v>
      </c>
      <c r="D402" s="465" t="s">
        <v>118</v>
      </c>
      <c r="E402" s="465" t="s">
        <v>934</v>
      </c>
      <c r="F402" s="465"/>
      <c r="G402" s="463">
        <f>G405</f>
        <v>10</v>
      </c>
      <c r="H402" s="463">
        <f>H405</f>
        <v>0</v>
      </c>
      <c r="I402" s="204"/>
    </row>
    <row r="403" spans="1:9" ht="47.25" x14ac:dyDescent="0.25">
      <c r="A403" s="31" t="s">
        <v>1083</v>
      </c>
      <c r="B403" s="460">
        <v>903</v>
      </c>
      <c r="C403" s="462" t="s">
        <v>299</v>
      </c>
      <c r="D403" s="462" t="s">
        <v>118</v>
      </c>
      <c r="E403" s="462" t="s">
        <v>1026</v>
      </c>
      <c r="F403" s="462"/>
      <c r="G403" s="467">
        <f>G404</f>
        <v>10</v>
      </c>
      <c r="H403" s="467">
        <f>H404</f>
        <v>0</v>
      </c>
      <c r="I403" s="204"/>
    </row>
    <row r="404" spans="1:9" ht="31.5" x14ac:dyDescent="0.25">
      <c r="A404" s="466" t="s">
        <v>131</v>
      </c>
      <c r="B404" s="460">
        <v>903</v>
      </c>
      <c r="C404" s="462" t="s">
        <v>299</v>
      </c>
      <c r="D404" s="462" t="s">
        <v>118</v>
      </c>
      <c r="E404" s="462" t="s">
        <v>1026</v>
      </c>
      <c r="F404" s="462" t="s">
        <v>132</v>
      </c>
      <c r="G404" s="467">
        <f>G405</f>
        <v>10</v>
      </c>
      <c r="H404" s="467">
        <f>H405</f>
        <v>0</v>
      </c>
      <c r="I404" s="204"/>
    </row>
    <row r="405" spans="1:9" ht="31.5" x14ac:dyDescent="0.25">
      <c r="A405" s="466" t="s">
        <v>133</v>
      </c>
      <c r="B405" s="460">
        <v>903</v>
      </c>
      <c r="C405" s="462" t="s">
        <v>299</v>
      </c>
      <c r="D405" s="462" t="s">
        <v>118</v>
      </c>
      <c r="E405" s="462" t="s">
        <v>1026</v>
      </c>
      <c r="F405" s="462" t="s">
        <v>134</v>
      </c>
      <c r="G405" s="467">
        <v>10</v>
      </c>
      <c r="H405" s="467">
        <v>0</v>
      </c>
      <c r="I405" s="204"/>
    </row>
    <row r="406" spans="1:9" ht="47.25" x14ac:dyDescent="0.25">
      <c r="A406" s="470" t="s">
        <v>1361</v>
      </c>
      <c r="B406" s="461">
        <v>903</v>
      </c>
      <c r="C406" s="465" t="s">
        <v>299</v>
      </c>
      <c r="D406" s="465" t="s">
        <v>118</v>
      </c>
      <c r="E406" s="465" t="s">
        <v>705</v>
      </c>
      <c r="F406" s="474"/>
      <c r="G406" s="463">
        <f t="shared" ref="G406:H409" si="36">G407</f>
        <v>878.7</v>
      </c>
      <c r="H406" s="463">
        <f t="shared" si="36"/>
        <v>913.9</v>
      </c>
      <c r="I406" s="204"/>
    </row>
    <row r="407" spans="1:9" ht="47.25" x14ac:dyDescent="0.25">
      <c r="A407" s="470" t="s">
        <v>890</v>
      </c>
      <c r="B407" s="461">
        <v>903</v>
      </c>
      <c r="C407" s="465" t="s">
        <v>299</v>
      </c>
      <c r="D407" s="465" t="s">
        <v>118</v>
      </c>
      <c r="E407" s="465" t="s">
        <v>888</v>
      </c>
      <c r="F407" s="474"/>
      <c r="G407" s="463">
        <f t="shared" si="36"/>
        <v>878.7</v>
      </c>
      <c r="H407" s="463">
        <f t="shared" si="36"/>
        <v>913.9</v>
      </c>
      <c r="I407" s="204"/>
    </row>
    <row r="408" spans="1:9" ht="41.25" customHeight="1" x14ac:dyDescent="0.25">
      <c r="A408" s="98" t="s">
        <v>1022</v>
      </c>
      <c r="B408" s="460">
        <v>903</v>
      </c>
      <c r="C408" s="462" t="s">
        <v>299</v>
      </c>
      <c r="D408" s="462" t="s">
        <v>118</v>
      </c>
      <c r="E408" s="462" t="s">
        <v>889</v>
      </c>
      <c r="F408" s="468"/>
      <c r="G408" s="467">
        <f t="shared" si="36"/>
        <v>878.7</v>
      </c>
      <c r="H408" s="467">
        <f t="shared" si="36"/>
        <v>913.9</v>
      </c>
      <c r="I408" s="204"/>
    </row>
    <row r="409" spans="1:9" ht="31.5" x14ac:dyDescent="0.25">
      <c r="A409" s="466" t="s">
        <v>131</v>
      </c>
      <c r="B409" s="460">
        <v>903</v>
      </c>
      <c r="C409" s="462" t="s">
        <v>299</v>
      </c>
      <c r="D409" s="462" t="s">
        <v>118</v>
      </c>
      <c r="E409" s="462" t="s">
        <v>889</v>
      </c>
      <c r="F409" s="468" t="s">
        <v>132</v>
      </c>
      <c r="G409" s="467">
        <f t="shared" si="36"/>
        <v>878.7</v>
      </c>
      <c r="H409" s="467">
        <f t="shared" si="36"/>
        <v>913.9</v>
      </c>
      <c r="I409" s="204"/>
    </row>
    <row r="410" spans="1:9" ht="31.5" x14ac:dyDescent="0.25">
      <c r="A410" s="466" t="s">
        <v>133</v>
      </c>
      <c r="B410" s="460">
        <v>903</v>
      </c>
      <c r="C410" s="462" t="s">
        <v>299</v>
      </c>
      <c r="D410" s="462" t="s">
        <v>118</v>
      </c>
      <c r="E410" s="462" t="s">
        <v>889</v>
      </c>
      <c r="F410" s="468" t="s">
        <v>134</v>
      </c>
      <c r="G410" s="467">
        <v>878.7</v>
      </c>
      <c r="H410" s="467">
        <v>913.9</v>
      </c>
      <c r="I410" s="204"/>
    </row>
    <row r="411" spans="1:9" ht="31.5" x14ac:dyDescent="0.25">
      <c r="A411" s="464" t="s">
        <v>333</v>
      </c>
      <c r="B411" s="461">
        <v>903</v>
      </c>
      <c r="C411" s="465" t="s">
        <v>299</v>
      </c>
      <c r="D411" s="465" t="s">
        <v>150</v>
      </c>
      <c r="E411" s="465"/>
      <c r="F411" s="465"/>
      <c r="G411" s="463">
        <f>G412+G422+G434+G440</f>
        <v>18566.400000000001</v>
      </c>
      <c r="H411" s="463">
        <f>H412+H422+H434+H440</f>
        <v>18595.400000000001</v>
      </c>
      <c r="I411" s="204"/>
    </row>
    <row r="412" spans="1:9" ht="31.5" x14ac:dyDescent="0.25">
      <c r="A412" s="464" t="s">
        <v>917</v>
      </c>
      <c r="B412" s="461">
        <v>903</v>
      </c>
      <c r="C412" s="465" t="s">
        <v>299</v>
      </c>
      <c r="D412" s="465" t="s">
        <v>150</v>
      </c>
      <c r="E412" s="465" t="s">
        <v>858</v>
      </c>
      <c r="F412" s="465"/>
      <c r="G412" s="463">
        <f>G413</f>
        <v>7291.6</v>
      </c>
      <c r="H412" s="463">
        <f>H413</f>
        <v>7291.6</v>
      </c>
      <c r="I412" s="204"/>
    </row>
    <row r="413" spans="1:9" ht="15.75" x14ac:dyDescent="0.25">
      <c r="A413" s="464" t="s">
        <v>918</v>
      </c>
      <c r="B413" s="461">
        <v>903</v>
      </c>
      <c r="C413" s="465" t="s">
        <v>299</v>
      </c>
      <c r="D413" s="465" t="s">
        <v>150</v>
      </c>
      <c r="E413" s="465" t="s">
        <v>859</v>
      </c>
      <c r="F413" s="465"/>
      <c r="G413" s="463">
        <f>G414+G419</f>
        <v>7291.6</v>
      </c>
      <c r="H413" s="463">
        <f>H414+H419</f>
        <v>7291.6</v>
      </c>
      <c r="I413" s="204"/>
    </row>
    <row r="414" spans="1:9" ht="31.5" x14ac:dyDescent="0.25">
      <c r="A414" s="466" t="s">
        <v>897</v>
      </c>
      <c r="B414" s="460">
        <v>903</v>
      </c>
      <c r="C414" s="462" t="s">
        <v>299</v>
      </c>
      <c r="D414" s="462" t="s">
        <v>150</v>
      </c>
      <c r="E414" s="462" t="s">
        <v>860</v>
      </c>
      <c r="F414" s="462"/>
      <c r="G414" s="467">
        <f>G415</f>
        <v>7015.6</v>
      </c>
      <c r="H414" s="467">
        <f>H415</f>
        <v>7015.6</v>
      </c>
      <c r="I414" s="204"/>
    </row>
    <row r="415" spans="1:9" ht="78.75" x14ac:dyDescent="0.25">
      <c r="A415" s="466" t="s">
        <v>127</v>
      </c>
      <c r="B415" s="460">
        <v>903</v>
      </c>
      <c r="C415" s="462" t="s">
        <v>299</v>
      </c>
      <c r="D415" s="462" t="s">
        <v>150</v>
      </c>
      <c r="E415" s="462" t="s">
        <v>860</v>
      </c>
      <c r="F415" s="462" t="s">
        <v>128</v>
      </c>
      <c r="G415" s="467">
        <f>G416</f>
        <v>7015.6</v>
      </c>
      <c r="H415" s="467">
        <f>H416</f>
        <v>7015.6</v>
      </c>
      <c r="I415" s="204"/>
    </row>
    <row r="416" spans="1:9" ht="31.5" x14ac:dyDescent="0.25">
      <c r="A416" s="466" t="s">
        <v>129</v>
      </c>
      <c r="B416" s="460">
        <v>903</v>
      </c>
      <c r="C416" s="462" t="s">
        <v>299</v>
      </c>
      <c r="D416" s="462" t="s">
        <v>150</v>
      </c>
      <c r="E416" s="462" t="s">
        <v>860</v>
      </c>
      <c r="F416" s="462" t="s">
        <v>130</v>
      </c>
      <c r="G416" s="467">
        <v>7015.6</v>
      </c>
      <c r="H416" s="467">
        <f t="shared" ref="H416:H499" si="37">G416</f>
        <v>7015.6</v>
      </c>
      <c r="I416" s="204"/>
    </row>
    <row r="417" spans="1:9" ht="31.5" hidden="1" x14ac:dyDescent="0.25">
      <c r="A417" s="466" t="s">
        <v>131</v>
      </c>
      <c r="B417" s="460">
        <v>903</v>
      </c>
      <c r="C417" s="462" t="s">
        <v>299</v>
      </c>
      <c r="D417" s="462" t="s">
        <v>150</v>
      </c>
      <c r="E417" s="462" t="s">
        <v>860</v>
      </c>
      <c r="F417" s="462" t="s">
        <v>132</v>
      </c>
      <c r="G417" s="467">
        <f>'[1]Пр.5 ведом.21'!G408</f>
        <v>0</v>
      </c>
      <c r="H417" s="467">
        <f t="shared" si="37"/>
        <v>0</v>
      </c>
      <c r="I417" s="204"/>
    </row>
    <row r="418" spans="1:9" ht="31.5" hidden="1" x14ac:dyDescent="0.25">
      <c r="A418" s="466" t="s">
        <v>133</v>
      </c>
      <c r="B418" s="460">
        <v>903</v>
      </c>
      <c r="C418" s="462" t="s">
        <v>299</v>
      </c>
      <c r="D418" s="462" t="s">
        <v>150</v>
      </c>
      <c r="E418" s="462" t="s">
        <v>860</v>
      </c>
      <c r="F418" s="462" t="s">
        <v>134</v>
      </c>
      <c r="G418" s="467">
        <f>'[1]Пр.5 ведом.21'!G409</f>
        <v>0</v>
      </c>
      <c r="H418" s="467">
        <f t="shared" si="37"/>
        <v>0</v>
      </c>
      <c r="I418" s="204"/>
    </row>
    <row r="419" spans="1:9" ht="47.25" x14ac:dyDescent="0.25">
      <c r="A419" s="466" t="s">
        <v>839</v>
      </c>
      <c r="B419" s="460">
        <v>903</v>
      </c>
      <c r="C419" s="462" t="s">
        <v>299</v>
      </c>
      <c r="D419" s="462" t="s">
        <v>150</v>
      </c>
      <c r="E419" s="462" t="s">
        <v>862</v>
      </c>
      <c r="F419" s="462"/>
      <c r="G419" s="467">
        <f>G420</f>
        <v>276</v>
      </c>
      <c r="H419" s="467">
        <f>H420</f>
        <v>276</v>
      </c>
      <c r="I419" s="204"/>
    </row>
    <row r="420" spans="1:9" ht="78.75" x14ac:dyDescent="0.25">
      <c r="A420" s="466" t="s">
        <v>127</v>
      </c>
      <c r="B420" s="460">
        <v>903</v>
      </c>
      <c r="C420" s="462" t="s">
        <v>299</v>
      </c>
      <c r="D420" s="462" t="s">
        <v>150</v>
      </c>
      <c r="E420" s="462" t="s">
        <v>862</v>
      </c>
      <c r="F420" s="462" t="s">
        <v>128</v>
      </c>
      <c r="G420" s="467">
        <f>G421</f>
        <v>276</v>
      </c>
      <c r="H420" s="467">
        <f>H421</f>
        <v>276</v>
      </c>
      <c r="I420" s="204"/>
    </row>
    <row r="421" spans="1:9" ht="31.5" x14ac:dyDescent="0.25">
      <c r="A421" s="466" t="s">
        <v>129</v>
      </c>
      <c r="B421" s="460">
        <v>903</v>
      </c>
      <c r="C421" s="462" t="s">
        <v>299</v>
      </c>
      <c r="D421" s="462" t="s">
        <v>150</v>
      </c>
      <c r="E421" s="462" t="s">
        <v>862</v>
      </c>
      <c r="F421" s="462" t="s">
        <v>130</v>
      </c>
      <c r="G421" s="467">
        <v>276</v>
      </c>
      <c r="H421" s="467">
        <f t="shared" si="37"/>
        <v>276</v>
      </c>
      <c r="I421" s="204"/>
    </row>
    <row r="422" spans="1:9" ht="15.75" x14ac:dyDescent="0.25">
      <c r="A422" s="464" t="s">
        <v>926</v>
      </c>
      <c r="B422" s="461">
        <v>903</v>
      </c>
      <c r="C422" s="465" t="s">
        <v>299</v>
      </c>
      <c r="D422" s="465" t="s">
        <v>150</v>
      </c>
      <c r="E422" s="465" t="s">
        <v>866</v>
      </c>
      <c r="F422" s="465"/>
      <c r="G422" s="463">
        <f>G423</f>
        <v>11014.8</v>
      </c>
      <c r="H422" s="463">
        <f>H423</f>
        <v>11014.8</v>
      </c>
      <c r="I422" s="204"/>
    </row>
    <row r="423" spans="1:9" ht="31.5" x14ac:dyDescent="0.25">
      <c r="A423" s="464" t="s">
        <v>929</v>
      </c>
      <c r="B423" s="461">
        <v>903</v>
      </c>
      <c r="C423" s="465" t="s">
        <v>299</v>
      </c>
      <c r="D423" s="465" t="s">
        <v>150</v>
      </c>
      <c r="E423" s="465" t="s">
        <v>914</v>
      </c>
      <c r="F423" s="465"/>
      <c r="G423" s="463">
        <f>G424+G431</f>
        <v>11014.8</v>
      </c>
      <c r="H423" s="463">
        <f>H424+H431</f>
        <v>11014.8</v>
      </c>
      <c r="I423" s="204"/>
    </row>
    <row r="424" spans="1:9" ht="31.5" x14ac:dyDescent="0.25">
      <c r="A424" s="466" t="s">
        <v>903</v>
      </c>
      <c r="B424" s="460">
        <v>903</v>
      </c>
      <c r="C424" s="462" t="s">
        <v>299</v>
      </c>
      <c r="D424" s="462" t="s">
        <v>150</v>
      </c>
      <c r="E424" s="462" t="s">
        <v>915</v>
      </c>
      <c r="F424" s="462"/>
      <c r="G424" s="467">
        <f>G425+G427+G429</f>
        <v>10804.8</v>
      </c>
      <c r="H424" s="467">
        <f>H425+H427+H429</f>
        <v>10804.8</v>
      </c>
      <c r="I424" s="204"/>
    </row>
    <row r="425" spans="1:9" ht="78.75" x14ac:dyDescent="0.25">
      <c r="A425" s="466" t="s">
        <v>127</v>
      </c>
      <c r="B425" s="460">
        <v>903</v>
      </c>
      <c r="C425" s="462" t="s">
        <v>299</v>
      </c>
      <c r="D425" s="462" t="s">
        <v>150</v>
      </c>
      <c r="E425" s="462" t="s">
        <v>915</v>
      </c>
      <c r="F425" s="462" t="s">
        <v>128</v>
      </c>
      <c r="G425" s="467">
        <f>G426</f>
        <v>8853.7999999999993</v>
      </c>
      <c r="H425" s="467">
        <f>H426</f>
        <v>8853.7999999999993</v>
      </c>
      <c r="I425" s="204"/>
    </row>
    <row r="426" spans="1:9" ht="24.75" customHeight="1" x14ac:dyDescent="0.25">
      <c r="A426" s="466" t="s">
        <v>342</v>
      </c>
      <c r="B426" s="460">
        <v>903</v>
      </c>
      <c r="C426" s="462" t="s">
        <v>299</v>
      </c>
      <c r="D426" s="462" t="s">
        <v>150</v>
      </c>
      <c r="E426" s="462" t="s">
        <v>915</v>
      </c>
      <c r="F426" s="462" t="s">
        <v>209</v>
      </c>
      <c r="G426" s="467">
        <v>8853.7999999999993</v>
      </c>
      <c r="H426" s="467">
        <f t="shared" si="37"/>
        <v>8853.7999999999993</v>
      </c>
      <c r="I426" s="204"/>
    </row>
    <row r="427" spans="1:9" ht="31.5" x14ac:dyDescent="0.25">
      <c r="A427" s="466" t="s">
        <v>131</v>
      </c>
      <c r="B427" s="460">
        <v>903</v>
      </c>
      <c r="C427" s="462" t="s">
        <v>299</v>
      </c>
      <c r="D427" s="462" t="s">
        <v>150</v>
      </c>
      <c r="E427" s="462" t="s">
        <v>915</v>
      </c>
      <c r="F427" s="462" t="s">
        <v>132</v>
      </c>
      <c r="G427" s="467">
        <f>G428</f>
        <v>1937</v>
      </c>
      <c r="H427" s="467">
        <f>H428</f>
        <v>1937</v>
      </c>
      <c r="I427" s="204"/>
    </row>
    <row r="428" spans="1:9" ht="31.5" x14ac:dyDescent="0.25">
      <c r="A428" s="466" t="s">
        <v>133</v>
      </c>
      <c r="B428" s="460">
        <v>903</v>
      </c>
      <c r="C428" s="462" t="s">
        <v>299</v>
      </c>
      <c r="D428" s="462" t="s">
        <v>150</v>
      </c>
      <c r="E428" s="462" t="s">
        <v>915</v>
      </c>
      <c r="F428" s="462" t="s">
        <v>134</v>
      </c>
      <c r="G428" s="467">
        <f>1937</f>
        <v>1937</v>
      </c>
      <c r="H428" s="467">
        <f t="shared" si="37"/>
        <v>1937</v>
      </c>
      <c r="I428" s="204"/>
    </row>
    <row r="429" spans="1:9" ht="15.75" x14ac:dyDescent="0.25">
      <c r="A429" s="466" t="s">
        <v>135</v>
      </c>
      <c r="B429" s="460">
        <v>903</v>
      </c>
      <c r="C429" s="462" t="s">
        <v>299</v>
      </c>
      <c r="D429" s="462" t="s">
        <v>150</v>
      </c>
      <c r="E429" s="462" t="s">
        <v>915</v>
      </c>
      <c r="F429" s="462" t="s">
        <v>145</v>
      </c>
      <c r="G429" s="467">
        <f>G430</f>
        <v>14</v>
      </c>
      <c r="H429" s="467">
        <f>H430</f>
        <v>14</v>
      </c>
      <c r="I429" s="204"/>
    </row>
    <row r="430" spans="1:9" ht="15.75" x14ac:dyDescent="0.25">
      <c r="A430" s="466" t="s">
        <v>568</v>
      </c>
      <c r="B430" s="460">
        <v>903</v>
      </c>
      <c r="C430" s="462" t="s">
        <v>299</v>
      </c>
      <c r="D430" s="462" t="s">
        <v>150</v>
      </c>
      <c r="E430" s="462" t="s">
        <v>915</v>
      </c>
      <c r="F430" s="462" t="s">
        <v>138</v>
      </c>
      <c r="G430" s="467">
        <f>14</f>
        <v>14</v>
      </c>
      <c r="H430" s="467">
        <f t="shared" si="37"/>
        <v>14</v>
      </c>
      <c r="I430" s="204"/>
    </row>
    <row r="431" spans="1:9" ht="47.25" x14ac:dyDescent="0.25">
      <c r="A431" s="466" t="s">
        <v>839</v>
      </c>
      <c r="B431" s="460">
        <v>903</v>
      </c>
      <c r="C431" s="462" t="s">
        <v>299</v>
      </c>
      <c r="D431" s="462" t="s">
        <v>150</v>
      </c>
      <c r="E431" s="462" t="s">
        <v>916</v>
      </c>
      <c r="F431" s="462"/>
      <c r="G431" s="467">
        <f>G432</f>
        <v>210</v>
      </c>
      <c r="H431" s="467">
        <f>H432</f>
        <v>210</v>
      </c>
      <c r="I431" s="204"/>
    </row>
    <row r="432" spans="1:9" ht="78.75" x14ac:dyDescent="0.25">
      <c r="A432" s="466" t="s">
        <v>127</v>
      </c>
      <c r="B432" s="460">
        <v>903</v>
      </c>
      <c r="C432" s="462" t="s">
        <v>299</v>
      </c>
      <c r="D432" s="462" t="s">
        <v>150</v>
      </c>
      <c r="E432" s="462" t="s">
        <v>916</v>
      </c>
      <c r="F432" s="462" t="s">
        <v>128</v>
      </c>
      <c r="G432" s="467">
        <f>G433</f>
        <v>210</v>
      </c>
      <c r="H432" s="467">
        <f>H433</f>
        <v>210</v>
      </c>
      <c r="I432" s="204"/>
    </row>
    <row r="433" spans="1:9" ht="25.5" customHeight="1" x14ac:dyDescent="0.25">
      <c r="A433" s="466" t="s">
        <v>342</v>
      </c>
      <c r="B433" s="460">
        <v>903</v>
      </c>
      <c r="C433" s="462" t="s">
        <v>299</v>
      </c>
      <c r="D433" s="462" t="s">
        <v>150</v>
      </c>
      <c r="E433" s="462" t="s">
        <v>916</v>
      </c>
      <c r="F433" s="462" t="s">
        <v>209</v>
      </c>
      <c r="G433" s="467">
        <f>210</f>
        <v>210</v>
      </c>
      <c r="H433" s="467">
        <f t="shared" si="37"/>
        <v>210</v>
      </c>
      <c r="I433" s="204"/>
    </row>
    <row r="434" spans="1:9" ht="47.25" x14ac:dyDescent="0.25">
      <c r="A434" s="464" t="s">
        <v>1377</v>
      </c>
      <c r="B434" s="461">
        <v>903</v>
      </c>
      <c r="C434" s="465" t="s">
        <v>299</v>
      </c>
      <c r="D434" s="465" t="s">
        <v>150</v>
      </c>
      <c r="E434" s="465" t="s">
        <v>344</v>
      </c>
      <c r="F434" s="465"/>
      <c r="G434" s="463">
        <f>G435</f>
        <v>260</v>
      </c>
      <c r="H434" s="463">
        <f>H435</f>
        <v>285</v>
      </c>
      <c r="I434" s="204"/>
    </row>
    <row r="435" spans="1:9" ht="33.950000000000003" customHeight="1" x14ac:dyDescent="0.25">
      <c r="A435" s="464" t="s">
        <v>1364</v>
      </c>
      <c r="B435" s="461">
        <v>903</v>
      </c>
      <c r="C435" s="465" t="s">
        <v>299</v>
      </c>
      <c r="D435" s="465" t="s">
        <v>150</v>
      </c>
      <c r="E435" s="465" t="s">
        <v>362</v>
      </c>
      <c r="F435" s="465"/>
      <c r="G435" s="463">
        <f t="shared" ref="G435:H436" si="38">G436</f>
        <v>260</v>
      </c>
      <c r="H435" s="463">
        <f t="shared" si="38"/>
        <v>285</v>
      </c>
      <c r="I435" s="204"/>
    </row>
    <row r="436" spans="1:9" ht="31.5" x14ac:dyDescent="0.25">
      <c r="A436" s="464" t="s">
        <v>997</v>
      </c>
      <c r="B436" s="461">
        <v>903</v>
      </c>
      <c r="C436" s="465" t="s">
        <v>299</v>
      </c>
      <c r="D436" s="465" t="s">
        <v>150</v>
      </c>
      <c r="E436" s="465" t="s">
        <v>1226</v>
      </c>
      <c r="F436" s="465"/>
      <c r="G436" s="463">
        <f t="shared" si="38"/>
        <v>260</v>
      </c>
      <c r="H436" s="463">
        <f t="shared" si="38"/>
        <v>285</v>
      </c>
      <c r="I436" s="204"/>
    </row>
    <row r="437" spans="1:9" ht="31.5" x14ac:dyDescent="0.25">
      <c r="A437" s="466" t="s">
        <v>996</v>
      </c>
      <c r="B437" s="460">
        <v>903</v>
      </c>
      <c r="C437" s="462" t="s">
        <v>299</v>
      </c>
      <c r="D437" s="462" t="s">
        <v>150</v>
      </c>
      <c r="E437" s="462" t="s">
        <v>1227</v>
      </c>
      <c r="F437" s="462"/>
      <c r="G437" s="467">
        <f>G438</f>
        <v>260</v>
      </c>
      <c r="H437" s="467">
        <f>H438</f>
        <v>285</v>
      </c>
      <c r="I437" s="204"/>
    </row>
    <row r="438" spans="1:9" ht="31.5" x14ac:dyDescent="0.25">
      <c r="A438" s="466" t="s">
        <v>131</v>
      </c>
      <c r="B438" s="460">
        <v>903</v>
      </c>
      <c r="C438" s="462" t="s">
        <v>299</v>
      </c>
      <c r="D438" s="462" t="s">
        <v>150</v>
      </c>
      <c r="E438" s="462" t="s">
        <v>1227</v>
      </c>
      <c r="F438" s="462" t="s">
        <v>132</v>
      </c>
      <c r="G438" s="467">
        <f>G439</f>
        <v>260</v>
      </c>
      <c r="H438" s="467">
        <f>H439</f>
        <v>285</v>
      </c>
      <c r="I438" s="204"/>
    </row>
    <row r="439" spans="1:9" ht="37.35" customHeight="1" x14ac:dyDescent="0.25">
      <c r="A439" s="466" t="s">
        <v>133</v>
      </c>
      <c r="B439" s="460">
        <v>903</v>
      </c>
      <c r="C439" s="462" t="s">
        <v>299</v>
      </c>
      <c r="D439" s="462" t="s">
        <v>150</v>
      </c>
      <c r="E439" s="462" t="s">
        <v>1227</v>
      </c>
      <c r="F439" s="462" t="s">
        <v>134</v>
      </c>
      <c r="G439" s="467">
        <f>260</f>
        <v>260</v>
      </c>
      <c r="H439" s="467">
        <v>285</v>
      </c>
      <c r="I439" s="204"/>
    </row>
    <row r="440" spans="1:9" ht="51" customHeight="1" x14ac:dyDescent="0.25">
      <c r="A440" s="34" t="s">
        <v>1447</v>
      </c>
      <c r="B440" s="461">
        <v>903</v>
      </c>
      <c r="C440" s="465" t="s">
        <v>299</v>
      </c>
      <c r="D440" s="465" t="s">
        <v>150</v>
      </c>
      <c r="E440" s="465" t="s">
        <v>324</v>
      </c>
      <c r="F440" s="465"/>
      <c r="G440" s="463">
        <f>G442</f>
        <v>0</v>
      </c>
      <c r="H440" s="463">
        <f>H441</f>
        <v>4</v>
      </c>
      <c r="I440" s="204"/>
    </row>
    <row r="441" spans="1:9" ht="59.1" customHeight="1" x14ac:dyDescent="0.25">
      <c r="A441" s="34" t="s">
        <v>1025</v>
      </c>
      <c r="B441" s="461">
        <v>903</v>
      </c>
      <c r="C441" s="465" t="s">
        <v>299</v>
      </c>
      <c r="D441" s="465" t="s">
        <v>150</v>
      </c>
      <c r="E441" s="465" t="s">
        <v>934</v>
      </c>
      <c r="F441" s="465"/>
      <c r="G441" s="463">
        <f>G444</f>
        <v>0</v>
      </c>
      <c r="H441" s="463">
        <f>H442</f>
        <v>4</v>
      </c>
      <c r="I441" s="204"/>
    </row>
    <row r="442" spans="1:9" ht="53.1" customHeight="1" x14ac:dyDescent="0.25">
      <c r="A442" s="31" t="s">
        <v>1083</v>
      </c>
      <c r="B442" s="460">
        <v>903</v>
      </c>
      <c r="C442" s="462" t="s">
        <v>299</v>
      </c>
      <c r="D442" s="462" t="s">
        <v>150</v>
      </c>
      <c r="E442" s="462" t="s">
        <v>1026</v>
      </c>
      <c r="F442" s="462"/>
      <c r="G442" s="467">
        <f>G443</f>
        <v>0</v>
      </c>
      <c r="H442" s="467">
        <f>H443</f>
        <v>4</v>
      </c>
      <c r="I442" s="204"/>
    </row>
    <row r="443" spans="1:9" ht="37.35" customHeight="1" x14ac:dyDescent="0.25">
      <c r="A443" s="466" t="s">
        <v>131</v>
      </c>
      <c r="B443" s="460">
        <v>903</v>
      </c>
      <c r="C443" s="462" t="s">
        <v>299</v>
      </c>
      <c r="D443" s="462" t="s">
        <v>150</v>
      </c>
      <c r="E443" s="462" t="s">
        <v>1026</v>
      </c>
      <c r="F443" s="462" t="s">
        <v>132</v>
      </c>
      <c r="G443" s="467">
        <f>G444</f>
        <v>0</v>
      </c>
      <c r="H443" s="467">
        <f>H444</f>
        <v>4</v>
      </c>
      <c r="I443" s="204"/>
    </row>
    <row r="444" spans="1:9" ht="37.35" customHeight="1" x14ac:dyDescent="0.25">
      <c r="A444" s="466" t="s">
        <v>133</v>
      </c>
      <c r="B444" s="460">
        <v>903</v>
      </c>
      <c r="C444" s="462" t="s">
        <v>299</v>
      </c>
      <c r="D444" s="462" t="s">
        <v>150</v>
      </c>
      <c r="E444" s="462" t="s">
        <v>1026</v>
      </c>
      <c r="F444" s="462" t="s">
        <v>134</v>
      </c>
      <c r="G444" s="467">
        <v>0</v>
      </c>
      <c r="H444" s="467">
        <v>4</v>
      </c>
      <c r="I444" s="204"/>
    </row>
    <row r="445" spans="1:9" ht="15.75" x14ac:dyDescent="0.25">
      <c r="A445" s="464" t="s">
        <v>243</v>
      </c>
      <c r="B445" s="461">
        <v>903</v>
      </c>
      <c r="C445" s="465" t="s">
        <v>244</v>
      </c>
      <c r="D445" s="465"/>
      <c r="E445" s="465"/>
      <c r="F445" s="465"/>
      <c r="G445" s="463">
        <f>G446</f>
        <v>2001.6100000000001</v>
      </c>
      <c r="H445" s="463">
        <f>H446</f>
        <v>2026.1100000000001</v>
      </c>
      <c r="I445" s="204"/>
    </row>
    <row r="446" spans="1:9" ht="15.75" x14ac:dyDescent="0.25">
      <c r="A446" s="464" t="s">
        <v>252</v>
      </c>
      <c r="B446" s="461">
        <v>903</v>
      </c>
      <c r="C446" s="465" t="s">
        <v>244</v>
      </c>
      <c r="D446" s="465" t="s">
        <v>215</v>
      </c>
      <c r="E446" s="465"/>
      <c r="F446" s="465"/>
      <c r="G446" s="463">
        <f>G447</f>
        <v>2001.6100000000001</v>
      </c>
      <c r="H446" s="463">
        <f>H447</f>
        <v>2026.1100000000001</v>
      </c>
      <c r="I446" s="204"/>
    </row>
    <row r="447" spans="1:9" ht="47.25" x14ac:dyDescent="0.25">
      <c r="A447" s="464" t="s">
        <v>1377</v>
      </c>
      <c r="B447" s="461">
        <v>903</v>
      </c>
      <c r="C447" s="465" t="s">
        <v>244</v>
      </c>
      <c r="D447" s="465" t="s">
        <v>215</v>
      </c>
      <c r="E447" s="465" t="s">
        <v>344</v>
      </c>
      <c r="F447" s="465"/>
      <c r="G447" s="463">
        <f>G448+G453</f>
        <v>2001.6100000000001</v>
      </c>
      <c r="H447" s="463">
        <f>H448+H453</f>
        <v>2026.1100000000001</v>
      </c>
      <c r="I447" s="204"/>
    </row>
    <row r="448" spans="1:9" ht="31.5" x14ac:dyDescent="0.25">
      <c r="A448" s="464" t="s">
        <v>352</v>
      </c>
      <c r="B448" s="461">
        <v>903</v>
      </c>
      <c r="C448" s="465" t="s">
        <v>244</v>
      </c>
      <c r="D448" s="465" t="s">
        <v>215</v>
      </c>
      <c r="E448" s="465" t="s">
        <v>353</v>
      </c>
      <c r="F448" s="465"/>
      <c r="G448" s="463">
        <f t="shared" ref="G448:H451" si="39">G449</f>
        <v>294.61</v>
      </c>
      <c r="H448" s="463">
        <f t="shared" si="39"/>
        <v>289.11</v>
      </c>
      <c r="I448" s="204"/>
    </row>
    <row r="449" spans="1:13" ht="31.5" x14ac:dyDescent="0.25">
      <c r="A449" s="464" t="s">
        <v>905</v>
      </c>
      <c r="B449" s="461">
        <v>903</v>
      </c>
      <c r="C449" s="465" t="s">
        <v>244</v>
      </c>
      <c r="D449" s="465" t="s">
        <v>215</v>
      </c>
      <c r="E449" s="465" t="s">
        <v>904</v>
      </c>
      <c r="F449" s="465"/>
      <c r="G449" s="463">
        <f t="shared" si="39"/>
        <v>294.61</v>
      </c>
      <c r="H449" s="463">
        <f t="shared" si="39"/>
        <v>289.11</v>
      </c>
      <c r="I449" s="204"/>
    </row>
    <row r="450" spans="1:13" ht="31.5" x14ac:dyDescent="0.25">
      <c r="A450" s="466" t="s">
        <v>824</v>
      </c>
      <c r="B450" s="460">
        <v>903</v>
      </c>
      <c r="C450" s="462" t="s">
        <v>244</v>
      </c>
      <c r="D450" s="462" t="s">
        <v>215</v>
      </c>
      <c r="E450" s="462" t="s">
        <v>906</v>
      </c>
      <c r="F450" s="462"/>
      <c r="G450" s="467">
        <f t="shared" si="39"/>
        <v>294.61</v>
      </c>
      <c r="H450" s="467">
        <f t="shared" si="39"/>
        <v>289.11</v>
      </c>
      <c r="I450" s="204"/>
    </row>
    <row r="451" spans="1:13" ht="21.2" customHeight="1" x14ac:dyDescent="0.25">
      <c r="A451" s="466" t="s">
        <v>248</v>
      </c>
      <c r="B451" s="460">
        <v>903</v>
      </c>
      <c r="C451" s="462" t="s">
        <v>244</v>
      </c>
      <c r="D451" s="462" t="s">
        <v>215</v>
      </c>
      <c r="E451" s="462" t="s">
        <v>906</v>
      </c>
      <c r="F451" s="462" t="s">
        <v>249</v>
      </c>
      <c r="G451" s="467">
        <f>G452</f>
        <v>294.61</v>
      </c>
      <c r="H451" s="467">
        <f t="shared" si="39"/>
        <v>289.11</v>
      </c>
      <c r="I451" s="204"/>
    </row>
    <row r="452" spans="1:13" ht="31.5" x14ac:dyDescent="0.25">
      <c r="A452" s="466" t="s">
        <v>250</v>
      </c>
      <c r="B452" s="460">
        <v>903</v>
      </c>
      <c r="C452" s="462" t="s">
        <v>244</v>
      </c>
      <c r="D452" s="462" t="s">
        <v>215</v>
      </c>
      <c r="E452" s="462" t="s">
        <v>906</v>
      </c>
      <c r="F452" s="462" t="s">
        <v>251</v>
      </c>
      <c r="G452" s="467">
        <f>267.8+26.81</f>
        <v>294.61</v>
      </c>
      <c r="H452" s="467">
        <f>262.8+26.31</f>
        <v>289.11</v>
      </c>
      <c r="I452" s="204"/>
      <c r="L452" s="457">
        <v>26.81</v>
      </c>
      <c r="M452" s="457">
        <v>26.31</v>
      </c>
    </row>
    <row r="453" spans="1:13" ht="31.5" x14ac:dyDescent="0.25">
      <c r="A453" s="464" t="s">
        <v>355</v>
      </c>
      <c r="B453" s="461">
        <v>903</v>
      </c>
      <c r="C453" s="461">
        <v>10</v>
      </c>
      <c r="D453" s="465" t="s">
        <v>215</v>
      </c>
      <c r="E453" s="465" t="s">
        <v>362</v>
      </c>
      <c r="F453" s="465"/>
      <c r="G453" s="463">
        <f>G455+G458+G464</f>
        <v>1707</v>
      </c>
      <c r="H453" s="463">
        <f>H455+H458+H464</f>
        <v>1737</v>
      </c>
      <c r="I453" s="204"/>
    </row>
    <row r="454" spans="1:13" ht="31.5" x14ac:dyDescent="0.25">
      <c r="A454" s="464" t="s">
        <v>1040</v>
      </c>
      <c r="B454" s="461">
        <v>903</v>
      </c>
      <c r="C454" s="461">
        <v>10</v>
      </c>
      <c r="D454" s="465" t="s">
        <v>215</v>
      </c>
      <c r="E454" s="465" t="s">
        <v>913</v>
      </c>
      <c r="F454" s="465"/>
      <c r="G454" s="463">
        <f t="shared" ref="G454:H456" si="40">G455</f>
        <v>630</v>
      </c>
      <c r="H454" s="463">
        <f t="shared" si="40"/>
        <v>630</v>
      </c>
      <c r="I454" s="204"/>
    </row>
    <row r="455" spans="1:13" ht="47.25" x14ac:dyDescent="0.25">
      <c r="A455" s="98" t="s">
        <v>1041</v>
      </c>
      <c r="B455" s="460">
        <v>903</v>
      </c>
      <c r="C455" s="462" t="s">
        <v>244</v>
      </c>
      <c r="D455" s="462" t="s">
        <v>215</v>
      </c>
      <c r="E455" s="462" t="s">
        <v>1229</v>
      </c>
      <c r="F455" s="462"/>
      <c r="G455" s="467">
        <f t="shared" si="40"/>
        <v>630</v>
      </c>
      <c r="H455" s="467">
        <f t="shared" si="40"/>
        <v>630</v>
      </c>
      <c r="I455" s="204"/>
    </row>
    <row r="456" spans="1:13" ht="22.7" customHeight="1" x14ac:dyDescent="0.25">
      <c r="A456" s="466" t="s">
        <v>248</v>
      </c>
      <c r="B456" s="460">
        <v>903</v>
      </c>
      <c r="C456" s="462" t="s">
        <v>244</v>
      </c>
      <c r="D456" s="462" t="s">
        <v>215</v>
      </c>
      <c r="E456" s="462" t="s">
        <v>1229</v>
      </c>
      <c r="F456" s="462" t="s">
        <v>249</v>
      </c>
      <c r="G456" s="467">
        <f t="shared" si="40"/>
        <v>630</v>
      </c>
      <c r="H456" s="467">
        <f t="shared" si="40"/>
        <v>630</v>
      </c>
      <c r="I456" s="204"/>
    </row>
    <row r="457" spans="1:13" ht="31.5" x14ac:dyDescent="0.25">
      <c r="A457" s="466" t="s">
        <v>348</v>
      </c>
      <c r="B457" s="460">
        <v>903</v>
      </c>
      <c r="C457" s="462" t="s">
        <v>244</v>
      </c>
      <c r="D457" s="462" t="s">
        <v>215</v>
      </c>
      <c r="E457" s="462" t="s">
        <v>1229</v>
      </c>
      <c r="F457" s="462" t="s">
        <v>349</v>
      </c>
      <c r="G457" s="467">
        <v>630</v>
      </c>
      <c r="H457" s="467">
        <f t="shared" si="37"/>
        <v>630</v>
      </c>
      <c r="I457" s="204"/>
    </row>
    <row r="458" spans="1:13" ht="31.5" x14ac:dyDescent="0.25">
      <c r="A458" s="464" t="s">
        <v>1233</v>
      </c>
      <c r="B458" s="461">
        <v>903</v>
      </c>
      <c r="C458" s="461">
        <v>10</v>
      </c>
      <c r="D458" s="465" t="s">
        <v>215</v>
      </c>
      <c r="E458" s="465" t="s">
        <v>1231</v>
      </c>
      <c r="F458" s="465"/>
      <c r="G458" s="463">
        <f>G459+G462</f>
        <v>657</v>
      </c>
      <c r="H458" s="463">
        <f>H459+H462</f>
        <v>657</v>
      </c>
      <c r="I458" s="204"/>
    </row>
    <row r="459" spans="1:13" ht="31.5" x14ac:dyDescent="0.25">
      <c r="A459" s="466" t="s">
        <v>1230</v>
      </c>
      <c r="B459" s="460">
        <v>903</v>
      </c>
      <c r="C459" s="462" t="s">
        <v>244</v>
      </c>
      <c r="D459" s="462" t="s">
        <v>215</v>
      </c>
      <c r="E459" s="462" t="s">
        <v>1232</v>
      </c>
      <c r="F459" s="462"/>
      <c r="G459" s="467">
        <f>G460</f>
        <v>400</v>
      </c>
      <c r="H459" s="467">
        <f>H460</f>
        <v>400</v>
      </c>
      <c r="I459" s="204"/>
    </row>
    <row r="460" spans="1:13" ht="31.5" x14ac:dyDescent="0.25">
      <c r="A460" s="466" t="s">
        <v>131</v>
      </c>
      <c r="B460" s="460">
        <v>903</v>
      </c>
      <c r="C460" s="462" t="s">
        <v>244</v>
      </c>
      <c r="D460" s="462" t="s">
        <v>215</v>
      </c>
      <c r="E460" s="462" t="s">
        <v>1232</v>
      </c>
      <c r="F460" s="462" t="s">
        <v>132</v>
      </c>
      <c r="G460" s="467">
        <f>G461</f>
        <v>400</v>
      </c>
      <c r="H460" s="467">
        <f>H461</f>
        <v>400</v>
      </c>
      <c r="I460" s="204"/>
    </row>
    <row r="461" spans="1:13" ht="31.5" x14ac:dyDescent="0.25">
      <c r="A461" s="466" t="s">
        <v>133</v>
      </c>
      <c r="B461" s="460">
        <v>903</v>
      </c>
      <c r="C461" s="462" t="s">
        <v>244</v>
      </c>
      <c r="D461" s="462" t="s">
        <v>215</v>
      </c>
      <c r="E461" s="462" t="s">
        <v>1232</v>
      </c>
      <c r="F461" s="462" t="s">
        <v>134</v>
      </c>
      <c r="G461" s="467">
        <v>400</v>
      </c>
      <c r="H461" s="467">
        <f t="shared" si="37"/>
        <v>400</v>
      </c>
      <c r="I461" s="204"/>
    </row>
    <row r="462" spans="1:13" ht="31.5" x14ac:dyDescent="0.25">
      <c r="A462" s="466" t="s">
        <v>248</v>
      </c>
      <c r="B462" s="460">
        <v>903</v>
      </c>
      <c r="C462" s="462" t="s">
        <v>244</v>
      </c>
      <c r="D462" s="462" t="s">
        <v>215</v>
      </c>
      <c r="E462" s="462" t="s">
        <v>1232</v>
      </c>
      <c r="F462" s="462" t="s">
        <v>249</v>
      </c>
      <c r="G462" s="467">
        <f>G463</f>
        <v>257</v>
      </c>
      <c r="H462" s="467">
        <f>H463</f>
        <v>257</v>
      </c>
      <c r="I462" s="204"/>
    </row>
    <row r="463" spans="1:13" ht="31.5" x14ac:dyDescent="0.25">
      <c r="A463" s="466" t="s">
        <v>348</v>
      </c>
      <c r="B463" s="460">
        <v>903</v>
      </c>
      <c r="C463" s="462" t="s">
        <v>244</v>
      </c>
      <c r="D463" s="462" t="s">
        <v>215</v>
      </c>
      <c r="E463" s="462" t="s">
        <v>1232</v>
      </c>
      <c r="F463" s="462" t="s">
        <v>349</v>
      </c>
      <c r="G463" s="467">
        <v>257</v>
      </c>
      <c r="H463" s="467">
        <f t="shared" si="37"/>
        <v>257</v>
      </c>
      <c r="I463" s="204"/>
    </row>
    <row r="464" spans="1:13" ht="31.5" x14ac:dyDescent="0.25">
      <c r="A464" s="464" t="s">
        <v>997</v>
      </c>
      <c r="B464" s="461">
        <v>903</v>
      </c>
      <c r="C464" s="461">
        <v>10</v>
      </c>
      <c r="D464" s="465" t="s">
        <v>215</v>
      </c>
      <c r="E464" s="465" t="s">
        <v>1226</v>
      </c>
      <c r="F464" s="465"/>
      <c r="G464" s="463">
        <f>G465</f>
        <v>420</v>
      </c>
      <c r="H464" s="463">
        <f t="shared" ref="H464:H466" si="41">H465</f>
        <v>450</v>
      </c>
      <c r="I464" s="204"/>
    </row>
    <row r="465" spans="1:9" ht="15.75" x14ac:dyDescent="0.25">
      <c r="A465" s="466" t="s">
        <v>1038</v>
      </c>
      <c r="B465" s="460">
        <v>903</v>
      </c>
      <c r="C465" s="462" t="s">
        <v>244</v>
      </c>
      <c r="D465" s="462" t="s">
        <v>215</v>
      </c>
      <c r="E465" s="462" t="s">
        <v>1228</v>
      </c>
      <c r="F465" s="462"/>
      <c r="G465" s="467">
        <f>G466</f>
        <v>420</v>
      </c>
      <c r="H465" s="467">
        <f t="shared" si="41"/>
        <v>450</v>
      </c>
      <c r="I465" s="204"/>
    </row>
    <row r="466" spans="1:9" ht="17.45" customHeight="1" x14ac:dyDescent="0.25">
      <c r="A466" s="466" t="s">
        <v>248</v>
      </c>
      <c r="B466" s="460">
        <v>903</v>
      </c>
      <c r="C466" s="462" t="s">
        <v>244</v>
      </c>
      <c r="D466" s="462" t="s">
        <v>215</v>
      </c>
      <c r="E466" s="462" t="s">
        <v>1228</v>
      </c>
      <c r="F466" s="462" t="s">
        <v>249</v>
      </c>
      <c r="G466" s="467">
        <f>G467</f>
        <v>420</v>
      </c>
      <c r="H466" s="467">
        <f t="shared" si="41"/>
        <v>450</v>
      </c>
      <c r="I466" s="204"/>
    </row>
    <row r="467" spans="1:9" ht="31.5" x14ac:dyDescent="0.25">
      <c r="A467" s="466" t="s">
        <v>348</v>
      </c>
      <c r="B467" s="460">
        <v>903</v>
      </c>
      <c r="C467" s="462" t="s">
        <v>244</v>
      </c>
      <c r="D467" s="462" t="s">
        <v>215</v>
      </c>
      <c r="E467" s="462" t="s">
        <v>1228</v>
      </c>
      <c r="F467" s="462" t="s">
        <v>349</v>
      </c>
      <c r="G467" s="467">
        <v>420</v>
      </c>
      <c r="H467" s="467">
        <v>450</v>
      </c>
      <c r="I467" s="204"/>
    </row>
    <row r="468" spans="1:9" ht="15.75" x14ac:dyDescent="0.25">
      <c r="A468" s="464" t="s">
        <v>582</v>
      </c>
      <c r="B468" s="461">
        <v>903</v>
      </c>
      <c r="C468" s="465" t="s">
        <v>238</v>
      </c>
      <c r="D468" s="462"/>
      <c r="E468" s="462"/>
      <c r="F468" s="462"/>
      <c r="G468" s="463">
        <f>G469</f>
        <v>5873.2</v>
      </c>
      <c r="H468" s="463">
        <f>H469</f>
        <v>5876.2</v>
      </c>
      <c r="I468" s="204"/>
    </row>
    <row r="469" spans="1:9" ht="15.75" x14ac:dyDescent="0.25">
      <c r="A469" s="464" t="s">
        <v>583</v>
      </c>
      <c r="B469" s="461">
        <v>903</v>
      </c>
      <c r="C469" s="465" t="s">
        <v>238</v>
      </c>
      <c r="D469" s="465" t="s">
        <v>213</v>
      </c>
      <c r="E469" s="465"/>
      <c r="F469" s="465"/>
      <c r="G469" s="463">
        <f>G470+G483</f>
        <v>5873.2</v>
      </c>
      <c r="H469" s="463">
        <f>H470+H483</f>
        <v>5876.2</v>
      </c>
      <c r="I469" s="204"/>
    </row>
    <row r="470" spans="1:9" ht="31.5" x14ac:dyDescent="0.25">
      <c r="A470" s="464" t="s">
        <v>1362</v>
      </c>
      <c r="B470" s="461">
        <v>903</v>
      </c>
      <c r="C470" s="465" t="s">
        <v>238</v>
      </c>
      <c r="D470" s="465" t="s">
        <v>213</v>
      </c>
      <c r="E470" s="465" t="s">
        <v>267</v>
      </c>
      <c r="F470" s="465"/>
      <c r="G470" s="463">
        <f>G471+G479</f>
        <v>5798.3</v>
      </c>
      <c r="H470" s="463">
        <f>H471+H479</f>
        <v>5798.3</v>
      </c>
      <c r="I470" s="204"/>
    </row>
    <row r="471" spans="1:9" ht="31.5" x14ac:dyDescent="0.25">
      <c r="A471" s="464" t="s">
        <v>1305</v>
      </c>
      <c r="B471" s="461">
        <v>903</v>
      </c>
      <c r="C471" s="465" t="s">
        <v>238</v>
      </c>
      <c r="D471" s="465" t="s">
        <v>213</v>
      </c>
      <c r="E471" s="465" t="s">
        <v>1208</v>
      </c>
      <c r="F471" s="465"/>
      <c r="G471" s="463">
        <f>G472</f>
        <v>5522.3</v>
      </c>
      <c r="H471" s="463">
        <f>H472</f>
        <v>5522.3</v>
      </c>
      <c r="I471" s="204"/>
    </row>
    <row r="472" spans="1:9" ht="15.75" x14ac:dyDescent="0.25">
      <c r="A472" s="466" t="s">
        <v>801</v>
      </c>
      <c r="B472" s="460">
        <v>903</v>
      </c>
      <c r="C472" s="462" t="s">
        <v>238</v>
      </c>
      <c r="D472" s="462" t="s">
        <v>213</v>
      </c>
      <c r="E472" s="462" t="s">
        <v>1209</v>
      </c>
      <c r="F472" s="462"/>
      <c r="G472" s="467">
        <f>G473+G475+G477</f>
        <v>5522.3</v>
      </c>
      <c r="H472" s="467">
        <f>H473+H475+H477</f>
        <v>5522.3</v>
      </c>
      <c r="I472" s="204"/>
    </row>
    <row r="473" spans="1:9" ht="78.75" x14ac:dyDescent="0.25">
      <c r="A473" s="466" t="s">
        <v>127</v>
      </c>
      <c r="B473" s="460">
        <v>903</v>
      </c>
      <c r="C473" s="462" t="s">
        <v>238</v>
      </c>
      <c r="D473" s="462" t="s">
        <v>213</v>
      </c>
      <c r="E473" s="462" t="s">
        <v>1209</v>
      </c>
      <c r="F473" s="462" t="s">
        <v>128</v>
      </c>
      <c r="G473" s="467">
        <f>G474</f>
        <v>4897.2</v>
      </c>
      <c r="H473" s="467">
        <f>H474</f>
        <v>4897.2</v>
      </c>
      <c r="I473" s="204"/>
    </row>
    <row r="474" spans="1:9" ht="15.75" x14ac:dyDescent="0.25">
      <c r="A474" s="466" t="s">
        <v>208</v>
      </c>
      <c r="B474" s="460">
        <v>903</v>
      </c>
      <c r="C474" s="462" t="s">
        <v>238</v>
      </c>
      <c r="D474" s="462" t="s">
        <v>213</v>
      </c>
      <c r="E474" s="462" t="s">
        <v>1209</v>
      </c>
      <c r="F474" s="462" t="s">
        <v>209</v>
      </c>
      <c r="G474" s="27">
        <v>4897.2</v>
      </c>
      <c r="H474" s="27">
        <f>G474</f>
        <v>4897.2</v>
      </c>
      <c r="I474" s="204"/>
    </row>
    <row r="475" spans="1:9" ht="31.5" x14ac:dyDescent="0.25">
      <c r="A475" s="466" t="s">
        <v>131</v>
      </c>
      <c r="B475" s="460">
        <v>903</v>
      </c>
      <c r="C475" s="462" t="s">
        <v>238</v>
      </c>
      <c r="D475" s="462" t="s">
        <v>213</v>
      </c>
      <c r="E475" s="462" t="s">
        <v>1209</v>
      </c>
      <c r="F475" s="462" t="s">
        <v>132</v>
      </c>
      <c r="G475" s="467">
        <f>G476</f>
        <v>595.1</v>
      </c>
      <c r="H475" s="467">
        <f>H476</f>
        <v>595.1</v>
      </c>
      <c r="I475" s="204"/>
    </row>
    <row r="476" spans="1:9" ht="33.4" customHeight="1" x14ac:dyDescent="0.25">
      <c r="A476" s="466" t="s">
        <v>133</v>
      </c>
      <c r="B476" s="460">
        <v>903</v>
      </c>
      <c r="C476" s="462" t="s">
        <v>238</v>
      </c>
      <c r="D476" s="462" t="s">
        <v>213</v>
      </c>
      <c r="E476" s="462" t="s">
        <v>1209</v>
      </c>
      <c r="F476" s="462" t="s">
        <v>134</v>
      </c>
      <c r="G476" s="27">
        <v>595.1</v>
      </c>
      <c r="H476" s="27">
        <f>G476</f>
        <v>595.1</v>
      </c>
      <c r="I476" s="204"/>
    </row>
    <row r="477" spans="1:9" ht="15.75" x14ac:dyDescent="0.25">
      <c r="A477" s="466" t="s">
        <v>135</v>
      </c>
      <c r="B477" s="460">
        <v>903</v>
      </c>
      <c r="C477" s="462" t="s">
        <v>238</v>
      </c>
      <c r="D477" s="462" t="s">
        <v>213</v>
      </c>
      <c r="E477" s="462" t="s">
        <v>1209</v>
      </c>
      <c r="F477" s="462" t="s">
        <v>145</v>
      </c>
      <c r="G477" s="467">
        <f>G478</f>
        <v>30</v>
      </c>
      <c r="H477" s="467">
        <f>H478</f>
        <v>30</v>
      </c>
      <c r="I477" s="204"/>
    </row>
    <row r="478" spans="1:9" ht="15.75" x14ac:dyDescent="0.25">
      <c r="A478" s="466" t="s">
        <v>568</v>
      </c>
      <c r="B478" s="460">
        <v>903</v>
      </c>
      <c r="C478" s="462" t="s">
        <v>238</v>
      </c>
      <c r="D478" s="462" t="s">
        <v>213</v>
      </c>
      <c r="E478" s="462" t="s">
        <v>1209</v>
      </c>
      <c r="F478" s="462" t="s">
        <v>138</v>
      </c>
      <c r="G478" s="467">
        <v>30</v>
      </c>
      <c r="H478" s="467">
        <f>G478</f>
        <v>30</v>
      </c>
      <c r="I478" s="204"/>
    </row>
    <row r="479" spans="1:9" ht="31.5" x14ac:dyDescent="0.25">
      <c r="A479" s="464" t="s">
        <v>947</v>
      </c>
      <c r="B479" s="461">
        <v>903</v>
      </c>
      <c r="C479" s="465" t="s">
        <v>238</v>
      </c>
      <c r="D479" s="465" t="s">
        <v>213</v>
      </c>
      <c r="E479" s="465" t="s">
        <v>1213</v>
      </c>
      <c r="F479" s="465"/>
      <c r="G479" s="463">
        <f t="shared" ref="G479:H481" si="42">G480</f>
        <v>276</v>
      </c>
      <c r="H479" s="463">
        <f t="shared" si="42"/>
        <v>276</v>
      </c>
      <c r="I479" s="204"/>
    </row>
    <row r="480" spans="1:9" ht="47.25" x14ac:dyDescent="0.25">
      <c r="A480" s="466" t="s">
        <v>839</v>
      </c>
      <c r="B480" s="460">
        <v>903</v>
      </c>
      <c r="C480" s="462" t="s">
        <v>238</v>
      </c>
      <c r="D480" s="462" t="s">
        <v>213</v>
      </c>
      <c r="E480" s="462" t="s">
        <v>1214</v>
      </c>
      <c r="F480" s="462"/>
      <c r="G480" s="467">
        <f t="shared" si="42"/>
        <v>276</v>
      </c>
      <c r="H480" s="467">
        <f t="shared" si="42"/>
        <v>276</v>
      </c>
      <c r="I480" s="204"/>
    </row>
    <row r="481" spans="1:9" ht="78.75" x14ac:dyDescent="0.25">
      <c r="A481" s="466" t="s">
        <v>127</v>
      </c>
      <c r="B481" s="460">
        <v>903</v>
      </c>
      <c r="C481" s="462" t="s">
        <v>238</v>
      </c>
      <c r="D481" s="462" t="s">
        <v>213</v>
      </c>
      <c r="E481" s="462" t="s">
        <v>1214</v>
      </c>
      <c r="F481" s="462" t="s">
        <v>128</v>
      </c>
      <c r="G481" s="467">
        <f t="shared" si="42"/>
        <v>276</v>
      </c>
      <c r="H481" s="467">
        <f t="shared" si="42"/>
        <v>276</v>
      </c>
      <c r="I481" s="204"/>
    </row>
    <row r="482" spans="1:9" ht="15.75" x14ac:dyDescent="0.25">
      <c r="A482" s="466" t="s">
        <v>208</v>
      </c>
      <c r="B482" s="460">
        <v>903</v>
      </c>
      <c r="C482" s="462" t="s">
        <v>238</v>
      </c>
      <c r="D482" s="462" t="s">
        <v>213</v>
      </c>
      <c r="E482" s="462" t="s">
        <v>1214</v>
      </c>
      <c r="F482" s="462" t="s">
        <v>209</v>
      </c>
      <c r="G482" s="467">
        <v>276</v>
      </c>
      <c r="H482" s="467">
        <f>G482</f>
        <v>276</v>
      </c>
      <c r="I482" s="204"/>
    </row>
    <row r="483" spans="1:9" ht="47.25" x14ac:dyDescent="0.25">
      <c r="A483" s="470" t="s">
        <v>1363</v>
      </c>
      <c r="B483" s="461">
        <v>903</v>
      </c>
      <c r="C483" s="465" t="s">
        <v>238</v>
      </c>
      <c r="D483" s="465" t="s">
        <v>213</v>
      </c>
      <c r="E483" s="465" t="s">
        <v>705</v>
      </c>
      <c r="F483" s="474"/>
      <c r="G483" s="463">
        <f>G485</f>
        <v>74.900000000000006</v>
      </c>
      <c r="H483" s="463">
        <f>H485</f>
        <v>77.900000000000006</v>
      </c>
      <c r="I483" s="204"/>
    </row>
    <row r="484" spans="1:9" ht="47.25" x14ac:dyDescent="0.25">
      <c r="A484" s="470" t="s">
        <v>890</v>
      </c>
      <c r="B484" s="461">
        <v>903</v>
      </c>
      <c r="C484" s="465" t="s">
        <v>238</v>
      </c>
      <c r="D484" s="465" t="s">
        <v>213</v>
      </c>
      <c r="E484" s="465" t="s">
        <v>888</v>
      </c>
      <c r="F484" s="474"/>
      <c r="G484" s="463">
        <f t="shared" ref="G484:H486" si="43">G485</f>
        <v>74.900000000000006</v>
      </c>
      <c r="H484" s="463">
        <f t="shared" si="43"/>
        <v>77.900000000000006</v>
      </c>
      <c r="I484" s="204"/>
    </row>
    <row r="485" spans="1:9" ht="29.25" customHeight="1" x14ac:dyDescent="0.25">
      <c r="A485" s="98" t="s">
        <v>1004</v>
      </c>
      <c r="B485" s="460">
        <v>903</v>
      </c>
      <c r="C485" s="462" t="s">
        <v>238</v>
      </c>
      <c r="D485" s="462" t="s">
        <v>213</v>
      </c>
      <c r="E485" s="462" t="s">
        <v>889</v>
      </c>
      <c r="F485" s="468"/>
      <c r="G485" s="467">
        <f t="shared" si="43"/>
        <v>74.900000000000006</v>
      </c>
      <c r="H485" s="467">
        <f t="shared" si="43"/>
        <v>77.900000000000006</v>
      </c>
      <c r="I485" s="204"/>
    </row>
    <row r="486" spans="1:9" ht="31.5" x14ac:dyDescent="0.25">
      <c r="A486" s="466" t="s">
        <v>131</v>
      </c>
      <c r="B486" s="460">
        <v>903</v>
      </c>
      <c r="C486" s="462" t="s">
        <v>238</v>
      </c>
      <c r="D486" s="462" t="s">
        <v>213</v>
      </c>
      <c r="E486" s="462" t="s">
        <v>889</v>
      </c>
      <c r="F486" s="468" t="s">
        <v>132</v>
      </c>
      <c r="G486" s="467">
        <f t="shared" si="43"/>
        <v>74.900000000000006</v>
      </c>
      <c r="H486" s="467">
        <f t="shared" si="43"/>
        <v>77.900000000000006</v>
      </c>
      <c r="I486" s="204"/>
    </row>
    <row r="487" spans="1:9" ht="30.6" customHeight="1" x14ac:dyDescent="0.25">
      <c r="A487" s="466" t="s">
        <v>133</v>
      </c>
      <c r="B487" s="460">
        <v>903</v>
      </c>
      <c r="C487" s="462" t="s">
        <v>238</v>
      </c>
      <c r="D487" s="462" t="s">
        <v>213</v>
      </c>
      <c r="E487" s="462" t="s">
        <v>889</v>
      </c>
      <c r="F487" s="468" t="s">
        <v>134</v>
      </c>
      <c r="G487" s="467">
        <v>74.900000000000006</v>
      </c>
      <c r="H487" s="467">
        <v>77.900000000000006</v>
      </c>
      <c r="I487" s="204"/>
    </row>
    <row r="488" spans="1:9" ht="47.25" x14ac:dyDescent="0.25">
      <c r="A488" s="461" t="s">
        <v>387</v>
      </c>
      <c r="B488" s="461">
        <v>905</v>
      </c>
      <c r="C488" s="462"/>
      <c r="D488" s="462"/>
      <c r="E488" s="462"/>
      <c r="F488" s="462"/>
      <c r="G488" s="463">
        <f>G489+G521+G531</f>
        <v>20108.5</v>
      </c>
      <c r="H488" s="463">
        <f>H489+H521+H531</f>
        <v>28442.600000000002</v>
      </c>
      <c r="I488" s="204"/>
    </row>
    <row r="489" spans="1:9" ht="15.75" x14ac:dyDescent="0.25">
      <c r="A489" s="464" t="s">
        <v>117</v>
      </c>
      <c r="B489" s="461">
        <v>905</v>
      </c>
      <c r="C489" s="465" t="s">
        <v>118</v>
      </c>
      <c r="D489" s="462"/>
      <c r="E489" s="462"/>
      <c r="F489" s="462"/>
      <c r="G489" s="463">
        <f>G490+G507</f>
        <v>17369</v>
      </c>
      <c r="H489" s="463">
        <f>H490+H507</f>
        <v>17369</v>
      </c>
      <c r="I489" s="204"/>
    </row>
    <row r="490" spans="1:9" ht="63" x14ac:dyDescent="0.25">
      <c r="A490" s="464" t="s">
        <v>149</v>
      </c>
      <c r="B490" s="461">
        <v>905</v>
      </c>
      <c r="C490" s="465" t="s">
        <v>118</v>
      </c>
      <c r="D490" s="465" t="s">
        <v>150</v>
      </c>
      <c r="E490" s="465"/>
      <c r="F490" s="465"/>
      <c r="G490" s="463">
        <f>G491</f>
        <v>12166.9</v>
      </c>
      <c r="H490" s="463">
        <f>H491</f>
        <v>12166.9</v>
      </c>
      <c r="I490" s="204"/>
    </row>
    <row r="491" spans="1:9" ht="31.5" x14ac:dyDescent="0.25">
      <c r="A491" s="464" t="s">
        <v>917</v>
      </c>
      <c r="B491" s="461">
        <v>905</v>
      </c>
      <c r="C491" s="465" t="s">
        <v>118</v>
      </c>
      <c r="D491" s="465" t="s">
        <v>150</v>
      </c>
      <c r="E491" s="465" t="s">
        <v>858</v>
      </c>
      <c r="F491" s="465"/>
      <c r="G491" s="463">
        <f>G492+G503</f>
        <v>12166.9</v>
      </c>
      <c r="H491" s="463">
        <f>H492+H503</f>
        <v>12166.9</v>
      </c>
      <c r="I491" s="204"/>
    </row>
    <row r="492" spans="1:9" ht="15.75" x14ac:dyDescent="0.25">
      <c r="A492" s="464" t="s">
        <v>918</v>
      </c>
      <c r="B492" s="461">
        <v>905</v>
      </c>
      <c r="C492" s="465" t="s">
        <v>118</v>
      </c>
      <c r="D492" s="465" t="s">
        <v>150</v>
      </c>
      <c r="E492" s="465" t="s">
        <v>859</v>
      </c>
      <c r="F492" s="465"/>
      <c r="G492" s="463">
        <f>G493+G500</f>
        <v>12144.6</v>
      </c>
      <c r="H492" s="463">
        <f>H493+H500</f>
        <v>12144.6</v>
      </c>
      <c r="I492" s="204"/>
    </row>
    <row r="493" spans="1:9" ht="31.5" x14ac:dyDescent="0.25">
      <c r="A493" s="466" t="s">
        <v>897</v>
      </c>
      <c r="B493" s="460">
        <v>905</v>
      </c>
      <c r="C493" s="462" t="s">
        <v>118</v>
      </c>
      <c r="D493" s="462" t="s">
        <v>150</v>
      </c>
      <c r="E493" s="462" t="s">
        <v>860</v>
      </c>
      <c r="F493" s="462"/>
      <c r="G493" s="467">
        <f>G494+G496+G498</f>
        <v>11682.6</v>
      </c>
      <c r="H493" s="467">
        <f>H494+H496+H498</f>
        <v>11682.6</v>
      </c>
      <c r="I493" s="204"/>
    </row>
    <row r="494" spans="1:9" ht="78.75" x14ac:dyDescent="0.25">
      <c r="A494" s="466" t="s">
        <v>127</v>
      </c>
      <c r="B494" s="460">
        <v>905</v>
      </c>
      <c r="C494" s="462" t="s">
        <v>118</v>
      </c>
      <c r="D494" s="462" t="s">
        <v>150</v>
      </c>
      <c r="E494" s="462" t="s">
        <v>860</v>
      </c>
      <c r="F494" s="462" t="s">
        <v>128</v>
      </c>
      <c r="G494" s="467">
        <f>G495</f>
        <v>11111.6</v>
      </c>
      <c r="H494" s="467">
        <f>H495</f>
        <v>11111.6</v>
      </c>
      <c r="I494" s="204"/>
    </row>
    <row r="495" spans="1:9" ht="31.5" x14ac:dyDescent="0.25">
      <c r="A495" s="466" t="s">
        <v>129</v>
      </c>
      <c r="B495" s="460">
        <v>905</v>
      </c>
      <c r="C495" s="462" t="s">
        <v>118</v>
      </c>
      <c r="D495" s="462" t="s">
        <v>150</v>
      </c>
      <c r="E495" s="462" t="s">
        <v>860</v>
      </c>
      <c r="F495" s="462" t="s">
        <v>130</v>
      </c>
      <c r="G495" s="467">
        <v>11111.6</v>
      </c>
      <c r="H495" s="467">
        <f t="shared" si="37"/>
        <v>11111.6</v>
      </c>
      <c r="I495" s="204"/>
    </row>
    <row r="496" spans="1:9" ht="31.5" x14ac:dyDescent="0.25">
      <c r="A496" s="466" t="s">
        <v>131</v>
      </c>
      <c r="B496" s="460">
        <v>905</v>
      </c>
      <c r="C496" s="462" t="s">
        <v>118</v>
      </c>
      <c r="D496" s="462" t="s">
        <v>150</v>
      </c>
      <c r="E496" s="462" t="s">
        <v>860</v>
      </c>
      <c r="F496" s="462" t="s">
        <v>132</v>
      </c>
      <c r="G496" s="467">
        <f>G497</f>
        <v>440</v>
      </c>
      <c r="H496" s="467">
        <f>H497</f>
        <v>440</v>
      </c>
      <c r="I496" s="204"/>
    </row>
    <row r="497" spans="1:9" ht="31.5" x14ac:dyDescent="0.25">
      <c r="A497" s="466" t="s">
        <v>133</v>
      </c>
      <c r="B497" s="460">
        <v>905</v>
      </c>
      <c r="C497" s="462" t="s">
        <v>118</v>
      </c>
      <c r="D497" s="462" t="s">
        <v>150</v>
      </c>
      <c r="E497" s="462" t="s">
        <v>860</v>
      </c>
      <c r="F497" s="462" t="s">
        <v>134</v>
      </c>
      <c r="G497" s="467">
        <f>440</f>
        <v>440</v>
      </c>
      <c r="H497" s="467">
        <f t="shared" si="37"/>
        <v>440</v>
      </c>
      <c r="I497" s="204"/>
    </row>
    <row r="498" spans="1:9" ht="15.75" x14ac:dyDescent="0.25">
      <c r="A498" s="466" t="s">
        <v>135</v>
      </c>
      <c r="B498" s="460">
        <v>905</v>
      </c>
      <c r="C498" s="462" t="s">
        <v>118</v>
      </c>
      <c r="D498" s="462" t="s">
        <v>150</v>
      </c>
      <c r="E498" s="462" t="s">
        <v>860</v>
      </c>
      <c r="F498" s="462" t="s">
        <v>145</v>
      </c>
      <c r="G498" s="467">
        <f>G499</f>
        <v>131</v>
      </c>
      <c r="H498" s="467">
        <f>H499</f>
        <v>131</v>
      </c>
      <c r="I498" s="204"/>
    </row>
    <row r="499" spans="1:9" ht="15.75" x14ac:dyDescent="0.25">
      <c r="A499" s="466" t="s">
        <v>568</v>
      </c>
      <c r="B499" s="460">
        <v>905</v>
      </c>
      <c r="C499" s="462" t="s">
        <v>118</v>
      </c>
      <c r="D499" s="462" t="s">
        <v>150</v>
      </c>
      <c r="E499" s="462" t="s">
        <v>860</v>
      </c>
      <c r="F499" s="462" t="s">
        <v>138</v>
      </c>
      <c r="G499" s="467">
        <f>131</f>
        <v>131</v>
      </c>
      <c r="H499" s="467">
        <f t="shared" si="37"/>
        <v>131</v>
      </c>
      <c r="I499" s="204"/>
    </row>
    <row r="500" spans="1:9" ht="47.25" x14ac:dyDescent="0.25">
      <c r="A500" s="466" t="s">
        <v>839</v>
      </c>
      <c r="B500" s="460">
        <v>905</v>
      </c>
      <c r="C500" s="462" t="s">
        <v>118</v>
      </c>
      <c r="D500" s="462" t="s">
        <v>150</v>
      </c>
      <c r="E500" s="462" t="s">
        <v>862</v>
      </c>
      <c r="F500" s="462"/>
      <c r="G500" s="467">
        <f>G501</f>
        <v>462</v>
      </c>
      <c r="H500" s="467">
        <f>H501</f>
        <v>462</v>
      </c>
      <c r="I500" s="204"/>
    </row>
    <row r="501" spans="1:9" ht="78.75" x14ac:dyDescent="0.25">
      <c r="A501" s="466" t="s">
        <v>127</v>
      </c>
      <c r="B501" s="460">
        <v>905</v>
      </c>
      <c r="C501" s="462" t="s">
        <v>118</v>
      </c>
      <c r="D501" s="462" t="s">
        <v>150</v>
      </c>
      <c r="E501" s="462" t="s">
        <v>862</v>
      </c>
      <c r="F501" s="462" t="s">
        <v>128</v>
      </c>
      <c r="G501" s="467">
        <f>G502</f>
        <v>462</v>
      </c>
      <c r="H501" s="467">
        <f>H502</f>
        <v>462</v>
      </c>
      <c r="I501" s="204"/>
    </row>
    <row r="502" spans="1:9" ht="31.5" x14ac:dyDescent="0.25">
      <c r="A502" s="466" t="s">
        <v>129</v>
      </c>
      <c r="B502" s="460">
        <v>905</v>
      </c>
      <c r="C502" s="462" t="s">
        <v>118</v>
      </c>
      <c r="D502" s="462" t="s">
        <v>150</v>
      </c>
      <c r="E502" s="462" t="s">
        <v>862</v>
      </c>
      <c r="F502" s="462" t="s">
        <v>130</v>
      </c>
      <c r="G502" s="467">
        <v>462</v>
      </c>
      <c r="H502" s="467">
        <f t="shared" ref="H502:H569" si="44">G502</f>
        <v>462</v>
      </c>
      <c r="I502" s="204"/>
    </row>
    <row r="503" spans="1:9" ht="31.5" x14ac:dyDescent="0.25">
      <c r="A503" s="464" t="s">
        <v>885</v>
      </c>
      <c r="B503" s="461">
        <v>905</v>
      </c>
      <c r="C503" s="465" t="s">
        <v>118</v>
      </c>
      <c r="D503" s="465" t="s">
        <v>150</v>
      </c>
      <c r="E503" s="465" t="s">
        <v>863</v>
      </c>
      <c r="F503" s="465"/>
      <c r="G503" s="463">
        <f t="shared" ref="G503:H505" si="45">G504</f>
        <v>22.3</v>
      </c>
      <c r="H503" s="463">
        <f t="shared" si="45"/>
        <v>22.3</v>
      </c>
      <c r="I503" s="204"/>
    </row>
    <row r="504" spans="1:9" ht="94.5" x14ac:dyDescent="0.25">
      <c r="A504" s="31" t="s">
        <v>1174</v>
      </c>
      <c r="B504" s="460">
        <v>905</v>
      </c>
      <c r="C504" s="462" t="s">
        <v>118</v>
      </c>
      <c r="D504" s="462" t="s">
        <v>150</v>
      </c>
      <c r="E504" s="462" t="s">
        <v>1173</v>
      </c>
      <c r="F504" s="462"/>
      <c r="G504" s="467">
        <f t="shared" si="45"/>
        <v>22.3</v>
      </c>
      <c r="H504" s="467">
        <f t="shared" si="45"/>
        <v>22.3</v>
      </c>
      <c r="I504" s="204"/>
    </row>
    <row r="505" spans="1:9" ht="78.75" x14ac:dyDescent="0.25">
      <c r="A505" s="466" t="s">
        <v>127</v>
      </c>
      <c r="B505" s="460">
        <v>905</v>
      </c>
      <c r="C505" s="462" t="s">
        <v>118</v>
      </c>
      <c r="D505" s="462" t="s">
        <v>150</v>
      </c>
      <c r="E505" s="462" t="s">
        <v>1173</v>
      </c>
      <c r="F505" s="462" t="s">
        <v>128</v>
      </c>
      <c r="G505" s="467">
        <f>G506</f>
        <v>22.3</v>
      </c>
      <c r="H505" s="467">
        <f t="shared" si="45"/>
        <v>22.3</v>
      </c>
      <c r="I505" s="204"/>
    </row>
    <row r="506" spans="1:9" ht="31.5" x14ac:dyDescent="0.25">
      <c r="A506" s="466" t="s">
        <v>129</v>
      </c>
      <c r="B506" s="460">
        <v>905</v>
      </c>
      <c r="C506" s="462" t="s">
        <v>118</v>
      </c>
      <c r="D506" s="462" t="s">
        <v>150</v>
      </c>
      <c r="E506" s="462" t="s">
        <v>1173</v>
      </c>
      <c r="F506" s="462" t="s">
        <v>130</v>
      </c>
      <c r="G506" s="467">
        <v>22.3</v>
      </c>
      <c r="H506" s="467">
        <v>22.3</v>
      </c>
      <c r="I506" s="204"/>
    </row>
    <row r="507" spans="1:9" ht="15.75" x14ac:dyDescent="0.25">
      <c r="A507" s="464" t="s">
        <v>139</v>
      </c>
      <c r="B507" s="461">
        <v>905</v>
      </c>
      <c r="C507" s="465" t="s">
        <v>118</v>
      </c>
      <c r="D507" s="465" t="s">
        <v>140</v>
      </c>
      <c r="E507" s="465"/>
      <c r="F507" s="465"/>
      <c r="G507" s="463">
        <f>G508+G516</f>
        <v>5202.1000000000004</v>
      </c>
      <c r="H507" s="463">
        <f>H508+H516</f>
        <v>5202.1000000000004</v>
      </c>
      <c r="I507" s="204"/>
    </row>
    <row r="508" spans="1:9" ht="15.75" x14ac:dyDescent="0.25">
      <c r="A508" s="464" t="s">
        <v>141</v>
      </c>
      <c r="B508" s="461">
        <v>905</v>
      </c>
      <c r="C508" s="465" t="s">
        <v>118</v>
      </c>
      <c r="D508" s="465" t="s">
        <v>140</v>
      </c>
      <c r="E508" s="465" t="s">
        <v>866</v>
      </c>
      <c r="F508" s="465"/>
      <c r="G508" s="463">
        <f>G509</f>
        <v>5202.1000000000004</v>
      </c>
      <c r="H508" s="463">
        <f>H509</f>
        <v>5202.1000000000004</v>
      </c>
      <c r="I508" s="204"/>
    </row>
    <row r="509" spans="1:9" ht="31.5" x14ac:dyDescent="0.25">
      <c r="A509" s="464" t="s">
        <v>870</v>
      </c>
      <c r="B509" s="461">
        <v>905</v>
      </c>
      <c r="C509" s="465" t="s">
        <v>118</v>
      </c>
      <c r="D509" s="465" t="s">
        <v>140</v>
      </c>
      <c r="E509" s="465" t="s">
        <v>865</v>
      </c>
      <c r="F509" s="465"/>
      <c r="G509" s="463">
        <f>G510+G513</f>
        <v>5202.1000000000004</v>
      </c>
      <c r="H509" s="463">
        <f>H510+H513</f>
        <v>5202.1000000000004</v>
      </c>
      <c r="I509" s="204"/>
    </row>
    <row r="510" spans="1:9" ht="47.25" x14ac:dyDescent="0.25">
      <c r="A510" s="466" t="s">
        <v>388</v>
      </c>
      <c r="B510" s="460">
        <v>905</v>
      </c>
      <c r="C510" s="462" t="s">
        <v>118</v>
      </c>
      <c r="D510" s="462" t="s">
        <v>140</v>
      </c>
      <c r="E510" s="462" t="s">
        <v>1011</v>
      </c>
      <c r="F510" s="462"/>
      <c r="G510" s="467">
        <f>G511</f>
        <v>5202.1000000000004</v>
      </c>
      <c r="H510" s="467">
        <f>H511</f>
        <v>5202.1000000000004</v>
      </c>
      <c r="I510" s="204"/>
    </row>
    <row r="511" spans="1:9" ht="31.5" x14ac:dyDescent="0.25">
      <c r="A511" s="466" t="s">
        <v>131</v>
      </c>
      <c r="B511" s="460">
        <v>905</v>
      </c>
      <c r="C511" s="462" t="s">
        <v>118</v>
      </c>
      <c r="D511" s="462" t="s">
        <v>140</v>
      </c>
      <c r="E511" s="462" t="s">
        <v>1011</v>
      </c>
      <c r="F511" s="462" t="s">
        <v>132</v>
      </c>
      <c r="G511" s="467">
        <f>G512</f>
        <v>5202.1000000000004</v>
      </c>
      <c r="H511" s="467">
        <f>H512</f>
        <v>5202.1000000000004</v>
      </c>
      <c r="I511" s="204"/>
    </row>
    <row r="512" spans="1:9" ht="35.450000000000003" customHeight="1" x14ac:dyDescent="0.25">
      <c r="A512" s="466" t="s">
        <v>133</v>
      </c>
      <c r="B512" s="460">
        <v>905</v>
      </c>
      <c r="C512" s="462" t="s">
        <v>118</v>
      </c>
      <c r="D512" s="462" t="s">
        <v>140</v>
      </c>
      <c r="E512" s="462" t="s">
        <v>1011</v>
      </c>
      <c r="F512" s="462" t="s">
        <v>134</v>
      </c>
      <c r="G512" s="467">
        <v>5202.1000000000004</v>
      </c>
      <c r="H512" s="467">
        <f t="shared" si="44"/>
        <v>5202.1000000000004</v>
      </c>
      <c r="I512" s="204"/>
    </row>
    <row r="513" spans="1:9" ht="31.5" hidden="1" x14ac:dyDescent="0.25">
      <c r="A513" s="466" t="s">
        <v>931</v>
      </c>
      <c r="B513" s="460">
        <v>905</v>
      </c>
      <c r="C513" s="462" t="s">
        <v>118</v>
      </c>
      <c r="D513" s="462" t="s">
        <v>140</v>
      </c>
      <c r="E513" s="462" t="s">
        <v>1012</v>
      </c>
      <c r="F513" s="462"/>
      <c r="G513" s="467">
        <f>'[1]Пр.5 ведом.21'!G504</f>
        <v>0</v>
      </c>
      <c r="H513" s="467">
        <f t="shared" si="44"/>
        <v>0</v>
      </c>
      <c r="I513" s="204"/>
    </row>
    <row r="514" spans="1:9" ht="31.5" hidden="1" x14ac:dyDescent="0.25">
      <c r="A514" s="466" t="s">
        <v>131</v>
      </c>
      <c r="B514" s="460">
        <v>905</v>
      </c>
      <c r="C514" s="462" t="s">
        <v>118</v>
      </c>
      <c r="D514" s="462" t="s">
        <v>140</v>
      </c>
      <c r="E514" s="462" t="s">
        <v>1012</v>
      </c>
      <c r="F514" s="462" t="s">
        <v>132</v>
      </c>
      <c r="G514" s="467">
        <f>'[1]Пр.5 ведом.21'!G505</f>
        <v>0</v>
      </c>
      <c r="H514" s="467">
        <f t="shared" si="44"/>
        <v>0</v>
      </c>
      <c r="I514" s="204"/>
    </row>
    <row r="515" spans="1:9" ht="31.5" hidden="1" x14ac:dyDescent="0.25">
      <c r="A515" s="466" t="s">
        <v>133</v>
      </c>
      <c r="B515" s="460">
        <v>905</v>
      </c>
      <c r="C515" s="462" t="s">
        <v>118</v>
      </c>
      <c r="D515" s="462" t="s">
        <v>140</v>
      </c>
      <c r="E515" s="462" t="s">
        <v>1012</v>
      </c>
      <c r="F515" s="462" t="s">
        <v>134</v>
      </c>
      <c r="G515" s="467">
        <f>'[1]Пр.5 ведом.21'!G506</f>
        <v>0</v>
      </c>
      <c r="H515" s="467">
        <f t="shared" si="44"/>
        <v>0</v>
      </c>
      <c r="I515" s="204"/>
    </row>
    <row r="516" spans="1:9" ht="63" hidden="1" x14ac:dyDescent="0.25">
      <c r="A516" s="464" t="s">
        <v>1182</v>
      </c>
      <c r="B516" s="461">
        <v>905</v>
      </c>
      <c r="C516" s="465" t="s">
        <v>118</v>
      </c>
      <c r="D516" s="465" t="s">
        <v>140</v>
      </c>
      <c r="E516" s="465" t="s">
        <v>782</v>
      </c>
      <c r="F516" s="465"/>
      <c r="G516" s="463">
        <f t="shared" ref="G516:H519" si="46">G517</f>
        <v>0</v>
      </c>
      <c r="H516" s="463">
        <f t="shared" si="46"/>
        <v>0</v>
      </c>
      <c r="I516" s="204"/>
    </row>
    <row r="517" spans="1:9" ht="31.5" hidden="1" x14ac:dyDescent="0.25">
      <c r="A517" s="464" t="s">
        <v>930</v>
      </c>
      <c r="B517" s="461">
        <v>905</v>
      </c>
      <c r="C517" s="465" t="s">
        <v>118</v>
      </c>
      <c r="D517" s="465" t="s">
        <v>140</v>
      </c>
      <c r="E517" s="465" t="s">
        <v>1020</v>
      </c>
      <c r="F517" s="465"/>
      <c r="G517" s="463">
        <f t="shared" si="46"/>
        <v>0</v>
      </c>
      <c r="H517" s="463">
        <f t="shared" si="46"/>
        <v>0</v>
      </c>
      <c r="I517" s="204"/>
    </row>
    <row r="518" spans="1:9" ht="31.5" hidden="1" x14ac:dyDescent="0.25">
      <c r="A518" s="466" t="s">
        <v>790</v>
      </c>
      <c r="B518" s="460">
        <v>905</v>
      </c>
      <c r="C518" s="462" t="s">
        <v>118</v>
      </c>
      <c r="D518" s="462" t="s">
        <v>140</v>
      </c>
      <c r="E518" s="462" t="s">
        <v>1021</v>
      </c>
      <c r="F518" s="462"/>
      <c r="G518" s="467">
        <f t="shared" si="46"/>
        <v>0</v>
      </c>
      <c r="H518" s="467">
        <f t="shared" si="46"/>
        <v>0</v>
      </c>
      <c r="I518" s="204"/>
    </row>
    <row r="519" spans="1:9" ht="31.5" hidden="1" x14ac:dyDescent="0.25">
      <c r="A519" s="466" t="s">
        <v>131</v>
      </c>
      <c r="B519" s="460">
        <v>905</v>
      </c>
      <c r="C519" s="462" t="s">
        <v>118</v>
      </c>
      <c r="D519" s="462" t="s">
        <v>140</v>
      </c>
      <c r="E519" s="462" t="s">
        <v>1021</v>
      </c>
      <c r="F519" s="462" t="s">
        <v>132</v>
      </c>
      <c r="G519" s="467">
        <f t="shared" si="46"/>
        <v>0</v>
      </c>
      <c r="H519" s="467">
        <f t="shared" si="46"/>
        <v>0</v>
      </c>
      <c r="I519" s="204"/>
    </row>
    <row r="520" spans="1:9" ht="31.5" hidden="1" x14ac:dyDescent="0.25">
      <c r="A520" s="466" t="s">
        <v>133</v>
      </c>
      <c r="B520" s="460">
        <v>905</v>
      </c>
      <c r="C520" s="462" t="s">
        <v>118</v>
      </c>
      <c r="D520" s="462" t="s">
        <v>140</v>
      </c>
      <c r="E520" s="462" t="s">
        <v>1021</v>
      </c>
      <c r="F520" s="462" t="s">
        <v>134</v>
      </c>
      <c r="G520" s="467">
        <v>0</v>
      </c>
      <c r="H520" s="467">
        <v>0</v>
      </c>
      <c r="I520" s="204"/>
    </row>
    <row r="521" spans="1:9" ht="15.75" x14ac:dyDescent="0.25">
      <c r="A521" s="470" t="s">
        <v>390</v>
      </c>
      <c r="B521" s="461">
        <v>905</v>
      </c>
      <c r="C521" s="465" t="s">
        <v>234</v>
      </c>
      <c r="D521" s="465"/>
      <c r="E521" s="465"/>
      <c r="F521" s="465"/>
      <c r="G521" s="463">
        <f t="shared" ref="G521:H523" si="47">G522</f>
        <v>270.39999999999998</v>
      </c>
      <c r="H521" s="463">
        <f t="shared" si="47"/>
        <v>270.39999999999998</v>
      </c>
      <c r="I521" s="204"/>
    </row>
    <row r="522" spans="1:9" ht="15.75" x14ac:dyDescent="0.25">
      <c r="A522" s="470" t="s">
        <v>391</v>
      </c>
      <c r="B522" s="461">
        <v>905</v>
      </c>
      <c r="C522" s="465" t="s">
        <v>234</v>
      </c>
      <c r="D522" s="465" t="s">
        <v>118</v>
      </c>
      <c r="E522" s="465"/>
      <c r="F522" s="465"/>
      <c r="G522" s="463">
        <f t="shared" si="47"/>
        <v>270.39999999999998</v>
      </c>
      <c r="H522" s="463">
        <f t="shared" si="47"/>
        <v>270.39999999999998</v>
      </c>
      <c r="I522" s="204"/>
    </row>
    <row r="523" spans="1:9" ht="15.75" x14ac:dyDescent="0.25">
      <c r="A523" s="464" t="s">
        <v>141</v>
      </c>
      <c r="B523" s="461">
        <v>905</v>
      </c>
      <c r="C523" s="465" t="s">
        <v>234</v>
      </c>
      <c r="D523" s="465" t="s">
        <v>118</v>
      </c>
      <c r="E523" s="465" t="s">
        <v>866</v>
      </c>
      <c r="F523" s="465"/>
      <c r="G523" s="463">
        <f t="shared" si="47"/>
        <v>270.39999999999998</v>
      </c>
      <c r="H523" s="463">
        <f t="shared" si="47"/>
        <v>270.39999999999998</v>
      </c>
      <c r="I523" s="204"/>
    </row>
    <row r="524" spans="1:9" ht="31.5" x14ac:dyDescent="0.25">
      <c r="A524" s="464" t="s">
        <v>870</v>
      </c>
      <c r="B524" s="461">
        <v>905</v>
      </c>
      <c r="C524" s="465" t="s">
        <v>234</v>
      </c>
      <c r="D524" s="465" t="s">
        <v>118</v>
      </c>
      <c r="E524" s="465" t="s">
        <v>865</v>
      </c>
      <c r="F524" s="465"/>
      <c r="G524" s="463">
        <f>G525+G528</f>
        <v>270.39999999999998</v>
      </c>
      <c r="H524" s="463">
        <f>H525+H528</f>
        <v>270.39999999999998</v>
      </c>
      <c r="I524" s="204"/>
    </row>
    <row r="525" spans="1:9" ht="31.5" x14ac:dyDescent="0.25">
      <c r="A525" s="29" t="s">
        <v>398</v>
      </c>
      <c r="B525" s="460">
        <v>905</v>
      </c>
      <c r="C525" s="462" t="s">
        <v>234</v>
      </c>
      <c r="D525" s="462" t="s">
        <v>118</v>
      </c>
      <c r="E525" s="462" t="s">
        <v>961</v>
      </c>
      <c r="F525" s="462"/>
      <c r="G525" s="467">
        <f>G526</f>
        <v>270.39999999999998</v>
      </c>
      <c r="H525" s="467">
        <f>H526</f>
        <v>270.39999999999998</v>
      </c>
      <c r="I525" s="204"/>
    </row>
    <row r="526" spans="1:9" ht="31.5" x14ac:dyDescent="0.25">
      <c r="A526" s="466" t="s">
        <v>131</v>
      </c>
      <c r="B526" s="460">
        <v>905</v>
      </c>
      <c r="C526" s="462" t="s">
        <v>234</v>
      </c>
      <c r="D526" s="462" t="s">
        <v>118</v>
      </c>
      <c r="E526" s="462" t="s">
        <v>961</v>
      </c>
      <c r="F526" s="462" t="s">
        <v>132</v>
      </c>
      <c r="G526" s="467">
        <f>G527</f>
        <v>270.39999999999998</v>
      </c>
      <c r="H526" s="467">
        <f>H527</f>
        <v>270.39999999999998</v>
      </c>
      <c r="I526" s="204"/>
    </row>
    <row r="527" spans="1:9" ht="31.5" x14ac:dyDescent="0.25">
      <c r="A527" s="466" t="s">
        <v>133</v>
      </c>
      <c r="B527" s="460">
        <v>905</v>
      </c>
      <c r="C527" s="462" t="s">
        <v>234</v>
      </c>
      <c r="D527" s="462" t="s">
        <v>118</v>
      </c>
      <c r="E527" s="462" t="s">
        <v>961</v>
      </c>
      <c r="F527" s="462" t="s">
        <v>134</v>
      </c>
      <c r="G527" s="467">
        <f>270.4</f>
        <v>270.39999999999998</v>
      </c>
      <c r="H527" s="467">
        <f t="shared" si="44"/>
        <v>270.39999999999998</v>
      </c>
      <c r="I527" s="204"/>
    </row>
    <row r="528" spans="1:9" ht="31.5" hidden="1" x14ac:dyDescent="0.25">
      <c r="A528" s="29" t="s">
        <v>932</v>
      </c>
      <c r="B528" s="460">
        <v>905</v>
      </c>
      <c r="C528" s="462" t="s">
        <v>234</v>
      </c>
      <c r="D528" s="462" t="s">
        <v>118</v>
      </c>
      <c r="E528" s="462" t="s">
        <v>962</v>
      </c>
      <c r="F528" s="462"/>
      <c r="G528" s="467">
        <f>G529</f>
        <v>0</v>
      </c>
      <c r="H528" s="467">
        <f>H529</f>
        <v>0</v>
      </c>
      <c r="I528" s="204"/>
    </row>
    <row r="529" spans="1:15" ht="31.5" hidden="1" x14ac:dyDescent="0.25">
      <c r="A529" s="466" t="s">
        <v>131</v>
      </c>
      <c r="B529" s="460">
        <v>905</v>
      </c>
      <c r="C529" s="462" t="s">
        <v>234</v>
      </c>
      <c r="D529" s="462" t="s">
        <v>118</v>
      </c>
      <c r="E529" s="462" t="s">
        <v>962</v>
      </c>
      <c r="F529" s="462" t="s">
        <v>132</v>
      </c>
      <c r="G529" s="467">
        <f>G530</f>
        <v>0</v>
      </c>
      <c r="H529" s="467">
        <f>H530</f>
        <v>0</v>
      </c>
      <c r="I529" s="204"/>
    </row>
    <row r="530" spans="1:15" ht="31.5" hidden="1" x14ac:dyDescent="0.25">
      <c r="A530" s="466" t="s">
        <v>133</v>
      </c>
      <c r="B530" s="460">
        <v>905</v>
      </c>
      <c r="C530" s="462" t="s">
        <v>234</v>
      </c>
      <c r="D530" s="462" t="s">
        <v>118</v>
      </c>
      <c r="E530" s="462" t="s">
        <v>962</v>
      </c>
      <c r="F530" s="462" t="s">
        <v>134</v>
      </c>
      <c r="G530" s="467">
        <v>0</v>
      </c>
      <c r="H530" s="467">
        <v>0</v>
      </c>
      <c r="I530" s="204"/>
    </row>
    <row r="531" spans="1:15" ht="15.75" x14ac:dyDescent="0.25">
      <c r="A531" s="464" t="s">
        <v>243</v>
      </c>
      <c r="B531" s="461">
        <v>905</v>
      </c>
      <c r="C531" s="465" t="s">
        <v>244</v>
      </c>
      <c r="D531" s="462"/>
      <c r="E531" s="462"/>
      <c r="F531" s="462"/>
      <c r="G531" s="463">
        <f t="shared" ref="G531:H535" si="48">G532</f>
        <v>2469.1</v>
      </c>
      <c r="H531" s="463">
        <f t="shared" si="48"/>
        <v>10803.2</v>
      </c>
      <c r="I531" s="204"/>
    </row>
    <row r="532" spans="1:15" ht="15.75" x14ac:dyDescent="0.25">
      <c r="A532" s="464" t="s">
        <v>400</v>
      </c>
      <c r="B532" s="461">
        <v>905</v>
      </c>
      <c r="C532" s="465" t="s">
        <v>244</v>
      </c>
      <c r="D532" s="465" t="s">
        <v>150</v>
      </c>
      <c r="E532" s="462"/>
      <c r="F532" s="462"/>
      <c r="G532" s="463">
        <f t="shared" si="48"/>
        <v>2469.1</v>
      </c>
      <c r="H532" s="463">
        <f t="shared" si="48"/>
        <v>10803.2</v>
      </c>
      <c r="I532" s="204"/>
    </row>
    <row r="533" spans="1:15" ht="31.5" x14ac:dyDescent="0.25">
      <c r="A533" s="464" t="s">
        <v>885</v>
      </c>
      <c r="B533" s="461">
        <v>905</v>
      </c>
      <c r="C533" s="465" t="s">
        <v>244</v>
      </c>
      <c r="D533" s="465" t="s">
        <v>150</v>
      </c>
      <c r="E533" s="465" t="s">
        <v>863</v>
      </c>
      <c r="F533" s="462"/>
      <c r="G533" s="463">
        <f t="shared" si="48"/>
        <v>2469.1</v>
      </c>
      <c r="H533" s="463">
        <f t="shared" si="48"/>
        <v>10803.2</v>
      </c>
      <c r="I533" s="204"/>
    </row>
    <row r="534" spans="1:15" ht="47.25" x14ac:dyDescent="0.25">
      <c r="A534" s="466" t="s">
        <v>1176</v>
      </c>
      <c r="B534" s="460">
        <v>905</v>
      </c>
      <c r="C534" s="462" t="s">
        <v>244</v>
      </c>
      <c r="D534" s="462" t="s">
        <v>150</v>
      </c>
      <c r="E534" s="462" t="s">
        <v>1175</v>
      </c>
      <c r="F534" s="462"/>
      <c r="G534" s="467">
        <f t="shared" si="48"/>
        <v>2469.1</v>
      </c>
      <c r="H534" s="467">
        <f t="shared" si="48"/>
        <v>10803.2</v>
      </c>
      <c r="I534" s="204"/>
    </row>
    <row r="535" spans="1:15" ht="31.5" x14ac:dyDescent="0.25">
      <c r="A535" s="466" t="s">
        <v>131</v>
      </c>
      <c r="B535" s="460">
        <v>905</v>
      </c>
      <c r="C535" s="462" t="s">
        <v>244</v>
      </c>
      <c r="D535" s="462" t="s">
        <v>150</v>
      </c>
      <c r="E535" s="462" t="s">
        <v>1175</v>
      </c>
      <c r="F535" s="462" t="s">
        <v>132</v>
      </c>
      <c r="G535" s="467">
        <f t="shared" si="48"/>
        <v>2469.1</v>
      </c>
      <c r="H535" s="467">
        <f t="shared" si="48"/>
        <v>10803.2</v>
      </c>
      <c r="I535" s="204"/>
    </row>
    <row r="536" spans="1:15" ht="32.65" customHeight="1" x14ac:dyDescent="0.25">
      <c r="A536" s="466" t="s">
        <v>133</v>
      </c>
      <c r="B536" s="460">
        <v>905</v>
      </c>
      <c r="C536" s="462" t="s">
        <v>244</v>
      </c>
      <c r="D536" s="462" t="s">
        <v>150</v>
      </c>
      <c r="E536" s="462" t="s">
        <v>1175</v>
      </c>
      <c r="F536" s="462" t="s">
        <v>134</v>
      </c>
      <c r="G536" s="467">
        <v>2469.1</v>
      </c>
      <c r="H536" s="467">
        <v>10803.2</v>
      </c>
      <c r="I536" s="204"/>
    </row>
    <row r="537" spans="1:15" ht="31.5" x14ac:dyDescent="0.25">
      <c r="A537" s="461" t="s">
        <v>403</v>
      </c>
      <c r="B537" s="461">
        <v>906</v>
      </c>
      <c r="C537" s="465"/>
      <c r="D537" s="465"/>
      <c r="E537" s="465"/>
      <c r="F537" s="465"/>
      <c r="G537" s="463">
        <f>G548+G538</f>
        <v>346220.19999999995</v>
      </c>
      <c r="H537" s="463">
        <f>H548+H538</f>
        <v>369274.95</v>
      </c>
      <c r="I537" s="204"/>
      <c r="M537" s="22"/>
      <c r="O537" s="231"/>
    </row>
    <row r="538" spans="1:15" ht="15.75" hidden="1" x14ac:dyDescent="0.25">
      <c r="A538" s="464" t="s">
        <v>117</v>
      </c>
      <c r="B538" s="461">
        <v>906</v>
      </c>
      <c r="C538" s="465" t="s">
        <v>118</v>
      </c>
      <c r="D538" s="465"/>
      <c r="E538" s="465"/>
      <c r="F538" s="465"/>
      <c r="G538" s="463">
        <f t="shared" ref="G538:H541" si="49">G539</f>
        <v>0</v>
      </c>
      <c r="H538" s="463">
        <f t="shared" si="49"/>
        <v>0</v>
      </c>
      <c r="I538" s="204"/>
    </row>
    <row r="539" spans="1:15" ht="15.75" hidden="1" x14ac:dyDescent="0.25">
      <c r="A539" s="34" t="s">
        <v>139</v>
      </c>
      <c r="B539" s="461">
        <v>906</v>
      </c>
      <c r="C539" s="465" t="s">
        <v>118</v>
      </c>
      <c r="D539" s="465" t="s">
        <v>140</v>
      </c>
      <c r="E539" s="465"/>
      <c r="F539" s="465"/>
      <c r="G539" s="463">
        <f t="shared" si="49"/>
        <v>0</v>
      </c>
      <c r="H539" s="463">
        <f t="shared" si="49"/>
        <v>0</v>
      </c>
      <c r="I539" s="204"/>
    </row>
    <row r="540" spans="1:15" ht="47.25" hidden="1" x14ac:dyDescent="0.25">
      <c r="A540" s="464" t="s">
        <v>1366</v>
      </c>
      <c r="B540" s="461">
        <v>906</v>
      </c>
      <c r="C540" s="465" t="s">
        <v>118</v>
      </c>
      <c r="D540" s="465" t="s">
        <v>140</v>
      </c>
      <c r="E540" s="465" t="s">
        <v>335</v>
      </c>
      <c r="F540" s="465"/>
      <c r="G540" s="463">
        <f t="shared" si="49"/>
        <v>0</v>
      </c>
      <c r="H540" s="463">
        <f t="shared" si="49"/>
        <v>0</v>
      </c>
      <c r="I540" s="204"/>
    </row>
    <row r="541" spans="1:15" ht="31.5" hidden="1" x14ac:dyDescent="0.25">
      <c r="A541" s="212" t="s">
        <v>1052</v>
      </c>
      <c r="B541" s="461">
        <v>906</v>
      </c>
      <c r="C541" s="465" t="s">
        <v>118</v>
      </c>
      <c r="D541" s="465" t="s">
        <v>140</v>
      </c>
      <c r="E541" s="465" t="s">
        <v>1053</v>
      </c>
      <c r="F541" s="465"/>
      <c r="G541" s="463">
        <f t="shared" si="49"/>
        <v>0</v>
      </c>
      <c r="H541" s="463">
        <f t="shared" si="49"/>
        <v>0</v>
      </c>
      <c r="I541" s="204"/>
    </row>
    <row r="542" spans="1:15" ht="31.5" hidden="1" x14ac:dyDescent="0.25">
      <c r="A542" s="97" t="s">
        <v>336</v>
      </c>
      <c r="B542" s="460">
        <v>906</v>
      </c>
      <c r="C542" s="462" t="s">
        <v>118</v>
      </c>
      <c r="D542" s="462" t="s">
        <v>140</v>
      </c>
      <c r="E542" s="462" t="s">
        <v>1054</v>
      </c>
      <c r="F542" s="462"/>
      <c r="G542" s="467">
        <f>G543</f>
        <v>0</v>
      </c>
      <c r="H542" s="467">
        <f>H543</f>
        <v>0</v>
      </c>
      <c r="I542" s="204"/>
    </row>
    <row r="543" spans="1:15" ht="31.5" hidden="1" x14ac:dyDescent="0.25">
      <c r="A543" s="466" t="s">
        <v>131</v>
      </c>
      <c r="B543" s="460">
        <v>906</v>
      </c>
      <c r="C543" s="462" t="s">
        <v>118</v>
      </c>
      <c r="D543" s="462" t="s">
        <v>140</v>
      </c>
      <c r="E543" s="462" t="s">
        <v>1054</v>
      </c>
      <c r="F543" s="462" t="s">
        <v>132</v>
      </c>
      <c r="G543" s="467">
        <f>G544</f>
        <v>0</v>
      </c>
      <c r="H543" s="467">
        <f>H544</f>
        <v>0</v>
      </c>
      <c r="I543" s="204"/>
    </row>
    <row r="544" spans="1:15" ht="31.5" hidden="1" x14ac:dyDescent="0.25">
      <c r="A544" s="466" t="s">
        <v>133</v>
      </c>
      <c r="B544" s="460">
        <v>906</v>
      </c>
      <c r="C544" s="462" t="s">
        <v>118</v>
      </c>
      <c r="D544" s="462" t="s">
        <v>140</v>
      </c>
      <c r="E544" s="462" t="s">
        <v>1054</v>
      </c>
      <c r="F544" s="462" t="s">
        <v>134</v>
      </c>
      <c r="G544" s="467">
        <v>0</v>
      </c>
      <c r="H544" s="467">
        <v>0</v>
      </c>
      <c r="I544" s="204"/>
    </row>
    <row r="545" spans="1:9" ht="16.350000000000001" hidden="1" customHeight="1" x14ac:dyDescent="0.25">
      <c r="A545" s="31" t="s">
        <v>773</v>
      </c>
      <c r="B545" s="460">
        <v>906</v>
      </c>
      <c r="C545" s="462" t="s">
        <v>118</v>
      </c>
      <c r="D545" s="462" t="s">
        <v>140</v>
      </c>
      <c r="E545" s="462" t="s">
        <v>1076</v>
      </c>
      <c r="F545" s="462"/>
      <c r="G545" s="467" t="e">
        <f>'[1]Пр.5 ведом.21'!#REF!</f>
        <v>#REF!</v>
      </c>
      <c r="H545" s="467" t="e">
        <f t="shared" si="44"/>
        <v>#REF!</v>
      </c>
      <c r="I545" s="204"/>
    </row>
    <row r="546" spans="1:9" ht="31.5" hidden="1" x14ac:dyDescent="0.25">
      <c r="A546" s="466" t="s">
        <v>131</v>
      </c>
      <c r="B546" s="460">
        <v>906</v>
      </c>
      <c r="C546" s="462" t="s">
        <v>118</v>
      </c>
      <c r="D546" s="462" t="s">
        <v>140</v>
      </c>
      <c r="E546" s="462" t="s">
        <v>1076</v>
      </c>
      <c r="F546" s="462" t="s">
        <v>132</v>
      </c>
      <c r="G546" s="467" t="e">
        <f>'[1]Пр.5 ведом.21'!#REF!</f>
        <v>#REF!</v>
      </c>
      <c r="H546" s="467" t="e">
        <f t="shared" si="44"/>
        <v>#REF!</v>
      </c>
      <c r="I546" s="204"/>
    </row>
    <row r="547" spans="1:9" ht="31.5" hidden="1" x14ac:dyDescent="0.25">
      <c r="A547" s="466" t="s">
        <v>133</v>
      </c>
      <c r="B547" s="460">
        <v>906</v>
      </c>
      <c r="C547" s="462" t="s">
        <v>118</v>
      </c>
      <c r="D547" s="462" t="s">
        <v>140</v>
      </c>
      <c r="E547" s="462" t="s">
        <v>1076</v>
      </c>
      <c r="F547" s="462" t="s">
        <v>134</v>
      </c>
      <c r="G547" s="467" t="e">
        <f>'[1]Пр.5 ведом.21'!#REF!</f>
        <v>#REF!</v>
      </c>
      <c r="H547" s="467" t="e">
        <f t="shared" si="44"/>
        <v>#REF!</v>
      </c>
      <c r="I547" s="204"/>
    </row>
    <row r="548" spans="1:9" ht="15.75" x14ac:dyDescent="0.25">
      <c r="A548" s="464" t="s">
        <v>263</v>
      </c>
      <c r="B548" s="461">
        <v>906</v>
      </c>
      <c r="C548" s="465" t="s">
        <v>264</v>
      </c>
      <c r="D548" s="465"/>
      <c r="E548" s="465"/>
      <c r="F548" s="465"/>
      <c r="G548" s="463">
        <f>G549+G609+G720+G729+G691</f>
        <v>346220.19999999995</v>
      </c>
      <c r="H548" s="463">
        <f>H549+H609+H720+H729+H691</f>
        <v>369274.95</v>
      </c>
      <c r="I548" s="204"/>
    </row>
    <row r="549" spans="1:9" ht="15.75" x14ac:dyDescent="0.25">
      <c r="A549" s="464" t="s">
        <v>404</v>
      </c>
      <c r="B549" s="461">
        <v>906</v>
      </c>
      <c r="C549" s="465" t="s">
        <v>264</v>
      </c>
      <c r="D549" s="465" t="s">
        <v>118</v>
      </c>
      <c r="E549" s="465"/>
      <c r="F549" s="465"/>
      <c r="G549" s="463">
        <f>G550+G599+G604</f>
        <v>102250.3</v>
      </c>
      <c r="H549" s="463">
        <f>H550+H599+H604</f>
        <v>105829.20000000001</v>
      </c>
      <c r="I549" s="204"/>
    </row>
    <row r="550" spans="1:9" ht="31.9" customHeight="1" x14ac:dyDescent="0.25">
      <c r="A550" s="464" t="s">
        <v>1369</v>
      </c>
      <c r="B550" s="461">
        <v>906</v>
      </c>
      <c r="C550" s="465" t="s">
        <v>264</v>
      </c>
      <c r="D550" s="465" t="s">
        <v>118</v>
      </c>
      <c r="E550" s="465" t="s">
        <v>406</v>
      </c>
      <c r="F550" s="465"/>
      <c r="G550" s="463">
        <f>G551+G555+G568+G578+G588+G592</f>
        <v>101599.40000000001</v>
      </c>
      <c r="H550" s="463">
        <f>H551+H555+H568+H578+H588+H592</f>
        <v>105210.40000000001</v>
      </c>
      <c r="I550" s="204"/>
    </row>
    <row r="551" spans="1:9" ht="31.5" x14ac:dyDescent="0.25">
      <c r="A551" s="464" t="s">
        <v>937</v>
      </c>
      <c r="B551" s="461">
        <v>906</v>
      </c>
      <c r="C551" s="465" t="s">
        <v>264</v>
      </c>
      <c r="D551" s="465" t="s">
        <v>118</v>
      </c>
      <c r="E551" s="465" t="s">
        <v>1235</v>
      </c>
      <c r="F551" s="465"/>
      <c r="G551" s="463">
        <f t="shared" ref="G551:H553" si="50">G552</f>
        <v>14795.6</v>
      </c>
      <c r="H551" s="463">
        <f t="shared" si="50"/>
        <v>14795.6</v>
      </c>
      <c r="I551" s="204"/>
    </row>
    <row r="552" spans="1:9" ht="43.5" customHeight="1" x14ac:dyDescent="0.25">
      <c r="A552" s="466" t="s">
        <v>1234</v>
      </c>
      <c r="B552" s="460">
        <v>906</v>
      </c>
      <c r="C552" s="462" t="s">
        <v>264</v>
      </c>
      <c r="D552" s="462" t="s">
        <v>118</v>
      </c>
      <c r="E552" s="462" t="s">
        <v>1236</v>
      </c>
      <c r="F552" s="462"/>
      <c r="G552" s="467">
        <f t="shared" si="50"/>
        <v>14795.6</v>
      </c>
      <c r="H552" s="467">
        <f t="shared" si="50"/>
        <v>14795.6</v>
      </c>
      <c r="I552" s="204"/>
    </row>
    <row r="553" spans="1:9" ht="31.5" x14ac:dyDescent="0.25">
      <c r="A553" s="466" t="s">
        <v>272</v>
      </c>
      <c r="B553" s="460">
        <v>906</v>
      </c>
      <c r="C553" s="462" t="s">
        <v>264</v>
      </c>
      <c r="D553" s="462" t="s">
        <v>118</v>
      </c>
      <c r="E553" s="462" t="s">
        <v>1236</v>
      </c>
      <c r="F553" s="462" t="s">
        <v>273</v>
      </c>
      <c r="G553" s="467">
        <f t="shared" si="50"/>
        <v>14795.6</v>
      </c>
      <c r="H553" s="467">
        <f t="shared" si="50"/>
        <v>14795.6</v>
      </c>
      <c r="I553" s="204"/>
    </row>
    <row r="554" spans="1:9" ht="15.75" x14ac:dyDescent="0.25">
      <c r="A554" s="466" t="s">
        <v>274</v>
      </c>
      <c r="B554" s="460">
        <v>906</v>
      </c>
      <c r="C554" s="462" t="s">
        <v>264</v>
      </c>
      <c r="D554" s="462" t="s">
        <v>118</v>
      </c>
      <c r="E554" s="462" t="s">
        <v>1236</v>
      </c>
      <c r="F554" s="462" t="s">
        <v>275</v>
      </c>
      <c r="G554" s="467">
        <v>14795.6</v>
      </c>
      <c r="H554" s="467">
        <f t="shared" si="44"/>
        <v>14795.6</v>
      </c>
      <c r="I554" s="204"/>
    </row>
    <row r="555" spans="1:9" ht="47.25" x14ac:dyDescent="0.25">
      <c r="A555" s="464" t="s">
        <v>900</v>
      </c>
      <c r="B555" s="461">
        <v>906</v>
      </c>
      <c r="C555" s="465" t="s">
        <v>264</v>
      </c>
      <c r="D555" s="465" t="s">
        <v>118</v>
      </c>
      <c r="E555" s="465" t="s">
        <v>1237</v>
      </c>
      <c r="F555" s="465"/>
      <c r="G555" s="44">
        <f>G559+G562+G565+G556</f>
        <v>75561.5</v>
      </c>
      <c r="H555" s="44">
        <f>H559+H562+H565+H556</f>
        <v>79924.100000000006</v>
      </c>
      <c r="I555" s="204"/>
    </row>
    <row r="556" spans="1:9" ht="94.5" x14ac:dyDescent="0.25">
      <c r="A556" s="31" t="s">
        <v>293</v>
      </c>
      <c r="B556" s="460">
        <v>906</v>
      </c>
      <c r="C556" s="462" t="s">
        <v>264</v>
      </c>
      <c r="D556" s="462" t="s">
        <v>118</v>
      </c>
      <c r="E556" s="462" t="s">
        <v>1401</v>
      </c>
      <c r="F556" s="462"/>
      <c r="G556" s="467">
        <f>G557</f>
        <v>3230</v>
      </c>
      <c r="H556" s="467">
        <f>H557</f>
        <v>3230</v>
      </c>
      <c r="I556" s="204"/>
    </row>
    <row r="557" spans="1:9" ht="31.5" x14ac:dyDescent="0.25">
      <c r="A557" s="466" t="s">
        <v>272</v>
      </c>
      <c r="B557" s="460">
        <v>906</v>
      </c>
      <c r="C557" s="462" t="s">
        <v>264</v>
      </c>
      <c r="D557" s="462" t="s">
        <v>118</v>
      </c>
      <c r="E557" s="462" t="s">
        <v>1401</v>
      </c>
      <c r="F557" s="462" t="s">
        <v>273</v>
      </c>
      <c r="G557" s="467">
        <f>G558</f>
        <v>3230</v>
      </c>
      <c r="H557" s="467">
        <f>H558</f>
        <v>3230</v>
      </c>
      <c r="I557" s="204"/>
    </row>
    <row r="558" spans="1:9" ht="15.75" x14ac:dyDescent="0.25">
      <c r="A558" s="466" t="s">
        <v>274</v>
      </c>
      <c r="B558" s="460">
        <v>906</v>
      </c>
      <c r="C558" s="462" t="s">
        <v>264</v>
      </c>
      <c r="D558" s="462" t="s">
        <v>118</v>
      </c>
      <c r="E558" s="462" t="s">
        <v>1401</v>
      </c>
      <c r="F558" s="462" t="s">
        <v>275</v>
      </c>
      <c r="G558" s="467">
        <v>3230</v>
      </c>
      <c r="H558" s="467">
        <f>G558</f>
        <v>3230</v>
      </c>
      <c r="I558" s="204"/>
    </row>
    <row r="559" spans="1:9" ht="66.75" customHeight="1" x14ac:dyDescent="0.25">
      <c r="A559" s="31" t="s">
        <v>289</v>
      </c>
      <c r="B559" s="460">
        <v>906</v>
      </c>
      <c r="C559" s="462" t="s">
        <v>264</v>
      </c>
      <c r="D559" s="462" t="s">
        <v>118</v>
      </c>
      <c r="E559" s="462" t="s">
        <v>1238</v>
      </c>
      <c r="F559" s="462"/>
      <c r="G559" s="467">
        <f>G560</f>
        <v>589</v>
      </c>
      <c r="H559" s="467">
        <f>H560</f>
        <v>589</v>
      </c>
      <c r="I559" s="204"/>
    </row>
    <row r="560" spans="1:9" ht="31.5" x14ac:dyDescent="0.25">
      <c r="A560" s="466" t="s">
        <v>272</v>
      </c>
      <c r="B560" s="460">
        <v>906</v>
      </c>
      <c r="C560" s="462" t="s">
        <v>264</v>
      </c>
      <c r="D560" s="462" t="s">
        <v>118</v>
      </c>
      <c r="E560" s="462" t="s">
        <v>1238</v>
      </c>
      <c r="F560" s="462" t="s">
        <v>273</v>
      </c>
      <c r="G560" s="467">
        <f>G561</f>
        <v>589</v>
      </c>
      <c r="H560" s="467">
        <f>H561</f>
        <v>589</v>
      </c>
      <c r="I560" s="204"/>
    </row>
    <row r="561" spans="1:9" ht="15.75" x14ac:dyDescent="0.25">
      <c r="A561" s="466" t="s">
        <v>274</v>
      </c>
      <c r="B561" s="460">
        <v>906</v>
      </c>
      <c r="C561" s="462" t="s">
        <v>264</v>
      </c>
      <c r="D561" s="462" t="s">
        <v>118</v>
      </c>
      <c r="E561" s="462" t="s">
        <v>1238</v>
      </c>
      <c r="F561" s="462" t="s">
        <v>275</v>
      </c>
      <c r="G561" s="467">
        <v>589</v>
      </c>
      <c r="H561" s="467">
        <f t="shared" si="44"/>
        <v>589</v>
      </c>
      <c r="I561" s="204"/>
    </row>
    <row r="562" spans="1:9" ht="63" x14ac:dyDescent="0.25">
      <c r="A562" s="31" t="s">
        <v>291</v>
      </c>
      <c r="B562" s="460">
        <v>906</v>
      </c>
      <c r="C562" s="462" t="s">
        <v>264</v>
      </c>
      <c r="D562" s="462" t="s">
        <v>118</v>
      </c>
      <c r="E562" s="462" t="s">
        <v>1239</v>
      </c>
      <c r="F562" s="462"/>
      <c r="G562" s="467">
        <f>G563</f>
        <v>1629.3</v>
      </c>
      <c r="H562" s="467">
        <f>H563</f>
        <v>1629.3</v>
      </c>
      <c r="I562" s="204"/>
    </row>
    <row r="563" spans="1:9" ht="31.5" x14ac:dyDescent="0.25">
      <c r="A563" s="466" t="s">
        <v>272</v>
      </c>
      <c r="B563" s="460">
        <v>906</v>
      </c>
      <c r="C563" s="462" t="s">
        <v>264</v>
      </c>
      <c r="D563" s="462" t="s">
        <v>118</v>
      </c>
      <c r="E563" s="462" t="s">
        <v>1239</v>
      </c>
      <c r="F563" s="462" t="s">
        <v>273</v>
      </c>
      <c r="G563" s="467">
        <f>G564</f>
        <v>1629.3</v>
      </c>
      <c r="H563" s="467">
        <f>H564</f>
        <v>1629.3</v>
      </c>
      <c r="I563" s="204"/>
    </row>
    <row r="564" spans="1:9" ht="15.75" x14ac:dyDescent="0.25">
      <c r="A564" s="466" t="s">
        <v>274</v>
      </c>
      <c r="B564" s="460">
        <v>906</v>
      </c>
      <c r="C564" s="462" t="s">
        <v>264</v>
      </c>
      <c r="D564" s="462" t="s">
        <v>118</v>
      </c>
      <c r="E564" s="462" t="s">
        <v>1239</v>
      </c>
      <c r="F564" s="462" t="s">
        <v>275</v>
      </c>
      <c r="G564" s="467">
        <f>1629.3</f>
        <v>1629.3</v>
      </c>
      <c r="H564" s="467">
        <f t="shared" si="44"/>
        <v>1629.3</v>
      </c>
      <c r="I564" s="204"/>
    </row>
    <row r="565" spans="1:9" ht="94.5" x14ac:dyDescent="0.25">
      <c r="A565" s="31" t="s">
        <v>421</v>
      </c>
      <c r="B565" s="460">
        <v>906</v>
      </c>
      <c r="C565" s="462" t="s">
        <v>264</v>
      </c>
      <c r="D565" s="462" t="s">
        <v>118</v>
      </c>
      <c r="E565" s="462" t="s">
        <v>1240</v>
      </c>
      <c r="F565" s="462"/>
      <c r="G565" s="467">
        <f>G566</f>
        <v>70113.2</v>
      </c>
      <c r="H565" s="467">
        <f>H566</f>
        <v>74475.8</v>
      </c>
      <c r="I565" s="204"/>
    </row>
    <row r="566" spans="1:9" ht="31.5" x14ac:dyDescent="0.25">
      <c r="A566" s="466" t="s">
        <v>272</v>
      </c>
      <c r="B566" s="460">
        <v>906</v>
      </c>
      <c r="C566" s="462" t="s">
        <v>264</v>
      </c>
      <c r="D566" s="462" t="s">
        <v>118</v>
      </c>
      <c r="E566" s="462" t="s">
        <v>1240</v>
      </c>
      <c r="F566" s="462" t="s">
        <v>273</v>
      </c>
      <c r="G566" s="467">
        <f>G567</f>
        <v>70113.2</v>
      </c>
      <c r="H566" s="467">
        <f>H567</f>
        <v>74475.8</v>
      </c>
      <c r="I566" s="204"/>
    </row>
    <row r="567" spans="1:9" ht="15.75" x14ac:dyDescent="0.25">
      <c r="A567" s="466" t="s">
        <v>274</v>
      </c>
      <c r="B567" s="460">
        <v>906</v>
      </c>
      <c r="C567" s="462" t="s">
        <v>264</v>
      </c>
      <c r="D567" s="462" t="s">
        <v>118</v>
      </c>
      <c r="E567" s="462" t="s">
        <v>1240</v>
      </c>
      <c r="F567" s="462" t="s">
        <v>275</v>
      </c>
      <c r="G567" s="467">
        <v>70113.2</v>
      </c>
      <c r="H567" s="467">
        <v>74475.8</v>
      </c>
      <c r="I567" s="204"/>
    </row>
    <row r="568" spans="1:9" ht="31.5" x14ac:dyDescent="0.25">
      <c r="A568" s="464" t="s">
        <v>1297</v>
      </c>
      <c r="B568" s="461">
        <v>906</v>
      </c>
      <c r="C568" s="465" t="s">
        <v>264</v>
      </c>
      <c r="D568" s="465" t="s">
        <v>118</v>
      </c>
      <c r="E568" s="465" t="s">
        <v>1242</v>
      </c>
      <c r="F568" s="465"/>
      <c r="G568" s="463">
        <f>G569+G572+G575</f>
        <v>4430</v>
      </c>
      <c r="H568" s="463">
        <f>H569+H572+H575</f>
        <v>4430</v>
      </c>
      <c r="I568" s="204"/>
    </row>
    <row r="569" spans="1:9" ht="31.5" hidden="1" x14ac:dyDescent="0.25">
      <c r="A569" s="466" t="s">
        <v>278</v>
      </c>
      <c r="B569" s="460">
        <v>906</v>
      </c>
      <c r="C569" s="462" t="s">
        <v>264</v>
      </c>
      <c r="D569" s="462" t="s">
        <v>118</v>
      </c>
      <c r="E569" s="462" t="s">
        <v>1325</v>
      </c>
      <c r="F569" s="462"/>
      <c r="G569" s="467">
        <f>'[1]Пр.5 ведом.21'!G557</f>
        <v>0</v>
      </c>
      <c r="H569" s="467">
        <f t="shared" si="44"/>
        <v>0</v>
      </c>
      <c r="I569" s="204"/>
    </row>
    <row r="570" spans="1:9" ht="31.5" hidden="1" x14ac:dyDescent="0.25">
      <c r="A570" s="466" t="s">
        <v>272</v>
      </c>
      <c r="B570" s="460">
        <v>906</v>
      </c>
      <c r="C570" s="462" t="s">
        <v>264</v>
      </c>
      <c r="D570" s="462" t="s">
        <v>118</v>
      </c>
      <c r="E570" s="462" t="s">
        <v>1325</v>
      </c>
      <c r="F570" s="462" t="s">
        <v>273</v>
      </c>
      <c r="G570" s="467">
        <f>'[1]Пр.5 ведом.21'!G558</f>
        <v>0</v>
      </c>
      <c r="H570" s="467">
        <f t="shared" ref="H570:H630" si="51">G570</f>
        <v>0</v>
      </c>
      <c r="I570" s="204"/>
    </row>
    <row r="571" spans="1:9" ht="15.75" hidden="1" x14ac:dyDescent="0.25">
      <c r="A571" s="466" t="s">
        <v>274</v>
      </c>
      <c r="B571" s="460">
        <v>906</v>
      </c>
      <c r="C571" s="462" t="s">
        <v>264</v>
      </c>
      <c r="D571" s="462" t="s">
        <v>118</v>
      </c>
      <c r="E571" s="462" t="s">
        <v>1325</v>
      </c>
      <c r="F571" s="462" t="s">
        <v>275</v>
      </c>
      <c r="G571" s="467">
        <f>'[1]Пр.5 ведом.21'!G559</f>
        <v>0</v>
      </c>
      <c r="H571" s="467">
        <f t="shared" si="51"/>
        <v>0</v>
      </c>
      <c r="I571" s="204"/>
    </row>
    <row r="572" spans="1:9" ht="31.5" hidden="1" x14ac:dyDescent="0.25">
      <c r="A572" s="466" t="s">
        <v>280</v>
      </c>
      <c r="B572" s="460">
        <v>906</v>
      </c>
      <c r="C572" s="462" t="s">
        <v>264</v>
      </c>
      <c r="D572" s="462" t="s">
        <v>118</v>
      </c>
      <c r="E572" s="462" t="s">
        <v>1326</v>
      </c>
      <c r="F572" s="462"/>
      <c r="G572" s="467">
        <f>'[1]Пр.5 ведом.21'!G560</f>
        <v>0</v>
      </c>
      <c r="H572" s="467">
        <f t="shared" si="51"/>
        <v>0</v>
      </c>
      <c r="I572" s="204"/>
    </row>
    <row r="573" spans="1:9" ht="31.5" hidden="1" x14ac:dyDescent="0.25">
      <c r="A573" s="466" t="s">
        <v>272</v>
      </c>
      <c r="B573" s="460">
        <v>906</v>
      </c>
      <c r="C573" s="462" t="s">
        <v>264</v>
      </c>
      <c r="D573" s="462" t="s">
        <v>118</v>
      </c>
      <c r="E573" s="462" t="s">
        <v>1326</v>
      </c>
      <c r="F573" s="462" t="s">
        <v>273</v>
      </c>
      <c r="G573" s="467">
        <f>'[1]Пр.5 ведом.21'!G561</f>
        <v>0</v>
      </c>
      <c r="H573" s="467">
        <f t="shared" si="51"/>
        <v>0</v>
      </c>
      <c r="I573" s="204"/>
    </row>
    <row r="574" spans="1:9" ht="15.75" hidden="1" x14ac:dyDescent="0.25">
      <c r="A574" s="466" t="s">
        <v>274</v>
      </c>
      <c r="B574" s="460">
        <v>906</v>
      </c>
      <c r="C574" s="462" t="s">
        <v>264</v>
      </c>
      <c r="D574" s="462" t="s">
        <v>118</v>
      </c>
      <c r="E574" s="462" t="s">
        <v>1326</v>
      </c>
      <c r="F574" s="462" t="s">
        <v>275</v>
      </c>
      <c r="G574" s="467">
        <f>'[1]Пр.5 ведом.21'!G562</f>
        <v>0</v>
      </c>
      <c r="H574" s="467">
        <f t="shared" si="51"/>
        <v>0</v>
      </c>
      <c r="I574" s="204"/>
    </row>
    <row r="575" spans="1:9" ht="31.5" x14ac:dyDescent="0.25">
      <c r="A575" s="29" t="s">
        <v>415</v>
      </c>
      <c r="B575" s="460">
        <v>906</v>
      </c>
      <c r="C575" s="462" t="s">
        <v>264</v>
      </c>
      <c r="D575" s="462" t="s">
        <v>118</v>
      </c>
      <c r="E575" s="462" t="s">
        <v>1243</v>
      </c>
      <c r="F575" s="462"/>
      <c r="G575" s="467">
        <f>G576</f>
        <v>4430</v>
      </c>
      <c r="H575" s="467">
        <f>H576</f>
        <v>4430</v>
      </c>
      <c r="I575" s="204"/>
    </row>
    <row r="576" spans="1:9" ht="31.5" x14ac:dyDescent="0.25">
      <c r="A576" s="466" t="s">
        <v>272</v>
      </c>
      <c r="B576" s="460">
        <v>906</v>
      </c>
      <c r="C576" s="462" t="s">
        <v>264</v>
      </c>
      <c r="D576" s="462" t="s">
        <v>118</v>
      </c>
      <c r="E576" s="462" t="s">
        <v>1243</v>
      </c>
      <c r="F576" s="462" t="s">
        <v>273</v>
      </c>
      <c r="G576" s="467">
        <f>G577</f>
        <v>4430</v>
      </c>
      <c r="H576" s="467">
        <f>H577</f>
        <v>4430</v>
      </c>
      <c r="I576" s="204"/>
    </row>
    <row r="577" spans="1:9" ht="15.75" x14ac:dyDescent="0.25">
      <c r="A577" s="466" t="s">
        <v>274</v>
      </c>
      <c r="B577" s="460">
        <v>906</v>
      </c>
      <c r="C577" s="462" t="s">
        <v>264</v>
      </c>
      <c r="D577" s="462" t="s">
        <v>118</v>
      </c>
      <c r="E577" s="462" t="s">
        <v>1243</v>
      </c>
      <c r="F577" s="462" t="s">
        <v>275</v>
      </c>
      <c r="G577" s="467">
        <f>4430</f>
        <v>4430</v>
      </c>
      <c r="H577" s="467">
        <f t="shared" si="51"/>
        <v>4430</v>
      </c>
      <c r="I577" s="204"/>
    </row>
    <row r="578" spans="1:9" ht="31.5" x14ac:dyDescent="0.25">
      <c r="A578" s="218" t="s">
        <v>948</v>
      </c>
      <c r="B578" s="461">
        <v>906</v>
      </c>
      <c r="C578" s="465" t="s">
        <v>264</v>
      </c>
      <c r="D578" s="465" t="s">
        <v>118</v>
      </c>
      <c r="E578" s="465" t="s">
        <v>1245</v>
      </c>
      <c r="F578" s="465"/>
      <c r="G578" s="44">
        <f>G579+G582+G585</f>
        <v>4848</v>
      </c>
      <c r="H578" s="44">
        <f>H579+H582+H585</f>
        <v>4848</v>
      </c>
      <c r="I578" s="204"/>
    </row>
    <row r="579" spans="1:9" ht="31.5" hidden="1" x14ac:dyDescent="0.25">
      <c r="A579" s="466" t="s">
        <v>284</v>
      </c>
      <c r="B579" s="460">
        <v>906</v>
      </c>
      <c r="C579" s="462" t="s">
        <v>264</v>
      </c>
      <c r="D579" s="462" t="s">
        <v>118</v>
      </c>
      <c r="E579" s="462" t="s">
        <v>1263</v>
      </c>
      <c r="F579" s="462"/>
      <c r="G579" s="467">
        <f>'[1]Пр.5 ведом.21'!G567</f>
        <v>0</v>
      </c>
      <c r="H579" s="467">
        <f t="shared" si="51"/>
        <v>0</v>
      </c>
      <c r="I579" s="204"/>
    </row>
    <row r="580" spans="1:9" ht="31.5" hidden="1" x14ac:dyDescent="0.25">
      <c r="A580" s="466" t="s">
        <v>272</v>
      </c>
      <c r="B580" s="460">
        <v>906</v>
      </c>
      <c r="C580" s="462" t="s">
        <v>264</v>
      </c>
      <c r="D580" s="462" t="s">
        <v>118</v>
      </c>
      <c r="E580" s="462" t="s">
        <v>1263</v>
      </c>
      <c r="F580" s="462" t="s">
        <v>273</v>
      </c>
      <c r="G580" s="467">
        <f>'[1]Пр.5 ведом.21'!G568</f>
        <v>0</v>
      </c>
      <c r="H580" s="467">
        <f t="shared" si="51"/>
        <v>0</v>
      </c>
      <c r="I580" s="204"/>
    </row>
    <row r="581" spans="1:9" ht="15.75" hidden="1" x14ac:dyDescent="0.25">
      <c r="A581" s="466" t="s">
        <v>274</v>
      </c>
      <c r="B581" s="460">
        <v>906</v>
      </c>
      <c r="C581" s="462" t="s">
        <v>264</v>
      </c>
      <c r="D581" s="462" t="s">
        <v>118</v>
      </c>
      <c r="E581" s="462" t="s">
        <v>1263</v>
      </c>
      <c r="F581" s="462" t="s">
        <v>275</v>
      </c>
      <c r="G581" s="467">
        <f>'[1]Пр.5 ведом.21'!G569</f>
        <v>0</v>
      </c>
      <c r="H581" s="467">
        <f t="shared" si="51"/>
        <v>0</v>
      </c>
      <c r="I581" s="204"/>
    </row>
    <row r="582" spans="1:9" ht="31.5" x14ac:dyDescent="0.25">
      <c r="A582" s="60" t="s">
        <v>764</v>
      </c>
      <c r="B582" s="460">
        <v>906</v>
      </c>
      <c r="C582" s="462" t="s">
        <v>264</v>
      </c>
      <c r="D582" s="462" t="s">
        <v>118</v>
      </c>
      <c r="E582" s="462" t="s">
        <v>1246</v>
      </c>
      <c r="F582" s="462"/>
      <c r="G582" s="467">
        <f>G583</f>
        <v>3088</v>
      </c>
      <c r="H582" s="467">
        <f>H583</f>
        <v>3088</v>
      </c>
      <c r="I582" s="204"/>
    </row>
    <row r="583" spans="1:9" ht="31.5" x14ac:dyDescent="0.25">
      <c r="A583" s="29" t="s">
        <v>272</v>
      </c>
      <c r="B583" s="460">
        <v>906</v>
      </c>
      <c r="C583" s="462" t="s">
        <v>264</v>
      </c>
      <c r="D583" s="462" t="s">
        <v>118</v>
      </c>
      <c r="E583" s="462" t="s">
        <v>1246</v>
      </c>
      <c r="F583" s="462" t="s">
        <v>273</v>
      </c>
      <c r="G583" s="467">
        <f>G584</f>
        <v>3088</v>
      </c>
      <c r="H583" s="467">
        <f>H584</f>
        <v>3088</v>
      </c>
      <c r="I583" s="204"/>
    </row>
    <row r="584" spans="1:9" ht="15.75" x14ac:dyDescent="0.25">
      <c r="A584" s="182" t="s">
        <v>274</v>
      </c>
      <c r="B584" s="460">
        <v>906</v>
      </c>
      <c r="C584" s="462" t="s">
        <v>264</v>
      </c>
      <c r="D584" s="462" t="s">
        <v>118</v>
      </c>
      <c r="E584" s="462" t="s">
        <v>1246</v>
      </c>
      <c r="F584" s="462" t="s">
        <v>275</v>
      </c>
      <c r="G584" s="467">
        <v>3088</v>
      </c>
      <c r="H584" s="467">
        <f t="shared" si="51"/>
        <v>3088</v>
      </c>
      <c r="I584" s="204"/>
    </row>
    <row r="585" spans="1:9" ht="47.25" x14ac:dyDescent="0.25">
      <c r="A585" s="60" t="s">
        <v>765</v>
      </c>
      <c r="B585" s="460">
        <v>906</v>
      </c>
      <c r="C585" s="462" t="s">
        <v>264</v>
      </c>
      <c r="D585" s="462" t="s">
        <v>118</v>
      </c>
      <c r="E585" s="462" t="s">
        <v>1247</v>
      </c>
      <c r="F585" s="462"/>
      <c r="G585" s="467">
        <f>G586</f>
        <v>1760</v>
      </c>
      <c r="H585" s="467">
        <f>H586</f>
        <v>1760</v>
      </c>
      <c r="I585" s="204"/>
    </row>
    <row r="586" spans="1:9" ht="31.5" x14ac:dyDescent="0.25">
      <c r="A586" s="29" t="s">
        <v>272</v>
      </c>
      <c r="B586" s="460">
        <v>906</v>
      </c>
      <c r="C586" s="462" t="s">
        <v>264</v>
      </c>
      <c r="D586" s="462" t="s">
        <v>118</v>
      </c>
      <c r="E586" s="462" t="s">
        <v>1247</v>
      </c>
      <c r="F586" s="462" t="s">
        <v>273</v>
      </c>
      <c r="G586" s="467">
        <f>G587</f>
        <v>1760</v>
      </c>
      <c r="H586" s="467">
        <f>H587</f>
        <v>1760</v>
      </c>
      <c r="I586" s="204"/>
    </row>
    <row r="587" spans="1:9" ht="15.75" x14ac:dyDescent="0.25">
      <c r="A587" s="182" t="s">
        <v>274</v>
      </c>
      <c r="B587" s="460">
        <v>906</v>
      </c>
      <c r="C587" s="462" t="s">
        <v>264</v>
      </c>
      <c r="D587" s="462" t="s">
        <v>118</v>
      </c>
      <c r="E587" s="462" t="s">
        <v>1247</v>
      </c>
      <c r="F587" s="462" t="s">
        <v>275</v>
      </c>
      <c r="G587" s="467">
        <f>1760</f>
        <v>1760</v>
      </c>
      <c r="H587" s="467">
        <f t="shared" si="51"/>
        <v>1760</v>
      </c>
      <c r="I587" s="204"/>
    </row>
    <row r="588" spans="1:9" ht="63" x14ac:dyDescent="0.25">
      <c r="A588" s="464" t="s">
        <v>933</v>
      </c>
      <c r="B588" s="461">
        <v>906</v>
      </c>
      <c r="C588" s="465" t="s">
        <v>264</v>
      </c>
      <c r="D588" s="465" t="s">
        <v>118</v>
      </c>
      <c r="E588" s="465" t="s">
        <v>1248</v>
      </c>
      <c r="F588" s="465"/>
      <c r="G588" s="463">
        <f t="shared" ref="G588:H590" si="52">G589</f>
        <v>297.70000000000005</v>
      </c>
      <c r="H588" s="463">
        <f t="shared" si="52"/>
        <v>297.70000000000005</v>
      </c>
      <c r="I588" s="204"/>
    </row>
    <row r="589" spans="1:9" ht="115.5" customHeight="1" x14ac:dyDescent="0.25">
      <c r="A589" s="466" t="s">
        <v>1523</v>
      </c>
      <c r="B589" s="460">
        <v>906</v>
      </c>
      <c r="C589" s="462" t="s">
        <v>264</v>
      </c>
      <c r="D589" s="462" t="s">
        <v>118</v>
      </c>
      <c r="E589" s="462" t="s">
        <v>1249</v>
      </c>
      <c r="F589" s="462"/>
      <c r="G589" s="467">
        <f t="shared" si="52"/>
        <v>297.70000000000005</v>
      </c>
      <c r="H589" s="467">
        <f t="shared" si="52"/>
        <v>297.70000000000005</v>
      </c>
      <c r="I589" s="204"/>
    </row>
    <row r="590" spans="1:9" ht="31.5" x14ac:dyDescent="0.25">
      <c r="A590" s="29" t="s">
        <v>272</v>
      </c>
      <c r="B590" s="460">
        <v>906</v>
      </c>
      <c r="C590" s="462" t="s">
        <v>264</v>
      </c>
      <c r="D590" s="462" t="s">
        <v>118</v>
      </c>
      <c r="E590" s="462" t="s">
        <v>1249</v>
      </c>
      <c r="F590" s="462" t="s">
        <v>273</v>
      </c>
      <c r="G590" s="467">
        <f t="shared" si="52"/>
        <v>297.70000000000005</v>
      </c>
      <c r="H590" s="467">
        <f t="shared" si="52"/>
        <v>297.70000000000005</v>
      </c>
      <c r="I590" s="204"/>
    </row>
    <row r="591" spans="1:9" ht="15.75" x14ac:dyDescent="0.25">
      <c r="A591" s="182" t="s">
        <v>274</v>
      </c>
      <c r="B591" s="460">
        <v>906</v>
      </c>
      <c r="C591" s="462" t="s">
        <v>264</v>
      </c>
      <c r="D591" s="462" t="s">
        <v>118</v>
      </c>
      <c r="E591" s="462" t="s">
        <v>1249</v>
      </c>
      <c r="F591" s="462" t="s">
        <v>275</v>
      </c>
      <c r="G591" s="467">
        <f>124.4+173.3</f>
        <v>297.70000000000005</v>
      </c>
      <c r="H591" s="467">
        <f t="shared" si="51"/>
        <v>297.70000000000005</v>
      </c>
      <c r="I591" s="204"/>
    </row>
    <row r="592" spans="1:9" ht="94.5" x14ac:dyDescent="0.25">
      <c r="A592" s="464" t="s">
        <v>1171</v>
      </c>
      <c r="B592" s="461">
        <v>906</v>
      </c>
      <c r="C592" s="465" t="s">
        <v>264</v>
      </c>
      <c r="D592" s="465" t="s">
        <v>118</v>
      </c>
      <c r="E592" s="465" t="s">
        <v>1251</v>
      </c>
      <c r="F592" s="465"/>
      <c r="G592" s="463">
        <f>G593+G596</f>
        <v>1666.6</v>
      </c>
      <c r="H592" s="463">
        <f>H593+H596</f>
        <v>915</v>
      </c>
      <c r="I592" s="204"/>
    </row>
    <row r="593" spans="1:9" ht="94.5" hidden="1" x14ac:dyDescent="0.25">
      <c r="A593" s="149" t="s">
        <v>1190</v>
      </c>
      <c r="B593" s="460">
        <v>906</v>
      </c>
      <c r="C593" s="462" t="s">
        <v>264</v>
      </c>
      <c r="D593" s="462" t="s">
        <v>118</v>
      </c>
      <c r="E593" s="462" t="s">
        <v>1252</v>
      </c>
      <c r="F593" s="462"/>
      <c r="G593" s="467">
        <f>G594</f>
        <v>0</v>
      </c>
      <c r="H593" s="467">
        <f>H594</f>
        <v>0</v>
      </c>
      <c r="I593" s="204"/>
    </row>
    <row r="594" spans="1:9" ht="31.5" hidden="1" x14ac:dyDescent="0.25">
      <c r="A594" s="466" t="s">
        <v>272</v>
      </c>
      <c r="B594" s="460">
        <v>906</v>
      </c>
      <c r="C594" s="462" t="s">
        <v>264</v>
      </c>
      <c r="D594" s="462" t="s">
        <v>118</v>
      </c>
      <c r="E594" s="462" t="s">
        <v>1252</v>
      </c>
      <c r="F594" s="462" t="s">
        <v>273</v>
      </c>
      <c r="G594" s="467">
        <f>G595</f>
        <v>0</v>
      </c>
      <c r="H594" s="467">
        <f>H595</f>
        <v>0</v>
      </c>
      <c r="I594" s="204"/>
    </row>
    <row r="595" spans="1:9" ht="15.75" hidden="1" x14ac:dyDescent="0.25">
      <c r="A595" s="466" t="s">
        <v>274</v>
      </c>
      <c r="B595" s="460">
        <v>906</v>
      </c>
      <c r="C595" s="462" t="s">
        <v>264</v>
      </c>
      <c r="D595" s="462" t="s">
        <v>118</v>
      </c>
      <c r="E595" s="462" t="s">
        <v>1252</v>
      </c>
      <c r="F595" s="462" t="s">
        <v>275</v>
      </c>
      <c r="G595" s="467">
        <v>0</v>
      </c>
      <c r="H595" s="467">
        <v>0</v>
      </c>
      <c r="I595" s="204"/>
    </row>
    <row r="596" spans="1:9" ht="96.4" customHeight="1" x14ac:dyDescent="0.25">
      <c r="A596" s="149" t="s">
        <v>1506</v>
      </c>
      <c r="B596" s="460">
        <v>906</v>
      </c>
      <c r="C596" s="462" t="s">
        <v>264</v>
      </c>
      <c r="D596" s="462" t="s">
        <v>118</v>
      </c>
      <c r="E596" s="462" t="s">
        <v>1252</v>
      </c>
      <c r="F596" s="462"/>
      <c r="G596" s="467">
        <f>G597</f>
        <v>1666.6</v>
      </c>
      <c r="H596" s="467">
        <f>H597</f>
        <v>915</v>
      </c>
      <c r="I596" s="204"/>
    </row>
    <row r="597" spans="1:9" ht="31.5" x14ac:dyDescent="0.25">
      <c r="A597" s="466" t="s">
        <v>272</v>
      </c>
      <c r="B597" s="460">
        <v>906</v>
      </c>
      <c r="C597" s="462" t="s">
        <v>264</v>
      </c>
      <c r="D597" s="462" t="s">
        <v>118</v>
      </c>
      <c r="E597" s="462" t="s">
        <v>1252</v>
      </c>
      <c r="F597" s="462" t="s">
        <v>273</v>
      </c>
      <c r="G597" s="467">
        <f>G598</f>
        <v>1666.6</v>
      </c>
      <c r="H597" s="467">
        <f>H598</f>
        <v>915</v>
      </c>
      <c r="I597" s="204"/>
    </row>
    <row r="598" spans="1:9" ht="15.75" x14ac:dyDescent="0.25">
      <c r="A598" s="466" t="s">
        <v>274</v>
      </c>
      <c r="B598" s="460">
        <v>906</v>
      </c>
      <c r="C598" s="462" t="s">
        <v>264</v>
      </c>
      <c r="D598" s="462" t="s">
        <v>118</v>
      </c>
      <c r="E598" s="462" t="s">
        <v>1252</v>
      </c>
      <c r="F598" s="462" t="s">
        <v>275</v>
      </c>
      <c r="G598" s="467">
        <f>1666.6</f>
        <v>1666.6</v>
      </c>
      <c r="H598" s="467">
        <v>915</v>
      </c>
      <c r="I598" s="204"/>
    </row>
    <row r="599" spans="1:9" ht="47.25" x14ac:dyDescent="0.25">
      <c r="A599" s="34" t="s">
        <v>1368</v>
      </c>
      <c r="B599" s="461">
        <v>906</v>
      </c>
      <c r="C599" s="465" t="s">
        <v>264</v>
      </c>
      <c r="D599" s="465" t="s">
        <v>118</v>
      </c>
      <c r="E599" s="465" t="s">
        <v>324</v>
      </c>
      <c r="F599" s="465"/>
      <c r="G599" s="463">
        <f t="shared" ref="G599:H602" si="53">G600</f>
        <v>80</v>
      </c>
      <c r="H599" s="463">
        <f t="shared" si="53"/>
        <v>25</v>
      </c>
      <c r="I599" s="204"/>
    </row>
    <row r="600" spans="1:9" ht="63" x14ac:dyDescent="0.25">
      <c r="A600" s="34" t="s">
        <v>1009</v>
      </c>
      <c r="B600" s="461">
        <v>906</v>
      </c>
      <c r="C600" s="465" t="s">
        <v>264</v>
      </c>
      <c r="D600" s="465" t="s">
        <v>118</v>
      </c>
      <c r="E600" s="465" t="s">
        <v>934</v>
      </c>
      <c r="F600" s="465"/>
      <c r="G600" s="463">
        <f t="shared" si="53"/>
        <v>80</v>
      </c>
      <c r="H600" s="463">
        <f t="shared" si="53"/>
        <v>25</v>
      </c>
      <c r="I600" s="204"/>
    </row>
    <row r="601" spans="1:9" ht="47.25" x14ac:dyDescent="0.25">
      <c r="A601" s="31" t="s">
        <v>1084</v>
      </c>
      <c r="B601" s="460">
        <v>906</v>
      </c>
      <c r="C601" s="462" t="s">
        <v>264</v>
      </c>
      <c r="D601" s="462" t="s">
        <v>118</v>
      </c>
      <c r="E601" s="462" t="s">
        <v>935</v>
      </c>
      <c r="F601" s="462"/>
      <c r="G601" s="467">
        <f t="shared" si="53"/>
        <v>80</v>
      </c>
      <c r="H601" s="467">
        <f t="shared" si="53"/>
        <v>25</v>
      </c>
      <c r="I601" s="204"/>
    </row>
    <row r="602" spans="1:9" ht="31.5" x14ac:dyDescent="0.25">
      <c r="A602" s="31" t="s">
        <v>272</v>
      </c>
      <c r="B602" s="460">
        <v>906</v>
      </c>
      <c r="C602" s="462" t="s">
        <v>264</v>
      </c>
      <c r="D602" s="462" t="s">
        <v>118</v>
      </c>
      <c r="E602" s="462" t="s">
        <v>935</v>
      </c>
      <c r="F602" s="462" t="s">
        <v>273</v>
      </c>
      <c r="G602" s="467">
        <f t="shared" si="53"/>
        <v>80</v>
      </c>
      <c r="H602" s="467">
        <f t="shared" si="53"/>
        <v>25</v>
      </c>
      <c r="I602" s="204"/>
    </row>
    <row r="603" spans="1:9" ht="15.75" x14ac:dyDescent="0.25">
      <c r="A603" s="31" t="s">
        <v>274</v>
      </c>
      <c r="B603" s="460">
        <v>906</v>
      </c>
      <c r="C603" s="462" t="s">
        <v>264</v>
      </c>
      <c r="D603" s="462" t="s">
        <v>118</v>
      </c>
      <c r="E603" s="462" t="s">
        <v>935</v>
      </c>
      <c r="F603" s="462" t="s">
        <v>275</v>
      </c>
      <c r="G603" s="467">
        <v>80</v>
      </c>
      <c r="H603" s="467">
        <v>25</v>
      </c>
      <c r="I603" s="204"/>
    </row>
    <row r="604" spans="1:9" ht="47.25" x14ac:dyDescent="0.25">
      <c r="A604" s="470" t="s">
        <v>1363</v>
      </c>
      <c r="B604" s="461">
        <v>906</v>
      </c>
      <c r="C604" s="465" t="s">
        <v>264</v>
      </c>
      <c r="D604" s="465" t="s">
        <v>118</v>
      </c>
      <c r="E604" s="465" t="s">
        <v>705</v>
      </c>
      <c r="F604" s="474"/>
      <c r="G604" s="463">
        <f>G606</f>
        <v>570.9</v>
      </c>
      <c r="H604" s="463">
        <f>H606</f>
        <v>593.79999999999995</v>
      </c>
      <c r="I604" s="204"/>
    </row>
    <row r="605" spans="1:9" ht="47.25" x14ac:dyDescent="0.25">
      <c r="A605" s="470" t="s">
        <v>890</v>
      </c>
      <c r="B605" s="461">
        <v>906</v>
      </c>
      <c r="C605" s="465" t="s">
        <v>264</v>
      </c>
      <c r="D605" s="465" t="s">
        <v>118</v>
      </c>
      <c r="E605" s="465" t="s">
        <v>888</v>
      </c>
      <c r="F605" s="474"/>
      <c r="G605" s="463">
        <f t="shared" ref="G605:H607" si="54">G606</f>
        <v>570.9</v>
      </c>
      <c r="H605" s="463">
        <f t="shared" si="54"/>
        <v>593.79999999999995</v>
      </c>
      <c r="I605" s="204"/>
    </row>
    <row r="606" spans="1:9" ht="47.25" x14ac:dyDescent="0.25">
      <c r="A606" s="98" t="s">
        <v>780</v>
      </c>
      <c r="B606" s="460">
        <v>906</v>
      </c>
      <c r="C606" s="462" t="s">
        <v>264</v>
      </c>
      <c r="D606" s="462" t="s">
        <v>118</v>
      </c>
      <c r="E606" s="462" t="s">
        <v>936</v>
      </c>
      <c r="F606" s="468"/>
      <c r="G606" s="467">
        <f t="shared" si="54"/>
        <v>570.9</v>
      </c>
      <c r="H606" s="467">
        <f t="shared" si="54"/>
        <v>593.79999999999995</v>
      </c>
      <c r="I606" s="204"/>
    </row>
    <row r="607" spans="1:9" ht="31.5" x14ac:dyDescent="0.25">
      <c r="A607" s="29" t="s">
        <v>272</v>
      </c>
      <c r="B607" s="460">
        <v>906</v>
      </c>
      <c r="C607" s="462" t="s">
        <v>264</v>
      </c>
      <c r="D607" s="462" t="s">
        <v>118</v>
      </c>
      <c r="E607" s="462" t="s">
        <v>936</v>
      </c>
      <c r="F607" s="468" t="s">
        <v>273</v>
      </c>
      <c r="G607" s="467">
        <f t="shared" si="54"/>
        <v>570.9</v>
      </c>
      <c r="H607" s="467">
        <f t="shared" si="54"/>
        <v>593.79999999999995</v>
      </c>
      <c r="I607" s="204"/>
    </row>
    <row r="608" spans="1:9" ht="15.75" x14ac:dyDescent="0.25">
      <c r="A608" s="182" t="s">
        <v>274</v>
      </c>
      <c r="B608" s="460">
        <v>906</v>
      </c>
      <c r="C608" s="462" t="s">
        <v>264</v>
      </c>
      <c r="D608" s="462" t="s">
        <v>118</v>
      </c>
      <c r="E608" s="462" t="s">
        <v>936</v>
      </c>
      <c r="F608" s="468" t="s">
        <v>275</v>
      </c>
      <c r="G608" s="467">
        <v>570.9</v>
      </c>
      <c r="H608" s="467">
        <v>593.79999999999995</v>
      </c>
      <c r="I608" s="204"/>
    </row>
    <row r="609" spans="1:13" ht="15.75" x14ac:dyDescent="0.25">
      <c r="A609" s="464" t="s">
        <v>425</v>
      </c>
      <c r="B609" s="461">
        <v>906</v>
      </c>
      <c r="C609" s="465" t="s">
        <v>264</v>
      </c>
      <c r="D609" s="465" t="s">
        <v>213</v>
      </c>
      <c r="E609" s="465"/>
      <c r="F609" s="465"/>
      <c r="G609" s="463">
        <f>G610+G686+G681</f>
        <v>177341.49999999997</v>
      </c>
      <c r="H609" s="463">
        <f>H610+H686+H681</f>
        <v>196805.15000000002</v>
      </c>
      <c r="I609" s="204"/>
      <c r="M609" s="231"/>
    </row>
    <row r="610" spans="1:13" ht="31.5" x14ac:dyDescent="0.25">
      <c r="A610" s="464" t="s">
        <v>1367</v>
      </c>
      <c r="B610" s="461">
        <v>906</v>
      </c>
      <c r="C610" s="465" t="s">
        <v>264</v>
      </c>
      <c r="D610" s="465" t="s">
        <v>213</v>
      </c>
      <c r="E610" s="465" t="s">
        <v>406</v>
      </c>
      <c r="F610" s="465"/>
      <c r="G610" s="463">
        <f>G611+G615+G634+G647+G654+G658+G662+G673+G669+G677</f>
        <v>176410.99999999997</v>
      </c>
      <c r="H610" s="463">
        <f>H611+H615+H634+H647+H654+H658+H662+H673+H669+H677</f>
        <v>195829.85000000003</v>
      </c>
      <c r="I610" s="204"/>
    </row>
    <row r="611" spans="1:13" ht="31.5" x14ac:dyDescent="0.25">
      <c r="A611" s="464" t="s">
        <v>937</v>
      </c>
      <c r="B611" s="461">
        <v>906</v>
      </c>
      <c r="C611" s="465" t="s">
        <v>264</v>
      </c>
      <c r="D611" s="465" t="s">
        <v>213</v>
      </c>
      <c r="E611" s="465" t="s">
        <v>1235</v>
      </c>
      <c r="F611" s="465"/>
      <c r="G611" s="463">
        <f t="shared" ref="G611:H613" si="55">G612</f>
        <v>28690.799999999999</v>
      </c>
      <c r="H611" s="463">
        <f t="shared" si="55"/>
        <v>28690.799999999999</v>
      </c>
      <c r="I611" s="204"/>
    </row>
    <row r="612" spans="1:13" ht="47.25" x14ac:dyDescent="0.25">
      <c r="A612" s="466" t="s">
        <v>427</v>
      </c>
      <c r="B612" s="460">
        <v>906</v>
      </c>
      <c r="C612" s="462" t="s">
        <v>264</v>
      </c>
      <c r="D612" s="462" t="s">
        <v>213</v>
      </c>
      <c r="E612" s="462" t="s">
        <v>1254</v>
      </c>
      <c r="F612" s="462"/>
      <c r="G612" s="467">
        <f t="shared" si="55"/>
        <v>28690.799999999999</v>
      </c>
      <c r="H612" s="467">
        <f t="shared" si="55"/>
        <v>28690.799999999999</v>
      </c>
      <c r="I612" s="204"/>
    </row>
    <row r="613" spans="1:13" ht="31.5" x14ac:dyDescent="0.25">
      <c r="A613" s="466" t="s">
        <v>272</v>
      </c>
      <c r="B613" s="460">
        <v>906</v>
      </c>
      <c r="C613" s="462" t="s">
        <v>264</v>
      </c>
      <c r="D613" s="462" t="s">
        <v>213</v>
      </c>
      <c r="E613" s="462" t="s">
        <v>1254</v>
      </c>
      <c r="F613" s="462" t="s">
        <v>273</v>
      </c>
      <c r="G613" s="467">
        <f t="shared" si="55"/>
        <v>28690.799999999999</v>
      </c>
      <c r="H613" s="467">
        <f t="shared" si="55"/>
        <v>28690.799999999999</v>
      </c>
      <c r="I613" s="204"/>
    </row>
    <row r="614" spans="1:13" ht="15.75" x14ac:dyDescent="0.25">
      <c r="A614" s="466" t="s">
        <v>274</v>
      </c>
      <c r="B614" s="460">
        <v>906</v>
      </c>
      <c r="C614" s="462" t="s">
        <v>264</v>
      </c>
      <c r="D614" s="462" t="s">
        <v>213</v>
      </c>
      <c r="E614" s="462" t="s">
        <v>1254</v>
      </c>
      <c r="F614" s="462" t="s">
        <v>275</v>
      </c>
      <c r="G614" s="467">
        <v>28690.799999999999</v>
      </c>
      <c r="H614" s="467">
        <f t="shared" si="51"/>
        <v>28690.799999999999</v>
      </c>
      <c r="I614" s="204"/>
    </row>
    <row r="615" spans="1:13" ht="47.25" x14ac:dyDescent="0.25">
      <c r="A615" s="464" t="s">
        <v>900</v>
      </c>
      <c r="B615" s="461">
        <v>906</v>
      </c>
      <c r="C615" s="465" t="s">
        <v>264</v>
      </c>
      <c r="D615" s="465" t="s">
        <v>213</v>
      </c>
      <c r="E615" s="465" t="s">
        <v>1237</v>
      </c>
      <c r="F615" s="465"/>
      <c r="G615" s="44">
        <f>G622+G625+G628+G631+G619+G616</f>
        <v>131370.9</v>
      </c>
      <c r="H615" s="44">
        <f>H622+H625+H628+H631+H619+H616</f>
        <v>150534.80000000002</v>
      </c>
      <c r="I615" s="204"/>
      <c r="L615" s="231"/>
    </row>
    <row r="616" spans="1:13" ht="63" x14ac:dyDescent="0.25">
      <c r="A616" s="466" t="s">
        <v>1403</v>
      </c>
      <c r="B616" s="460">
        <v>906</v>
      </c>
      <c r="C616" s="462" t="s">
        <v>264</v>
      </c>
      <c r="D616" s="462" t="s">
        <v>213</v>
      </c>
      <c r="E616" s="462" t="s">
        <v>1404</v>
      </c>
      <c r="F616" s="462"/>
      <c r="G616" s="27">
        <f>G617</f>
        <v>7226.1</v>
      </c>
      <c r="H616" s="27">
        <f>H617</f>
        <v>7226.1</v>
      </c>
      <c r="I616" s="204"/>
    </row>
    <row r="617" spans="1:13" ht="31.5" x14ac:dyDescent="0.25">
      <c r="A617" s="466" t="s">
        <v>272</v>
      </c>
      <c r="B617" s="460">
        <v>906</v>
      </c>
      <c r="C617" s="462" t="s">
        <v>264</v>
      </c>
      <c r="D617" s="462" t="s">
        <v>213</v>
      </c>
      <c r="E617" s="462" t="s">
        <v>1404</v>
      </c>
      <c r="F617" s="462" t="s">
        <v>273</v>
      </c>
      <c r="G617" s="27">
        <f>G618</f>
        <v>7226.1</v>
      </c>
      <c r="H617" s="27">
        <f>H618</f>
        <v>7226.1</v>
      </c>
      <c r="I617" s="204"/>
    </row>
    <row r="618" spans="1:13" ht="15.75" x14ac:dyDescent="0.25">
      <c r="A618" s="466" t="s">
        <v>274</v>
      </c>
      <c r="B618" s="460">
        <v>906</v>
      </c>
      <c r="C618" s="462" t="s">
        <v>264</v>
      </c>
      <c r="D618" s="462" t="s">
        <v>213</v>
      </c>
      <c r="E618" s="462" t="s">
        <v>1404</v>
      </c>
      <c r="F618" s="462" t="s">
        <v>275</v>
      </c>
      <c r="G618" s="27">
        <v>7226.1</v>
      </c>
      <c r="H618" s="27">
        <v>7226.1</v>
      </c>
      <c r="I618" s="204"/>
    </row>
    <row r="619" spans="1:13" ht="94.5" x14ac:dyDescent="0.25">
      <c r="A619" s="31" t="s">
        <v>464</v>
      </c>
      <c r="B619" s="460">
        <v>906</v>
      </c>
      <c r="C619" s="462" t="s">
        <v>264</v>
      </c>
      <c r="D619" s="462" t="s">
        <v>213</v>
      </c>
      <c r="E619" s="462" t="s">
        <v>1401</v>
      </c>
      <c r="F619" s="462"/>
      <c r="G619" s="467">
        <f>G620</f>
        <v>4610</v>
      </c>
      <c r="H619" s="467">
        <f>H620</f>
        <v>4610</v>
      </c>
      <c r="I619" s="204"/>
    </row>
    <row r="620" spans="1:13" ht="31.5" x14ac:dyDescent="0.25">
      <c r="A620" s="466" t="s">
        <v>272</v>
      </c>
      <c r="B620" s="460">
        <v>906</v>
      </c>
      <c r="C620" s="462" t="s">
        <v>264</v>
      </c>
      <c r="D620" s="462" t="s">
        <v>213</v>
      </c>
      <c r="E620" s="462" t="s">
        <v>1401</v>
      </c>
      <c r="F620" s="462" t="s">
        <v>273</v>
      </c>
      <c r="G620" s="467">
        <f>G621</f>
        <v>4610</v>
      </c>
      <c r="H620" s="467">
        <f>H621</f>
        <v>4610</v>
      </c>
      <c r="I620" s="204"/>
    </row>
    <row r="621" spans="1:13" ht="15.75" x14ac:dyDescent="0.25">
      <c r="A621" s="466" t="s">
        <v>274</v>
      </c>
      <c r="B621" s="460">
        <v>906</v>
      </c>
      <c r="C621" s="462" t="s">
        <v>264</v>
      </c>
      <c r="D621" s="462" t="s">
        <v>213</v>
      </c>
      <c r="E621" s="462" t="s">
        <v>1401</v>
      </c>
      <c r="F621" s="462" t="s">
        <v>275</v>
      </c>
      <c r="G621" s="467">
        <v>4610</v>
      </c>
      <c r="H621" s="467">
        <f>G621</f>
        <v>4610</v>
      </c>
      <c r="I621" s="204"/>
    </row>
    <row r="622" spans="1:13" ht="78.75" x14ac:dyDescent="0.25">
      <c r="A622" s="31" t="s">
        <v>460</v>
      </c>
      <c r="B622" s="460">
        <v>906</v>
      </c>
      <c r="C622" s="462" t="s">
        <v>264</v>
      </c>
      <c r="D622" s="462" t="s">
        <v>213</v>
      </c>
      <c r="E622" s="462" t="s">
        <v>1255</v>
      </c>
      <c r="F622" s="462"/>
      <c r="G622" s="467">
        <f>G623</f>
        <v>115047.8</v>
      </c>
      <c r="H622" s="467">
        <f>H623</f>
        <v>134211.70000000001</v>
      </c>
      <c r="I622" s="204"/>
    </row>
    <row r="623" spans="1:13" ht="31.5" x14ac:dyDescent="0.25">
      <c r="A623" s="466" t="s">
        <v>272</v>
      </c>
      <c r="B623" s="460">
        <v>906</v>
      </c>
      <c r="C623" s="462" t="s">
        <v>264</v>
      </c>
      <c r="D623" s="462" t="s">
        <v>213</v>
      </c>
      <c r="E623" s="462" t="s">
        <v>1255</v>
      </c>
      <c r="F623" s="462" t="s">
        <v>273</v>
      </c>
      <c r="G623" s="467">
        <f>G624</f>
        <v>115047.8</v>
      </c>
      <c r="H623" s="467">
        <f>H624</f>
        <v>134211.70000000001</v>
      </c>
      <c r="I623" s="204"/>
    </row>
    <row r="624" spans="1:13" ht="15.75" x14ac:dyDescent="0.25">
      <c r="A624" s="466" t="s">
        <v>274</v>
      </c>
      <c r="B624" s="460">
        <v>906</v>
      </c>
      <c r="C624" s="462" t="s">
        <v>264</v>
      </c>
      <c r="D624" s="462" t="s">
        <v>213</v>
      </c>
      <c r="E624" s="462" t="s">
        <v>1255</v>
      </c>
      <c r="F624" s="462" t="s">
        <v>275</v>
      </c>
      <c r="G624" s="467">
        <v>115047.8</v>
      </c>
      <c r="H624" s="467">
        <v>134211.70000000001</v>
      </c>
      <c r="I624" s="204"/>
    </row>
    <row r="625" spans="1:9" ht="63" x14ac:dyDescent="0.25">
      <c r="A625" s="31" t="s">
        <v>289</v>
      </c>
      <c r="B625" s="460">
        <v>906</v>
      </c>
      <c r="C625" s="462" t="s">
        <v>264</v>
      </c>
      <c r="D625" s="462" t="s">
        <v>213</v>
      </c>
      <c r="E625" s="462" t="s">
        <v>1238</v>
      </c>
      <c r="F625" s="462"/>
      <c r="G625" s="467">
        <f>G626</f>
        <v>1311</v>
      </c>
      <c r="H625" s="467">
        <f>H626</f>
        <v>1311</v>
      </c>
      <c r="I625" s="204"/>
    </row>
    <row r="626" spans="1:9" ht="31.5" x14ac:dyDescent="0.25">
      <c r="A626" s="466" t="s">
        <v>272</v>
      </c>
      <c r="B626" s="460">
        <v>906</v>
      </c>
      <c r="C626" s="462" t="s">
        <v>264</v>
      </c>
      <c r="D626" s="462" t="s">
        <v>213</v>
      </c>
      <c r="E626" s="462" t="s">
        <v>1238</v>
      </c>
      <c r="F626" s="462" t="s">
        <v>273</v>
      </c>
      <c r="G626" s="467">
        <f>G627</f>
        <v>1311</v>
      </c>
      <c r="H626" s="467">
        <f>H627</f>
        <v>1311</v>
      </c>
      <c r="I626" s="204"/>
    </row>
    <row r="627" spans="1:9" ht="15.75" x14ac:dyDescent="0.25">
      <c r="A627" s="466" t="s">
        <v>274</v>
      </c>
      <c r="B627" s="460">
        <v>906</v>
      </c>
      <c r="C627" s="462" t="s">
        <v>264</v>
      </c>
      <c r="D627" s="462" t="s">
        <v>213</v>
      </c>
      <c r="E627" s="462" t="s">
        <v>1238</v>
      </c>
      <c r="F627" s="462" t="s">
        <v>275</v>
      </c>
      <c r="G627" s="467">
        <v>1311</v>
      </c>
      <c r="H627" s="467">
        <f t="shared" si="51"/>
        <v>1311</v>
      </c>
      <c r="I627" s="204"/>
    </row>
    <row r="628" spans="1:9" ht="63" x14ac:dyDescent="0.25">
      <c r="A628" s="31" t="s">
        <v>291</v>
      </c>
      <c r="B628" s="460">
        <v>906</v>
      </c>
      <c r="C628" s="462" t="s">
        <v>264</v>
      </c>
      <c r="D628" s="462" t="s">
        <v>213</v>
      </c>
      <c r="E628" s="462" t="s">
        <v>1239</v>
      </c>
      <c r="F628" s="462"/>
      <c r="G628" s="467">
        <f>G629</f>
        <v>2266.6999999999998</v>
      </c>
      <c r="H628" s="467">
        <f>H629</f>
        <v>2266.6999999999998</v>
      </c>
      <c r="I628" s="204"/>
    </row>
    <row r="629" spans="1:9" ht="31.5" x14ac:dyDescent="0.25">
      <c r="A629" s="466" t="s">
        <v>272</v>
      </c>
      <c r="B629" s="460">
        <v>906</v>
      </c>
      <c r="C629" s="462" t="s">
        <v>264</v>
      </c>
      <c r="D629" s="462" t="s">
        <v>213</v>
      </c>
      <c r="E629" s="462" t="s">
        <v>1239</v>
      </c>
      <c r="F629" s="462" t="s">
        <v>273</v>
      </c>
      <c r="G629" s="467">
        <f>G630</f>
        <v>2266.6999999999998</v>
      </c>
      <c r="H629" s="467">
        <f>H630</f>
        <v>2266.6999999999998</v>
      </c>
      <c r="I629" s="204"/>
    </row>
    <row r="630" spans="1:9" ht="15.75" x14ac:dyDescent="0.25">
      <c r="A630" s="466" t="s">
        <v>274</v>
      </c>
      <c r="B630" s="460">
        <v>906</v>
      </c>
      <c r="C630" s="462" t="s">
        <v>264</v>
      </c>
      <c r="D630" s="462" t="s">
        <v>213</v>
      </c>
      <c r="E630" s="462" t="s">
        <v>1239</v>
      </c>
      <c r="F630" s="462" t="s">
        <v>275</v>
      </c>
      <c r="G630" s="467">
        <f>2266.7</f>
        <v>2266.6999999999998</v>
      </c>
      <c r="H630" s="467">
        <f t="shared" si="51"/>
        <v>2266.6999999999998</v>
      </c>
      <c r="I630" s="204"/>
    </row>
    <row r="631" spans="1:9" ht="47.25" x14ac:dyDescent="0.25">
      <c r="A631" s="31" t="s">
        <v>462</v>
      </c>
      <c r="B631" s="460">
        <v>906</v>
      </c>
      <c r="C631" s="462" t="s">
        <v>264</v>
      </c>
      <c r="D631" s="462" t="s">
        <v>213</v>
      </c>
      <c r="E631" s="462" t="s">
        <v>1256</v>
      </c>
      <c r="F631" s="462"/>
      <c r="G631" s="467">
        <f>G632</f>
        <v>909.3</v>
      </c>
      <c r="H631" s="467">
        <f>H632</f>
        <v>909.3</v>
      </c>
      <c r="I631" s="204"/>
    </row>
    <row r="632" spans="1:9" ht="31.5" x14ac:dyDescent="0.25">
      <c r="A632" s="466" t="s">
        <v>272</v>
      </c>
      <c r="B632" s="460">
        <v>906</v>
      </c>
      <c r="C632" s="462" t="s">
        <v>264</v>
      </c>
      <c r="D632" s="462" t="s">
        <v>213</v>
      </c>
      <c r="E632" s="462" t="s">
        <v>1256</v>
      </c>
      <c r="F632" s="462" t="s">
        <v>273</v>
      </c>
      <c r="G632" s="467">
        <f>G633</f>
        <v>909.3</v>
      </c>
      <c r="H632" s="467">
        <f>H633</f>
        <v>909.3</v>
      </c>
      <c r="I632" s="204"/>
    </row>
    <row r="633" spans="1:9" ht="15.75" x14ac:dyDescent="0.25">
      <c r="A633" s="466" t="s">
        <v>274</v>
      </c>
      <c r="B633" s="460">
        <v>906</v>
      </c>
      <c r="C633" s="462" t="s">
        <v>264</v>
      </c>
      <c r="D633" s="462" t="s">
        <v>213</v>
      </c>
      <c r="E633" s="462" t="s">
        <v>1256</v>
      </c>
      <c r="F633" s="462" t="s">
        <v>275</v>
      </c>
      <c r="G633" s="467">
        <v>909.3</v>
      </c>
      <c r="H633" s="467">
        <v>909.3</v>
      </c>
      <c r="I633" s="204"/>
    </row>
    <row r="634" spans="1:9" ht="31.5" x14ac:dyDescent="0.25">
      <c r="A634" s="464" t="s">
        <v>1257</v>
      </c>
      <c r="B634" s="251">
        <v>906</v>
      </c>
      <c r="C634" s="465" t="s">
        <v>264</v>
      </c>
      <c r="D634" s="465" t="s">
        <v>213</v>
      </c>
      <c r="E634" s="465" t="s">
        <v>1242</v>
      </c>
      <c r="F634" s="465"/>
      <c r="G634" s="463">
        <f>G635+G638+G641+G644</f>
        <v>224</v>
      </c>
      <c r="H634" s="463">
        <f>H635+H638+H641+H644</f>
        <v>224</v>
      </c>
      <c r="I634" s="204"/>
    </row>
    <row r="635" spans="1:9" ht="31.5" hidden="1" x14ac:dyDescent="0.25">
      <c r="A635" s="466" t="s">
        <v>440</v>
      </c>
      <c r="B635" s="37">
        <v>906</v>
      </c>
      <c r="C635" s="462" t="s">
        <v>264</v>
      </c>
      <c r="D635" s="462" t="s">
        <v>213</v>
      </c>
      <c r="E635" s="462" t="s">
        <v>1324</v>
      </c>
      <c r="F635" s="462"/>
      <c r="G635" s="467">
        <f>'[1]Пр.5 ведом.21'!G623</f>
        <v>0</v>
      </c>
      <c r="H635" s="467">
        <f t="shared" ref="H635:H706" si="56">G635</f>
        <v>0</v>
      </c>
      <c r="I635" s="204"/>
    </row>
    <row r="636" spans="1:9" ht="31.5" hidden="1" x14ac:dyDescent="0.25">
      <c r="A636" s="466" t="s">
        <v>272</v>
      </c>
      <c r="B636" s="37">
        <v>906</v>
      </c>
      <c r="C636" s="462" t="s">
        <v>264</v>
      </c>
      <c r="D636" s="462" t="s">
        <v>213</v>
      </c>
      <c r="E636" s="462" t="s">
        <v>1324</v>
      </c>
      <c r="F636" s="462" t="s">
        <v>273</v>
      </c>
      <c r="G636" s="467">
        <f>'[1]Пр.5 ведом.21'!G624</f>
        <v>0</v>
      </c>
      <c r="H636" s="467">
        <f t="shared" si="56"/>
        <v>0</v>
      </c>
      <c r="I636" s="204"/>
    </row>
    <row r="637" spans="1:9" ht="15.75" hidden="1" x14ac:dyDescent="0.25">
      <c r="A637" s="466" t="s">
        <v>274</v>
      </c>
      <c r="B637" s="37">
        <v>906</v>
      </c>
      <c r="C637" s="462" t="s">
        <v>264</v>
      </c>
      <c r="D637" s="462" t="s">
        <v>213</v>
      </c>
      <c r="E637" s="462" t="s">
        <v>1324</v>
      </c>
      <c r="F637" s="462" t="s">
        <v>275</v>
      </c>
      <c r="G637" s="467">
        <f>'[1]Пр.5 ведом.21'!G625</f>
        <v>0</v>
      </c>
      <c r="H637" s="467">
        <f t="shared" si="56"/>
        <v>0</v>
      </c>
      <c r="I637" s="204"/>
    </row>
    <row r="638" spans="1:9" ht="31.5" hidden="1" x14ac:dyDescent="0.25">
      <c r="A638" s="466" t="s">
        <v>278</v>
      </c>
      <c r="B638" s="37">
        <v>906</v>
      </c>
      <c r="C638" s="462" t="s">
        <v>264</v>
      </c>
      <c r="D638" s="462" t="s">
        <v>213</v>
      </c>
      <c r="E638" s="462" t="s">
        <v>1325</v>
      </c>
      <c r="F638" s="462"/>
      <c r="G638" s="467">
        <f>'[1]Пр.5 ведом.21'!G626</f>
        <v>0</v>
      </c>
      <c r="H638" s="467">
        <f t="shared" si="56"/>
        <v>0</v>
      </c>
      <c r="I638" s="204"/>
    </row>
    <row r="639" spans="1:9" ht="31.5" hidden="1" x14ac:dyDescent="0.25">
      <c r="A639" s="466" t="s">
        <v>272</v>
      </c>
      <c r="B639" s="37">
        <v>906</v>
      </c>
      <c r="C639" s="462" t="s">
        <v>264</v>
      </c>
      <c r="D639" s="462" t="s">
        <v>213</v>
      </c>
      <c r="E639" s="462" t="s">
        <v>1325</v>
      </c>
      <c r="F639" s="462" t="s">
        <v>273</v>
      </c>
      <c r="G639" s="467">
        <f>'[1]Пр.5 ведом.21'!G627</f>
        <v>0</v>
      </c>
      <c r="H639" s="467">
        <f t="shared" si="56"/>
        <v>0</v>
      </c>
      <c r="I639" s="204"/>
    </row>
    <row r="640" spans="1:9" ht="15.75" hidden="1" x14ac:dyDescent="0.25">
      <c r="A640" s="466" t="s">
        <v>274</v>
      </c>
      <c r="B640" s="37">
        <v>906</v>
      </c>
      <c r="C640" s="462" t="s">
        <v>264</v>
      </c>
      <c r="D640" s="462" t="s">
        <v>213</v>
      </c>
      <c r="E640" s="462" t="s">
        <v>1325</v>
      </c>
      <c r="F640" s="462" t="s">
        <v>275</v>
      </c>
      <c r="G640" s="467">
        <f>'[1]Пр.5 ведом.21'!G628</f>
        <v>0</v>
      </c>
      <c r="H640" s="467">
        <f t="shared" si="56"/>
        <v>0</v>
      </c>
      <c r="I640" s="204"/>
    </row>
    <row r="641" spans="1:9" ht="31.5" hidden="1" x14ac:dyDescent="0.25">
      <c r="A641" s="466" t="s">
        <v>280</v>
      </c>
      <c r="B641" s="37">
        <v>906</v>
      </c>
      <c r="C641" s="462" t="s">
        <v>264</v>
      </c>
      <c r="D641" s="462" t="s">
        <v>213</v>
      </c>
      <c r="E641" s="462" t="s">
        <v>1326</v>
      </c>
      <c r="F641" s="462"/>
      <c r="G641" s="467">
        <f>'[1]Пр.5 ведом.21'!G629</f>
        <v>0</v>
      </c>
      <c r="H641" s="467">
        <f t="shared" si="56"/>
        <v>0</v>
      </c>
      <c r="I641" s="204"/>
    </row>
    <row r="642" spans="1:9" ht="31.5" hidden="1" x14ac:dyDescent="0.25">
      <c r="A642" s="466" t="s">
        <v>272</v>
      </c>
      <c r="B642" s="37">
        <v>906</v>
      </c>
      <c r="C642" s="462" t="s">
        <v>264</v>
      </c>
      <c r="D642" s="462" t="s">
        <v>213</v>
      </c>
      <c r="E642" s="462" t="s">
        <v>1326</v>
      </c>
      <c r="F642" s="462" t="s">
        <v>273</v>
      </c>
      <c r="G642" s="467">
        <f>'[1]Пр.5 ведом.21'!G630</f>
        <v>0</v>
      </c>
      <c r="H642" s="467">
        <f t="shared" si="56"/>
        <v>0</v>
      </c>
      <c r="I642" s="204"/>
    </row>
    <row r="643" spans="1:9" ht="15.75" hidden="1" x14ac:dyDescent="0.25">
      <c r="A643" s="466" t="s">
        <v>274</v>
      </c>
      <c r="B643" s="37">
        <v>906</v>
      </c>
      <c r="C643" s="462" t="s">
        <v>264</v>
      </c>
      <c r="D643" s="462" t="s">
        <v>213</v>
      </c>
      <c r="E643" s="462" t="s">
        <v>1326</v>
      </c>
      <c r="F643" s="462" t="s">
        <v>275</v>
      </c>
      <c r="G643" s="467">
        <f>'[1]Пр.5 ведом.21'!G631</f>
        <v>0</v>
      </c>
      <c r="H643" s="467">
        <f t="shared" si="56"/>
        <v>0</v>
      </c>
      <c r="I643" s="204"/>
    </row>
    <row r="644" spans="1:9" ht="31.5" x14ac:dyDescent="0.25">
      <c r="A644" s="466" t="s">
        <v>282</v>
      </c>
      <c r="B644" s="37">
        <v>906</v>
      </c>
      <c r="C644" s="462" t="s">
        <v>264</v>
      </c>
      <c r="D644" s="462" t="s">
        <v>213</v>
      </c>
      <c r="E644" s="462" t="s">
        <v>1258</v>
      </c>
      <c r="F644" s="462"/>
      <c r="G644" s="467">
        <f>G645</f>
        <v>224</v>
      </c>
      <c r="H644" s="467">
        <f>H645</f>
        <v>224</v>
      </c>
      <c r="I644" s="204"/>
    </row>
    <row r="645" spans="1:9" ht="31.5" x14ac:dyDescent="0.25">
      <c r="A645" s="466" t="s">
        <v>272</v>
      </c>
      <c r="B645" s="37">
        <v>906</v>
      </c>
      <c r="C645" s="462" t="s">
        <v>264</v>
      </c>
      <c r="D645" s="462" t="s">
        <v>213</v>
      </c>
      <c r="E645" s="462" t="s">
        <v>1258</v>
      </c>
      <c r="F645" s="462" t="s">
        <v>273</v>
      </c>
      <c r="G645" s="467">
        <f>G646</f>
        <v>224</v>
      </c>
      <c r="H645" s="467">
        <f>H646</f>
        <v>224</v>
      </c>
      <c r="I645" s="204"/>
    </row>
    <row r="646" spans="1:9" ht="15.75" x14ac:dyDescent="0.25">
      <c r="A646" s="466" t="s">
        <v>274</v>
      </c>
      <c r="B646" s="37">
        <v>906</v>
      </c>
      <c r="C646" s="462" t="s">
        <v>264</v>
      </c>
      <c r="D646" s="462" t="s">
        <v>213</v>
      </c>
      <c r="E646" s="462" t="s">
        <v>1258</v>
      </c>
      <c r="F646" s="462" t="s">
        <v>275</v>
      </c>
      <c r="G646" s="467">
        <f>224</f>
        <v>224</v>
      </c>
      <c r="H646" s="467">
        <f t="shared" si="56"/>
        <v>224</v>
      </c>
      <c r="I646" s="204"/>
    </row>
    <row r="647" spans="1:9" ht="31.5" x14ac:dyDescent="0.25">
      <c r="A647" s="218" t="s">
        <v>948</v>
      </c>
      <c r="B647" s="461">
        <v>906</v>
      </c>
      <c r="C647" s="465" t="s">
        <v>264</v>
      </c>
      <c r="D647" s="465" t="s">
        <v>213</v>
      </c>
      <c r="E647" s="465" t="s">
        <v>1245</v>
      </c>
      <c r="F647" s="465"/>
      <c r="G647" s="44">
        <f>G648+G651</f>
        <v>2888</v>
      </c>
      <c r="H647" s="44">
        <f>H648+H651</f>
        <v>2888</v>
      </c>
      <c r="I647" s="204"/>
    </row>
    <row r="648" spans="1:9" ht="31.5" hidden="1" x14ac:dyDescent="0.25">
      <c r="A648" s="466" t="s">
        <v>791</v>
      </c>
      <c r="B648" s="460">
        <v>906</v>
      </c>
      <c r="C648" s="462" t="s">
        <v>264</v>
      </c>
      <c r="D648" s="462" t="s">
        <v>213</v>
      </c>
      <c r="E648" s="462" t="s">
        <v>1263</v>
      </c>
      <c r="F648" s="462"/>
      <c r="G648" s="467">
        <f>'[1]Пр.5 ведом.21'!G636</f>
        <v>0</v>
      </c>
      <c r="H648" s="467">
        <f>G648</f>
        <v>0</v>
      </c>
      <c r="I648" s="204"/>
    </row>
    <row r="649" spans="1:9" ht="31.5" hidden="1" x14ac:dyDescent="0.25">
      <c r="A649" s="466" t="s">
        <v>272</v>
      </c>
      <c r="B649" s="460">
        <v>906</v>
      </c>
      <c r="C649" s="462" t="s">
        <v>264</v>
      </c>
      <c r="D649" s="462" t="s">
        <v>213</v>
      </c>
      <c r="E649" s="462" t="s">
        <v>1263</v>
      </c>
      <c r="F649" s="462" t="s">
        <v>273</v>
      </c>
      <c r="G649" s="467">
        <f>'[1]Пр.5 ведом.21'!G637</f>
        <v>0</v>
      </c>
      <c r="H649" s="467">
        <f>G649</f>
        <v>0</v>
      </c>
      <c r="I649" s="204"/>
    </row>
    <row r="650" spans="1:9" ht="15.75" hidden="1" x14ac:dyDescent="0.25">
      <c r="A650" s="466" t="s">
        <v>274</v>
      </c>
      <c r="B650" s="460">
        <v>906</v>
      </c>
      <c r="C650" s="462" t="s">
        <v>264</v>
      </c>
      <c r="D650" s="462" t="s">
        <v>213</v>
      </c>
      <c r="E650" s="462" t="s">
        <v>1263</v>
      </c>
      <c r="F650" s="462" t="s">
        <v>275</v>
      </c>
      <c r="G650" s="467">
        <f>'[1]Пр.5 ведом.21'!G638</f>
        <v>0</v>
      </c>
      <c r="H650" s="467">
        <f>G650</f>
        <v>0</v>
      </c>
      <c r="I650" s="204"/>
    </row>
    <row r="651" spans="1:9" ht="31.5" x14ac:dyDescent="0.25">
      <c r="A651" s="60" t="s">
        <v>764</v>
      </c>
      <c r="B651" s="460">
        <v>906</v>
      </c>
      <c r="C651" s="462" t="s">
        <v>264</v>
      </c>
      <c r="D651" s="462" t="s">
        <v>213</v>
      </c>
      <c r="E651" s="462" t="s">
        <v>1246</v>
      </c>
      <c r="F651" s="462"/>
      <c r="G651" s="467">
        <f>G652</f>
        <v>2888</v>
      </c>
      <c r="H651" s="467">
        <f>H652</f>
        <v>2888</v>
      </c>
      <c r="I651" s="204"/>
    </row>
    <row r="652" spans="1:9" ht="31.5" x14ac:dyDescent="0.25">
      <c r="A652" s="29" t="s">
        <v>272</v>
      </c>
      <c r="B652" s="460">
        <v>906</v>
      </c>
      <c r="C652" s="462" t="s">
        <v>264</v>
      </c>
      <c r="D652" s="462" t="s">
        <v>213</v>
      </c>
      <c r="E652" s="462" t="s">
        <v>1246</v>
      </c>
      <c r="F652" s="462" t="s">
        <v>273</v>
      </c>
      <c r="G652" s="467">
        <f>G653</f>
        <v>2888</v>
      </c>
      <c r="H652" s="467">
        <f>H653</f>
        <v>2888</v>
      </c>
      <c r="I652" s="204"/>
    </row>
    <row r="653" spans="1:9" ht="15.75" x14ac:dyDescent="0.25">
      <c r="A653" s="182" t="s">
        <v>274</v>
      </c>
      <c r="B653" s="460">
        <v>906</v>
      </c>
      <c r="C653" s="462" t="s">
        <v>264</v>
      </c>
      <c r="D653" s="462" t="s">
        <v>213</v>
      </c>
      <c r="E653" s="462" t="s">
        <v>1246</v>
      </c>
      <c r="F653" s="462" t="s">
        <v>275</v>
      </c>
      <c r="G653" s="467">
        <v>2888</v>
      </c>
      <c r="H653" s="467">
        <f>G653</f>
        <v>2888</v>
      </c>
      <c r="I653" s="204"/>
    </row>
    <row r="654" spans="1:9" ht="31.5" x14ac:dyDescent="0.25">
      <c r="A654" s="464" t="s">
        <v>938</v>
      </c>
      <c r="B654" s="251">
        <v>906</v>
      </c>
      <c r="C654" s="465" t="s">
        <v>264</v>
      </c>
      <c r="D654" s="465" t="s">
        <v>213</v>
      </c>
      <c r="E654" s="465" t="s">
        <v>1259</v>
      </c>
      <c r="F654" s="465"/>
      <c r="G654" s="463">
        <f t="shared" ref="G654:H656" si="57">G655</f>
        <v>3931.8</v>
      </c>
      <c r="H654" s="463">
        <f t="shared" si="57"/>
        <v>3865.2</v>
      </c>
      <c r="I654" s="204"/>
    </row>
    <row r="655" spans="1:9" ht="49.7" customHeight="1" x14ac:dyDescent="0.25">
      <c r="A655" s="29" t="s">
        <v>602</v>
      </c>
      <c r="B655" s="37">
        <v>906</v>
      </c>
      <c r="C655" s="462" t="s">
        <v>264</v>
      </c>
      <c r="D655" s="462" t="s">
        <v>213</v>
      </c>
      <c r="E655" s="462" t="s">
        <v>1260</v>
      </c>
      <c r="F655" s="462"/>
      <c r="G655" s="467">
        <f t="shared" si="57"/>
        <v>3931.8</v>
      </c>
      <c r="H655" s="467">
        <f t="shared" si="57"/>
        <v>3865.2</v>
      </c>
      <c r="I655" s="204"/>
    </row>
    <row r="656" spans="1:9" ht="31.5" x14ac:dyDescent="0.25">
      <c r="A656" s="466" t="s">
        <v>272</v>
      </c>
      <c r="B656" s="37">
        <v>906</v>
      </c>
      <c r="C656" s="462" t="s">
        <v>264</v>
      </c>
      <c r="D656" s="462" t="s">
        <v>213</v>
      </c>
      <c r="E656" s="462" t="s">
        <v>1260</v>
      </c>
      <c r="F656" s="462" t="s">
        <v>273</v>
      </c>
      <c r="G656" s="467">
        <f t="shared" si="57"/>
        <v>3931.8</v>
      </c>
      <c r="H656" s="467">
        <f t="shared" si="57"/>
        <v>3865.2</v>
      </c>
      <c r="I656" s="204"/>
    </row>
    <row r="657" spans="1:15" ht="15.75" x14ac:dyDescent="0.25">
      <c r="A657" s="466" t="s">
        <v>274</v>
      </c>
      <c r="B657" s="37">
        <v>906</v>
      </c>
      <c r="C657" s="462" t="s">
        <v>264</v>
      </c>
      <c r="D657" s="462" t="s">
        <v>213</v>
      </c>
      <c r="E657" s="462" t="s">
        <v>1260</v>
      </c>
      <c r="F657" s="462" t="s">
        <v>275</v>
      </c>
      <c r="G657" s="467">
        <v>3931.8</v>
      </c>
      <c r="H657" s="467">
        <v>3865.2</v>
      </c>
      <c r="I657" s="204"/>
    </row>
    <row r="658" spans="1:15" ht="31.5" x14ac:dyDescent="0.25">
      <c r="A658" s="464" t="s">
        <v>939</v>
      </c>
      <c r="B658" s="251">
        <v>906</v>
      </c>
      <c r="C658" s="465" t="s">
        <v>264</v>
      </c>
      <c r="D658" s="465" t="s">
        <v>213</v>
      </c>
      <c r="E658" s="465" t="s">
        <v>1261</v>
      </c>
      <c r="F658" s="465"/>
      <c r="G658" s="44">
        <f t="shared" ref="G658:H660" si="58">G659</f>
        <v>1384.6</v>
      </c>
      <c r="H658" s="44">
        <f t="shared" si="58"/>
        <v>1384.6</v>
      </c>
      <c r="I658" s="204"/>
    </row>
    <row r="659" spans="1:15" ht="47.25" x14ac:dyDescent="0.25">
      <c r="A659" s="466" t="s">
        <v>438</v>
      </c>
      <c r="B659" s="37">
        <v>906</v>
      </c>
      <c r="C659" s="462" t="s">
        <v>264</v>
      </c>
      <c r="D659" s="462" t="s">
        <v>213</v>
      </c>
      <c r="E659" s="462" t="s">
        <v>1262</v>
      </c>
      <c r="F659" s="462"/>
      <c r="G659" s="467">
        <f t="shared" si="58"/>
        <v>1384.6</v>
      </c>
      <c r="H659" s="467">
        <f t="shared" si="58"/>
        <v>1384.6</v>
      </c>
      <c r="I659" s="204"/>
    </row>
    <row r="660" spans="1:15" ht="31.5" x14ac:dyDescent="0.25">
      <c r="A660" s="466" t="s">
        <v>272</v>
      </c>
      <c r="B660" s="37">
        <v>906</v>
      </c>
      <c r="C660" s="462" t="s">
        <v>264</v>
      </c>
      <c r="D660" s="462" t="s">
        <v>213</v>
      </c>
      <c r="E660" s="462" t="s">
        <v>1262</v>
      </c>
      <c r="F660" s="462" t="s">
        <v>273</v>
      </c>
      <c r="G660" s="467">
        <f t="shared" si="58"/>
        <v>1384.6</v>
      </c>
      <c r="H660" s="467">
        <f t="shared" si="58"/>
        <v>1384.6</v>
      </c>
      <c r="I660" s="204"/>
    </row>
    <row r="661" spans="1:15" ht="15.75" x14ac:dyDescent="0.25">
      <c r="A661" s="466" t="s">
        <v>274</v>
      </c>
      <c r="B661" s="37">
        <v>906</v>
      </c>
      <c r="C661" s="462" t="s">
        <v>264</v>
      </c>
      <c r="D661" s="462" t="s">
        <v>213</v>
      </c>
      <c r="E661" s="462" t="s">
        <v>1262</v>
      </c>
      <c r="F661" s="462" t="s">
        <v>275</v>
      </c>
      <c r="G661" s="467">
        <v>1384.6</v>
      </c>
      <c r="H661" s="467">
        <v>1384.6</v>
      </c>
      <c r="I661" s="204"/>
    </row>
    <row r="662" spans="1:15" ht="31.5" x14ac:dyDescent="0.25">
      <c r="A662" s="216" t="s">
        <v>940</v>
      </c>
      <c r="B662" s="461">
        <v>906</v>
      </c>
      <c r="C662" s="465" t="s">
        <v>264</v>
      </c>
      <c r="D662" s="465" t="s">
        <v>213</v>
      </c>
      <c r="E662" s="465" t="s">
        <v>1264</v>
      </c>
      <c r="F662" s="465"/>
      <c r="G662" s="463">
        <f>G663+G666</f>
        <v>755.8</v>
      </c>
      <c r="H662" s="463">
        <f>H663+H666</f>
        <v>759</v>
      </c>
      <c r="I662" s="204"/>
    </row>
    <row r="663" spans="1:15" ht="50.25" customHeight="1" x14ac:dyDescent="0.25">
      <c r="A663" s="182" t="s">
        <v>828</v>
      </c>
      <c r="B663" s="460">
        <v>906</v>
      </c>
      <c r="C663" s="462" t="s">
        <v>264</v>
      </c>
      <c r="D663" s="462" t="s">
        <v>213</v>
      </c>
      <c r="E663" s="462" t="s">
        <v>1437</v>
      </c>
      <c r="F663" s="462"/>
      <c r="G663" s="467">
        <f>G664</f>
        <v>755.8</v>
      </c>
      <c r="H663" s="467">
        <f t="shared" ref="H663:H664" si="59">H664</f>
        <v>759</v>
      </c>
      <c r="I663" s="204"/>
    </row>
    <row r="664" spans="1:15" ht="31.5" x14ac:dyDescent="0.25">
      <c r="A664" s="31" t="s">
        <v>272</v>
      </c>
      <c r="B664" s="460">
        <v>906</v>
      </c>
      <c r="C664" s="462" t="s">
        <v>264</v>
      </c>
      <c r="D664" s="462" t="s">
        <v>213</v>
      </c>
      <c r="E664" s="462" t="s">
        <v>1437</v>
      </c>
      <c r="F664" s="462" t="s">
        <v>273</v>
      </c>
      <c r="G664" s="467">
        <f>G665</f>
        <v>755.8</v>
      </c>
      <c r="H664" s="467">
        <f t="shared" si="59"/>
        <v>759</v>
      </c>
      <c r="I664" s="204"/>
    </row>
    <row r="665" spans="1:15" ht="15.75" x14ac:dyDescent="0.25">
      <c r="A665" s="31" t="s">
        <v>274</v>
      </c>
      <c r="B665" s="460">
        <v>906</v>
      </c>
      <c r="C665" s="462" t="s">
        <v>264</v>
      </c>
      <c r="D665" s="462" t="s">
        <v>213</v>
      </c>
      <c r="E665" s="462" t="s">
        <v>1437</v>
      </c>
      <c r="F665" s="462" t="s">
        <v>275</v>
      </c>
      <c r="G665" s="467">
        <v>755.8</v>
      </c>
      <c r="H665" s="467">
        <v>759</v>
      </c>
      <c r="I665" s="204"/>
    </row>
    <row r="666" spans="1:15" ht="31.5" hidden="1" x14ac:dyDescent="0.25">
      <c r="A666" s="345" t="s">
        <v>1436</v>
      </c>
      <c r="B666" s="460">
        <v>906</v>
      </c>
      <c r="C666" s="462" t="s">
        <v>264</v>
      </c>
      <c r="D666" s="462" t="s">
        <v>213</v>
      </c>
      <c r="E666" s="462" t="s">
        <v>1438</v>
      </c>
      <c r="F666" s="462"/>
      <c r="G666" s="467">
        <f>G667</f>
        <v>0</v>
      </c>
      <c r="H666" s="467">
        <f>H667</f>
        <v>0</v>
      </c>
      <c r="I666" s="204"/>
    </row>
    <row r="667" spans="1:15" ht="31.5" hidden="1" x14ac:dyDescent="0.25">
      <c r="A667" s="31" t="s">
        <v>272</v>
      </c>
      <c r="B667" s="460">
        <v>906</v>
      </c>
      <c r="C667" s="462" t="s">
        <v>264</v>
      </c>
      <c r="D667" s="462" t="s">
        <v>213</v>
      </c>
      <c r="E667" s="462" t="s">
        <v>1438</v>
      </c>
      <c r="F667" s="462" t="s">
        <v>273</v>
      </c>
      <c r="G667" s="467">
        <f>G668</f>
        <v>0</v>
      </c>
      <c r="H667" s="467">
        <f>H668</f>
        <v>0</v>
      </c>
      <c r="I667" s="204"/>
    </row>
    <row r="668" spans="1:15" ht="15.75" hidden="1" x14ac:dyDescent="0.25">
      <c r="A668" s="31" t="s">
        <v>274</v>
      </c>
      <c r="B668" s="460">
        <v>906</v>
      </c>
      <c r="C668" s="462" t="s">
        <v>264</v>
      </c>
      <c r="D668" s="462" t="s">
        <v>213</v>
      </c>
      <c r="E668" s="462" t="s">
        <v>1438</v>
      </c>
      <c r="F668" s="462" t="s">
        <v>275</v>
      </c>
      <c r="G668" s="467">
        <v>0</v>
      </c>
      <c r="H668" s="467">
        <v>0</v>
      </c>
      <c r="I668" s="204"/>
    </row>
    <row r="669" spans="1:15" ht="31.5" x14ac:dyDescent="0.25">
      <c r="A669" s="298" t="s">
        <v>1416</v>
      </c>
      <c r="B669" s="461">
        <v>906</v>
      </c>
      <c r="C669" s="465" t="s">
        <v>264</v>
      </c>
      <c r="D669" s="465" t="s">
        <v>213</v>
      </c>
      <c r="E669" s="465" t="s">
        <v>1415</v>
      </c>
      <c r="F669" s="465"/>
      <c r="G669" s="463">
        <f t="shared" ref="G669:H671" si="60">G670</f>
        <v>5415.6500000000005</v>
      </c>
      <c r="H669" s="463">
        <f t="shared" si="60"/>
        <v>5142.4500000000007</v>
      </c>
      <c r="I669" s="204"/>
    </row>
    <row r="670" spans="1:15" ht="63" x14ac:dyDescent="0.25">
      <c r="A670" s="297" t="s">
        <v>1402</v>
      </c>
      <c r="B670" s="460">
        <v>906</v>
      </c>
      <c r="C670" s="462" t="s">
        <v>264</v>
      </c>
      <c r="D670" s="462" t="s">
        <v>213</v>
      </c>
      <c r="E670" s="462" t="s">
        <v>1462</v>
      </c>
      <c r="F670" s="462"/>
      <c r="G670" s="467">
        <f t="shared" si="60"/>
        <v>5415.6500000000005</v>
      </c>
      <c r="H670" s="467">
        <f t="shared" si="60"/>
        <v>5142.4500000000007</v>
      </c>
      <c r="I670" s="204"/>
    </row>
    <row r="671" spans="1:15" ht="37.35" customHeight="1" x14ac:dyDescent="0.25">
      <c r="A671" s="31" t="s">
        <v>272</v>
      </c>
      <c r="B671" s="460">
        <v>906</v>
      </c>
      <c r="C671" s="462" t="s">
        <v>264</v>
      </c>
      <c r="D671" s="462" t="s">
        <v>213</v>
      </c>
      <c r="E671" s="462" t="s">
        <v>1462</v>
      </c>
      <c r="F671" s="462" t="s">
        <v>273</v>
      </c>
      <c r="G671" s="467">
        <f t="shared" si="60"/>
        <v>5415.6500000000005</v>
      </c>
      <c r="H671" s="467">
        <f t="shared" si="60"/>
        <v>5142.4500000000007</v>
      </c>
      <c r="I671" s="204"/>
    </row>
    <row r="672" spans="1:15" ht="15.75" x14ac:dyDescent="0.25">
      <c r="A672" s="31" t="s">
        <v>274</v>
      </c>
      <c r="B672" s="460">
        <v>906</v>
      </c>
      <c r="C672" s="462" t="s">
        <v>264</v>
      </c>
      <c r="D672" s="462" t="s">
        <v>213</v>
      </c>
      <c r="E672" s="462" t="s">
        <v>1462</v>
      </c>
      <c r="F672" s="462" t="s">
        <v>275</v>
      </c>
      <c r="G672" s="467">
        <f>5193.6+222.05</f>
        <v>5415.6500000000005</v>
      </c>
      <c r="H672" s="467">
        <f>4931.6+210.85</f>
        <v>5142.4500000000007</v>
      </c>
      <c r="I672" s="204"/>
      <c r="L672" s="204"/>
      <c r="M672" s="204"/>
      <c r="N672" s="204"/>
      <c r="O672" s="204"/>
    </row>
    <row r="673" spans="1:15" ht="47.25" hidden="1" x14ac:dyDescent="0.25">
      <c r="A673" s="216" t="s">
        <v>1177</v>
      </c>
      <c r="B673" s="461">
        <v>906</v>
      </c>
      <c r="C673" s="465" t="s">
        <v>264</v>
      </c>
      <c r="D673" s="465" t="s">
        <v>213</v>
      </c>
      <c r="E673" s="465" t="s">
        <v>1327</v>
      </c>
      <c r="F673" s="465"/>
      <c r="G673" s="463">
        <f t="shared" ref="G673:H677" si="61">G674</f>
        <v>0</v>
      </c>
      <c r="H673" s="463">
        <f t="shared" si="61"/>
        <v>0</v>
      </c>
      <c r="I673" s="204"/>
    </row>
    <row r="674" spans="1:15" ht="47.25" hidden="1" x14ac:dyDescent="0.25">
      <c r="A674" s="182" t="s">
        <v>1185</v>
      </c>
      <c r="B674" s="460">
        <v>906</v>
      </c>
      <c r="C674" s="462" t="s">
        <v>264</v>
      </c>
      <c r="D674" s="462" t="s">
        <v>213</v>
      </c>
      <c r="E674" s="462" t="s">
        <v>1328</v>
      </c>
      <c r="F674" s="462"/>
      <c r="G674" s="467">
        <f t="shared" si="61"/>
        <v>0</v>
      </c>
      <c r="H674" s="467">
        <f t="shared" si="61"/>
        <v>0</v>
      </c>
      <c r="I674" s="204"/>
    </row>
    <row r="675" spans="1:15" ht="31.5" hidden="1" x14ac:dyDescent="0.25">
      <c r="A675" s="31" t="s">
        <v>272</v>
      </c>
      <c r="B675" s="460">
        <v>906</v>
      </c>
      <c r="C675" s="462" t="s">
        <v>264</v>
      </c>
      <c r="D675" s="462" t="s">
        <v>213</v>
      </c>
      <c r="E675" s="462" t="s">
        <v>1328</v>
      </c>
      <c r="F675" s="462" t="s">
        <v>273</v>
      </c>
      <c r="G675" s="467">
        <f t="shared" si="61"/>
        <v>0</v>
      </c>
      <c r="H675" s="467">
        <f t="shared" si="61"/>
        <v>0</v>
      </c>
      <c r="I675" s="204"/>
    </row>
    <row r="676" spans="1:15" ht="15.75" hidden="1" x14ac:dyDescent="0.25">
      <c r="A676" s="31" t="s">
        <v>274</v>
      </c>
      <c r="B676" s="460">
        <v>906</v>
      </c>
      <c r="C676" s="462" t="s">
        <v>264</v>
      </c>
      <c r="D676" s="462" t="s">
        <v>213</v>
      </c>
      <c r="E676" s="462" t="s">
        <v>1328</v>
      </c>
      <c r="F676" s="462" t="s">
        <v>275</v>
      </c>
      <c r="G676" s="467">
        <v>0</v>
      </c>
      <c r="H676" s="467">
        <f>G676</f>
        <v>0</v>
      </c>
      <c r="I676" s="204"/>
    </row>
    <row r="677" spans="1:15" ht="31.5" x14ac:dyDescent="0.25">
      <c r="A677" s="34" t="s">
        <v>1485</v>
      </c>
      <c r="B677" s="461">
        <v>906</v>
      </c>
      <c r="C677" s="465" t="s">
        <v>264</v>
      </c>
      <c r="D677" s="465" t="s">
        <v>213</v>
      </c>
      <c r="E677" s="465" t="s">
        <v>1483</v>
      </c>
      <c r="F677" s="465"/>
      <c r="G677" s="463">
        <f t="shared" si="61"/>
        <v>1749.4499999999998</v>
      </c>
      <c r="H677" s="463">
        <f t="shared" si="61"/>
        <v>2341</v>
      </c>
      <c r="I677" s="204"/>
    </row>
    <row r="678" spans="1:15" ht="54" customHeight="1" x14ac:dyDescent="0.25">
      <c r="A678" s="397" t="s">
        <v>1538</v>
      </c>
      <c r="B678" s="460">
        <v>906</v>
      </c>
      <c r="C678" s="462" t="s">
        <v>264</v>
      </c>
      <c r="D678" s="462" t="s">
        <v>213</v>
      </c>
      <c r="E678" s="462" t="s">
        <v>1484</v>
      </c>
      <c r="F678" s="462"/>
      <c r="G678" s="467">
        <f>G679</f>
        <v>1749.4499999999998</v>
      </c>
      <c r="H678" s="467">
        <f>H679</f>
        <v>2341</v>
      </c>
      <c r="I678" s="204"/>
    </row>
    <row r="679" spans="1:15" ht="31.5" x14ac:dyDescent="0.25">
      <c r="A679" s="31" t="s">
        <v>272</v>
      </c>
      <c r="B679" s="460">
        <v>906</v>
      </c>
      <c r="C679" s="462" t="s">
        <v>264</v>
      </c>
      <c r="D679" s="462" t="s">
        <v>213</v>
      </c>
      <c r="E679" s="462" t="s">
        <v>1484</v>
      </c>
      <c r="F679" s="462" t="s">
        <v>273</v>
      </c>
      <c r="G679" s="467">
        <f>G680</f>
        <v>1749.4499999999998</v>
      </c>
      <c r="H679" s="467">
        <f>H680</f>
        <v>2341</v>
      </c>
      <c r="I679" s="204"/>
    </row>
    <row r="680" spans="1:15" ht="15.75" x14ac:dyDescent="0.25">
      <c r="A680" s="31" t="s">
        <v>274</v>
      </c>
      <c r="B680" s="460">
        <v>906</v>
      </c>
      <c r="C680" s="462" t="s">
        <v>264</v>
      </c>
      <c r="D680" s="462" t="s">
        <v>213</v>
      </c>
      <c r="E680" s="462" t="s">
        <v>1484</v>
      </c>
      <c r="F680" s="462" t="s">
        <v>275</v>
      </c>
      <c r="G680" s="467">
        <f>1644.1+33.6+71.75</f>
        <v>1749.4499999999998</v>
      </c>
      <c r="H680" s="467">
        <f>2200+45+96</f>
        <v>2341</v>
      </c>
      <c r="I680" s="204"/>
      <c r="L680" s="204"/>
      <c r="M680" s="204"/>
      <c r="N680" s="204"/>
      <c r="O680" s="204"/>
    </row>
    <row r="681" spans="1:15" ht="47.25" x14ac:dyDescent="0.25">
      <c r="A681" s="34" t="s">
        <v>1368</v>
      </c>
      <c r="B681" s="461">
        <v>906</v>
      </c>
      <c r="C681" s="465" t="s">
        <v>264</v>
      </c>
      <c r="D681" s="465" t="s">
        <v>213</v>
      </c>
      <c r="E681" s="465" t="s">
        <v>324</v>
      </c>
      <c r="F681" s="465"/>
      <c r="G681" s="463">
        <f t="shared" ref="G681:H684" si="62">G682</f>
        <v>60</v>
      </c>
      <c r="H681" s="463">
        <f t="shared" si="62"/>
        <v>70</v>
      </c>
      <c r="I681" s="204"/>
    </row>
    <row r="682" spans="1:15" ht="63" x14ac:dyDescent="0.25">
      <c r="A682" s="34" t="s">
        <v>1024</v>
      </c>
      <c r="B682" s="461">
        <v>906</v>
      </c>
      <c r="C682" s="465" t="s">
        <v>264</v>
      </c>
      <c r="D682" s="465" t="s">
        <v>213</v>
      </c>
      <c r="E682" s="465" t="s">
        <v>934</v>
      </c>
      <c r="F682" s="465"/>
      <c r="G682" s="463">
        <f t="shared" si="62"/>
        <v>60</v>
      </c>
      <c r="H682" s="463">
        <f t="shared" si="62"/>
        <v>70</v>
      </c>
      <c r="I682" s="204"/>
    </row>
    <row r="683" spans="1:15" ht="47.25" x14ac:dyDescent="0.25">
      <c r="A683" s="31" t="s">
        <v>1084</v>
      </c>
      <c r="B683" s="460">
        <v>906</v>
      </c>
      <c r="C683" s="462" t="s">
        <v>264</v>
      </c>
      <c r="D683" s="462" t="s">
        <v>213</v>
      </c>
      <c r="E683" s="462" t="s">
        <v>935</v>
      </c>
      <c r="F683" s="462"/>
      <c r="G683" s="467">
        <f t="shared" si="62"/>
        <v>60</v>
      </c>
      <c r="H683" s="467">
        <f t="shared" si="62"/>
        <v>70</v>
      </c>
      <c r="I683" s="204"/>
    </row>
    <row r="684" spans="1:15" ht="31.5" x14ac:dyDescent="0.25">
      <c r="A684" s="31" t="s">
        <v>272</v>
      </c>
      <c r="B684" s="460">
        <v>906</v>
      </c>
      <c r="C684" s="462" t="s">
        <v>264</v>
      </c>
      <c r="D684" s="462" t="s">
        <v>213</v>
      </c>
      <c r="E684" s="462" t="s">
        <v>935</v>
      </c>
      <c r="F684" s="462" t="s">
        <v>273</v>
      </c>
      <c r="G684" s="467">
        <f t="shared" si="62"/>
        <v>60</v>
      </c>
      <c r="H684" s="467">
        <f t="shared" si="62"/>
        <v>70</v>
      </c>
      <c r="I684" s="204"/>
    </row>
    <row r="685" spans="1:15" ht="15.75" x14ac:dyDescent="0.25">
      <c r="A685" s="31" t="s">
        <v>274</v>
      </c>
      <c r="B685" s="460">
        <v>906</v>
      </c>
      <c r="C685" s="462" t="s">
        <v>264</v>
      </c>
      <c r="D685" s="462" t="s">
        <v>213</v>
      </c>
      <c r="E685" s="462" t="s">
        <v>935</v>
      </c>
      <c r="F685" s="462" t="s">
        <v>275</v>
      </c>
      <c r="G685" s="467">
        <v>60</v>
      </c>
      <c r="H685" s="467">
        <v>70</v>
      </c>
      <c r="I685" s="204"/>
    </row>
    <row r="686" spans="1:15" ht="47.25" x14ac:dyDescent="0.25">
      <c r="A686" s="470" t="s">
        <v>1363</v>
      </c>
      <c r="B686" s="461">
        <v>906</v>
      </c>
      <c r="C686" s="465" t="s">
        <v>264</v>
      </c>
      <c r="D686" s="465" t="s">
        <v>213</v>
      </c>
      <c r="E686" s="465" t="s">
        <v>705</v>
      </c>
      <c r="F686" s="474"/>
      <c r="G686" s="463">
        <f t="shared" ref="G686:H689" si="63">G687</f>
        <v>870.5</v>
      </c>
      <c r="H686" s="463">
        <f t="shared" si="63"/>
        <v>905.3</v>
      </c>
      <c r="I686" s="204"/>
    </row>
    <row r="687" spans="1:15" ht="47.25" x14ac:dyDescent="0.25">
      <c r="A687" s="470" t="s">
        <v>890</v>
      </c>
      <c r="B687" s="461">
        <v>906</v>
      </c>
      <c r="C687" s="465" t="s">
        <v>264</v>
      </c>
      <c r="D687" s="465" t="s">
        <v>213</v>
      </c>
      <c r="E687" s="465" t="s">
        <v>888</v>
      </c>
      <c r="F687" s="474"/>
      <c r="G687" s="463">
        <f t="shared" si="63"/>
        <v>870.5</v>
      </c>
      <c r="H687" s="463">
        <f t="shared" si="63"/>
        <v>905.3</v>
      </c>
      <c r="I687" s="204"/>
    </row>
    <row r="688" spans="1:15" ht="47.25" x14ac:dyDescent="0.25">
      <c r="A688" s="98" t="s">
        <v>780</v>
      </c>
      <c r="B688" s="460">
        <v>906</v>
      </c>
      <c r="C688" s="462" t="s">
        <v>264</v>
      </c>
      <c r="D688" s="462" t="s">
        <v>213</v>
      </c>
      <c r="E688" s="462" t="s">
        <v>936</v>
      </c>
      <c r="F688" s="468"/>
      <c r="G688" s="467">
        <f t="shared" si="63"/>
        <v>870.5</v>
      </c>
      <c r="H688" s="467">
        <f t="shared" si="63"/>
        <v>905.3</v>
      </c>
      <c r="I688" s="204"/>
    </row>
    <row r="689" spans="1:9" ht="31.5" x14ac:dyDescent="0.25">
      <c r="A689" s="29" t="s">
        <v>272</v>
      </c>
      <c r="B689" s="460">
        <v>906</v>
      </c>
      <c r="C689" s="462" t="s">
        <v>264</v>
      </c>
      <c r="D689" s="462" t="s">
        <v>213</v>
      </c>
      <c r="E689" s="462" t="s">
        <v>936</v>
      </c>
      <c r="F689" s="468" t="s">
        <v>273</v>
      </c>
      <c r="G689" s="467">
        <f t="shared" si="63"/>
        <v>870.5</v>
      </c>
      <c r="H689" s="467">
        <f t="shared" si="63"/>
        <v>905.3</v>
      </c>
      <c r="I689" s="204"/>
    </row>
    <row r="690" spans="1:9" ht="15.75" x14ac:dyDescent="0.25">
      <c r="A690" s="182" t="s">
        <v>274</v>
      </c>
      <c r="B690" s="460">
        <v>906</v>
      </c>
      <c r="C690" s="462" t="s">
        <v>264</v>
      </c>
      <c r="D690" s="462" t="s">
        <v>213</v>
      </c>
      <c r="E690" s="462" t="s">
        <v>936</v>
      </c>
      <c r="F690" s="468" t="s">
        <v>275</v>
      </c>
      <c r="G690" s="467">
        <v>870.5</v>
      </c>
      <c r="H690" s="467">
        <v>905.3</v>
      </c>
      <c r="I690" s="204"/>
    </row>
    <row r="691" spans="1:9" ht="15.75" x14ac:dyDescent="0.25">
      <c r="A691" s="464" t="s">
        <v>265</v>
      </c>
      <c r="B691" s="461">
        <v>906</v>
      </c>
      <c r="C691" s="465" t="s">
        <v>264</v>
      </c>
      <c r="D691" s="465" t="s">
        <v>215</v>
      </c>
      <c r="E691" s="465"/>
      <c r="F691" s="465"/>
      <c r="G691" s="44">
        <f>G692+G715</f>
        <v>41051.5</v>
      </c>
      <c r="H691" s="44">
        <f>H692+H715</f>
        <v>41063.700000000004</v>
      </c>
      <c r="I691" s="204"/>
    </row>
    <row r="692" spans="1:9" ht="39.75" customHeight="1" x14ac:dyDescent="0.25">
      <c r="A692" s="464" t="s">
        <v>1369</v>
      </c>
      <c r="B692" s="461">
        <v>906</v>
      </c>
      <c r="C692" s="465" t="s">
        <v>264</v>
      </c>
      <c r="D692" s="465" t="s">
        <v>215</v>
      </c>
      <c r="E692" s="465" t="s">
        <v>406</v>
      </c>
      <c r="F692" s="465"/>
      <c r="G692" s="44">
        <f>G693+G697+G711</f>
        <v>40748.800000000003</v>
      </c>
      <c r="H692" s="44">
        <f>H693+H697+H711</f>
        <v>40748.800000000003</v>
      </c>
      <c r="I692" s="204"/>
    </row>
    <row r="693" spans="1:9" ht="31.5" x14ac:dyDescent="0.25">
      <c r="A693" s="464" t="s">
        <v>937</v>
      </c>
      <c r="B693" s="461">
        <v>906</v>
      </c>
      <c r="C693" s="465" t="s">
        <v>264</v>
      </c>
      <c r="D693" s="465" t="s">
        <v>215</v>
      </c>
      <c r="E693" s="465" t="s">
        <v>1235</v>
      </c>
      <c r="F693" s="465"/>
      <c r="G693" s="44">
        <f t="shared" ref="G693:H695" si="64">G694</f>
        <v>37056.300000000003</v>
      </c>
      <c r="H693" s="44">
        <f t="shared" si="64"/>
        <v>37056.300000000003</v>
      </c>
      <c r="I693" s="204"/>
    </row>
    <row r="694" spans="1:9" ht="47.25" x14ac:dyDescent="0.25">
      <c r="A694" s="466" t="s">
        <v>270</v>
      </c>
      <c r="B694" s="460">
        <v>906</v>
      </c>
      <c r="C694" s="462" t="s">
        <v>264</v>
      </c>
      <c r="D694" s="462" t="s">
        <v>215</v>
      </c>
      <c r="E694" s="462" t="s">
        <v>1265</v>
      </c>
      <c r="F694" s="462"/>
      <c r="G694" s="467">
        <f t="shared" si="64"/>
        <v>37056.300000000003</v>
      </c>
      <c r="H694" s="467">
        <f t="shared" si="64"/>
        <v>37056.300000000003</v>
      </c>
      <c r="I694" s="204"/>
    </row>
    <row r="695" spans="1:9" ht="31.5" x14ac:dyDescent="0.25">
      <c r="A695" s="466" t="s">
        <v>272</v>
      </c>
      <c r="B695" s="460">
        <v>906</v>
      </c>
      <c r="C695" s="462" t="s">
        <v>264</v>
      </c>
      <c r="D695" s="462" t="s">
        <v>215</v>
      </c>
      <c r="E695" s="462" t="s">
        <v>1265</v>
      </c>
      <c r="F695" s="462" t="s">
        <v>273</v>
      </c>
      <c r="G695" s="467">
        <f t="shared" si="64"/>
        <v>37056.300000000003</v>
      </c>
      <c r="H695" s="467">
        <f t="shared" si="64"/>
        <v>37056.300000000003</v>
      </c>
      <c r="I695" s="204"/>
    </row>
    <row r="696" spans="1:9" ht="15.75" x14ac:dyDescent="0.25">
      <c r="A696" s="466" t="s">
        <v>274</v>
      </c>
      <c r="B696" s="460">
        <v>906</v>
      </c>
      <c r="C696" s="462" t="s">
        <v>264</v>
      </c>
      <c r="D696" s="462" t="s">
        <v>215</v>
      </c>
      <c r="E696" s="462" t="s">
        <v>1265</v>
      </c>
      <c r="F696" s="462" t="s">
        <v>275</v>
      </c>
      <c r="G696" s="467">
        <v>37056.300000000003</v>
      </c>
      <c r="H696" s="467">
        <f t="shared" si="56"/>
        <v>37056.300000000003</v>
      </c>
      <c r="I696" s="204"/>
    </row>
    <row r="697" spans="1:9" ht="47.25" x14ac:dyDescent="0.25">
      <c r="A697" s="464" t="s">
        <v>900</v>
      </c>
      <c r="B697" s="461">
        <v>906</v>
      </c>
      <c r="C697" s="465" t="s">
        <v>264</v>
      </c>
      <c r="D697" s="465" t="s">
        <v>215</v>
      </c>
      <c r="E697" s="465" t="s">
        <v>1237</v>
      </c>
      <c r="F697" s="465"/>
      <c r="G697" s="44">
        <f>G701+G704+G698</f>
        <v>2128.5</v>
      </c>
      <c r="H697" s="44">
        <f>H701+H704+H698</f>
        <v>2128.5</v>
      </c>
      <c r="I697" s="204"/>
    </row>
    <row r="698" spans="1:9" ht="94.5" x14ac:dyDescent="0.25">
      <c r="A698" s="31" t="s">
        <v>293</v>
      </c>
      <c r="B698" s="460">
        <v>906</v>
      </c>
      <c r="C698" s="462" t="s">
        <v>264</v>
      </c>
      <c r="D698" s="462" t="s">
        <v>215</v>
      </c>
      <c r="E698" s="462" t="s">
        <v>1401</v>
      </c>
      <c r="F698" s="462"/>
      <c r="G698" s="467">
        <f>G699</f>
        <v>1400</v>
      </c>
      <c r="H698" s="467">
        <f>H699</f>
        <v>1400</v>
      </c>
      <c r="I698" s="204"/>
    </row>
    <row r="699" spans="1:9" ht="31.5" x14ac:dyDescent="0.25">
      <c r="A699" s="466" t="s">
        <v>272</v>
      </c>
      <c r="B699" s="460">
        <v>906</v>
      </c>
      <c r="C699" s="462" t="s">
        <v>264</v>
      </c>
      <c r="D699" s="462" t="s">
        <v>215</v>
      </c>
      <c r="E699" s="462" t="s">
        <v>1401</v>
      </c>
      <c r="F699" s="462" t="s">
        <v>273</v>
      </c>
      <c r="G699" s="467">
        <f>G700</f>
        <v>1400</v>
      </c>
      <c r="H699" s="467">
        <f>H700</f>
        <v>1400</v>
      </c>
      <c r="I699" s="204"/>
    </row>
    <row r="700" spans="1:9" ht="15.75" x14ac:dyDescent="0.25">
      <c r="A700" s="466" t="s">
        <v>274</v>
      </c>
      <c r="B700" s="460">
        <v>906</v>
      </c>
      <c r="C700" s="462" t="s">
        <v>264</v>
      </c>
      <c r="D700" s="462" t="s">
        <v>215</v>
      </c>
      <c r="E700" s="462" t="s">
        <v>1401</v>
      </c>
      <c r="F700" s="462" t="s">
        <v>275</v>
      </c>
      <c r="G700" s="467">
        <v>1400</v>
      </c>
      <c r="H700" s="467">
        <f>G700</f>
        <v>1400</v>
      </c>
      <c r="I700" s="204"/>
    </row>
    <row r="701" spans="1:9" ht="63" x14ac:dyDescent="0.25">
      <c r="A701" s="31" t="s">
        <v>289</v>
      </c>
      <c r="B701" s="460">
        <v>906</v>
      </c>
      <c r="C701" s="462" t="s">
        <v>264</v>
      </c>
      <c r="D701" s="462" t="s">
        <v>215</v>
      </c>
      <c r="E701" s="462" t="s">
        <v>1238</v>
      </c>
      <c r="F701" s="462"/>
      <c r="G701" s="467">
        <f>G702</f>
        <v>179</v>
      </c>
      <c r="H701" s="467">
        <f>H702</f>
        <v>179</v>
      </c>
      <c r="I701" s="204"/>
    </row>
    <row r="702" spans="1:9" ht="31.5" x14ac:dyDescent="0.25">
      <c r="A702" s="466" t="s">
        <v>272</v>
      </c>
      <c r="B702" s="460">
        <v>906</v>
      </c>
      <c r="C702" s="462" t="s">
        <v>264</v>
      </c>
      <c r="D702" s="462" t="s">
        <v>215</v>
      </c>
      <c r="E702" s="462" t="s">
        <v>1238</v>
      </c>
      <c r="F702" s="462" t="s">
        <v>273</v>
      </c>
      <c r="G702" s="467">
        <f>G703</f>
        <v>179</v>
      </c>
      <c r="H702" s="467">
        <f>H703</f>
        <v>179</v>
      </c>
      <c r="I702" s="204"/>
    </row>
    <row r="703" spans="1:9" ht="15.75" x14ac:dyDescent="0.25">
      <c r="A703" s="466" t="s">
        <v>274</v>
      </c>
      <c r="B703" s="460">
        <v>906</v>
      </c>
      <c r="C703" s="462" t="s">
        <v>264</v>
      </c>
      <c r="D703" s="462" t="s">
        <v>215</v>
      </c>
      <c r="E703" s="462" t="s">
        <v>1238</v>
      </c>
      <c r="F703" s="462" t="s">
        <v>275</v>
      </c>
      <c r="G703" s="467">
        <v>179</v>
      </c>
      <c r="H703" s="467">
        <f t="shared" si="56"/>
        <v>179</v>
      </c>
      <c r="I703" s="204"/>
    </row>
    <row r="704" spans="1:9" ht="63" x14ac:dyDescent="0.25">
      <c r="A704" s="31" t="s">
        <v>291</v>
      </c>
      <c r="B704" s="460">
        <v>906</v>
      </c>
      <c r="C704" s="462" t="s">
        <v>264</v>
      </c>
      <c r="D704" s="462" t="s">
        <v>215</v>
      </c>
      <c r="E704" s="462" t="s">
        <v>1239</v>
      </c>
      <c r="F704" s="462"/>
      <c r="G704" s="467">
        <f>G705</f>
        <v>549.5</v>
      </c>
      <c r="H704" s="467">
        <f>H705</f>
        <v>549.5</v>
      </c>
      <c r="I704" s="204"/>
    </row>
    <row r="705" spans="1:9" ht="31.5" x14ac:dyDescent="0.25">
      <c r="A705" s="466" t="s">
        <v>272</v>
      </c>
      <c r="B705" s="460">
        <v>906</v>
      </c>
      <c r="C705" s="462" t="s">
        <v>264</v>
      </c>
      <c r="D705" s="462" t="s">
        <v>215</v>
      </c>
      <c r="E705" s="462" t="s">
        <v>1239</v>
      </c>
      <c r="F705" s="462" t="s">
        <v>273</v>
      </c>
      <c r="G705" s="467">
        <f>G706</f>
        <v>549.5</v>
      </c>
      <c r="H705" s="467">
        <f>H706</f>
        <v>549.5</v>
      </c>
      <c r="I705" s="204"/>
    </row>
    <row r="706" spans="1:9" ht="15.75" x14ac:dyDescent="0.25">
      <c r="A706" s="466" t="s">
        <v>274</v>
      </c>
      <c r="B706" s="460">
        <v>906</v>
      </c>
      <c r="C706" s="462" t="s">
        <v>264</v>
      </c>
      <c r="D706" s="462" t="s">
        <v>215</v>
      </c>
      <c r="E706" s="462" t="s">
        <v>1239</v>
      </c>
      <c r="F706" s="462" t="s">
        <v>275</v>
      </c>
      <c r="G706" s="467">
        <f>549.5</f>
        <v>549.5</v>
      </c>
      <c r="H706" s="467">
        <f t="shared" si="56"/>
        <v>549.5</v>
      </c>
      <c r="I706" s="204"/>
    </row>
    <row r="707" spans="1:9" ht="31.5" hidden="1" x14ac:dyDescent="0.25">
      <c r="A707" s="464" t="s">
        <v>941</v>
      </c>
      <c r="B707" s="461">
        <v>906</v>
      </c>
      <c r="C707" s="465" t="s">
        <v>264</v>
      </c>
      <c r="D707" s="465" t="s">
        <v>215</v>
      </c>
      <c r="E707" s="465" t="s">
        <v>1060</v>
      </c>
      <c r="F707" s="465"/>
      <c r="G707" s="44">
        <f>G708</f>
        <v>0</v>
      </c>
      <c r="H707" s="44">
        <f>H708</f>
        <v>0</v>
      </c>
      <c r="I707" s="204"/>
    </row>
    <row r="708" spans="1:9" ht="31.5" hidden="1" x14ac:dyDescent="0.25">
      <c r="A708" s="45" t="s">
        <v>766</v>
      </c>
      <c r="B708" s="460">
        <v>906</v>
      </c>
      <c r="C708" s="462" t="s">
        <v>264</v>
      </c>
      <c r="D708" s="462" t="s">
        <v>215</v>
      </c>
      <c r="E708" s="462" t="s">
        <v>1061</v>
      </c>
      <c r="F708" s="462"/>
      <c r="G708" s="467">
        <f>'[1]Пр.5 ведом.21'!G700</f>
        <v>0</v>
      </c>
      <c r="H708" s="467">
        <f t="shared" ref="H708:H770" si="65">G708</f>
        <v>0</v>
      </c>
      <c r="I708" s="204"/>
    </row>
    <row r="709" spans="1:9" ht="31.5" hidden="1" x14ac:dyDescent="0.25">
      <c r="A709" s="31" t="s">
        <v>272</v>
      </c>
      <c r="B709" s="460">
        <v>906</v>
      </c>
      <c r="C709" s="462" t="s">
        <v>264</v>
      </c>
      <c r="D709" s="462" t="s">
        <v>215</v>
      </c>
      <c r="E709" s="462" t="s">
        <v>1061</v>
      </c>
      <c r="F709" s="462" t="s">
        <v>273</v>
      </c>
      <c r="G709" s="467">
        <f>'[1]Пр.5 ведом.21'!G701</f>
        <v>0</v>
      </c>
      <c r="H709" s="467">
        <f t="shared" si="65"/>
        <v>0</v>
      </c>
      <c r="I709" s="204"/>
    </row>
    <row r="710" spans="1:9" ht="15.75" hidden="1" x14ac:dyDescent="0.25">
      <c r="A710" s="31" t="s">
        <v>274</v>
      </c>
      <c r="B710" s="460">
        <v>906</v>
      </c>
      <c r="C710" s="462" t="s">
        <v>264</v>
      </c>
      <c r="D710" s="462" t="s">
        <v>215</v>
      </c>
      <c r="E710" s="462" t="s">
        <v>1061</v>
      </c>
      <c r="F710" s="462" t="s">
        <v>275</v>
      </c>
      <c r="G710" s="467">
        <f>'[1]Пр.5 ведом.21'!G702</f>
        <v>0</v>
      </c>
      <c r="H710" s="467">
        <f t="shared" si="65"/>
        <v>0</v>
      </c>
      <c r="I710" s="204"/>
    </row>
    <row r="711" spans="1:9" ht="31.5" x14ac:dyDescent="0.25">
      <c r="A711" s="218" t="s">
        <v>948</v>
      </c>
      <c r="B711" s="461">
        <v>906</v>
      </c>
      <c r="C711" s="465" t="s">
        <v>264</v>
      </c>
      <c r="D711" s="465" t="s">
        <v>215</v>
      </c>
      <c r="E711" s="465" t="s">
        <v>1245</v>
      </c>
      <c r="F711" s="465"/>
      <c r="G711" s="44">
        <f t="shared" ref="G711:H713" si="66">G712</f>
        <v>1564</v>
      </c>
      <c r="H711" s="44">
        <f t="shared" si="66"/>
        <v>1564</v>
      </c>
      <c r="I711" s="204"/>
    </row>
    <row r="712" spans="1:9" ht="31.5" x14ac:dyDescent="0.25">
      <c r="A712" s="45" t="s">
        <v>764</v>
      </c>
      <c r="B712" s="460">
        <v>906</v>
      </c>
      <c r="C712" s="462" t="s">
        <v>264</v>
      </c>
      <c r="D712" s="462" t="s">
        <v>215</v>
      </c>
      <c r="E712" s="462" t="s">
        <v>1246</v>
      </c>
      <c r="F712" s="462"/>
      <c r="G712" s="467">
        <f t="shared" si="66"/>
        <v>1564</v>
      </c>
      <c r="H712" s="467">
        <f t="shared" si="66"/>
        <v>1564</v>
      </c>
      <c r="I712" s="204"/>
    </row>
    <row r="713" spans="1:9" ht="31.5" x14ac:dyDescent="0.25">
      <c r="A713" s="466" t="s">
        <v>272</v>
      </c>
      <c r="B713" s="460">
        <v>906</v>
      </c>
      <c r="C713" s="462" t="s">
        <v>264</v>
      </c>
      <c r="D713" s="462" t="s">
        <v>215</v>
      </c>
      <c r="E713" s="462" t="s">
        <v>1246</v>
      </c>
      <c r="F713" s="462" t="s">
        <v>273</v>
      </c>
      <c r="G713" s="467">
        <f t="shared" si="66"/>
        <v>1564</v>
      </c>
      <c r="H713" s="467">
        <f t="shared" si="66"/>
        <v>1564</v>
      </c>
      <c r="I713" s="204"/>
    </row>
    <row r="714" spans="1:9" ht="15.75" x14ac:dyDescent="0.25">
      <c r="A714" s="31" t="s">
        <v>274</v>
      </c>
      <c r="B714" s="460">
        <v>906</v>
      </c>
      <c r="C714" s="462" t="s">
        <v>264</v>
      </c>
      <c r="D714" s="462" t="s">
        <v>215</v>
      </c>
      <c r="E714" s="462" t="s">
        <v>1246</v>
      </c>
      <c r="F714" s="462" t="s">
        <v>275</v>
      </c>
      <c r="G714" s="467">
        <v>1564</v>
      </c>
      <c r="H714" s="467">
        <v>1564</v>
      </c>
      <c r="I714" s="204"/>
    </row>
    <row r="715" spans="1:9" ht="47.25" x14ac:dyDescent="0.25">
      <c r="A715" s="470" t="s">
        <v>1361</v>
      </c>
      <c r="B715" s="461">
        <v>906</v>
      </c>
      <c r="C715" s="465" t="s">
        <v>264</v>
      </c>
      <c r="D715" s="465" t="s">
        <v>215</v>
      </c>
      <c r="E715" s="465" t="s">
        <v>705</v>
      </c>
      <c r="F715" s="474"/>
      <c r="G715" s="44">
        <f>G717</f>
        <v>302.7</v>
      </c>
      <c r="H715" s="44">
        <f>H717</f>
        <v>314.89999999999998</v>
      </c>
      <c r="I715" s="204"/>
    </row>
    <row r="716" spans="1:9" ht="47.25" x14ac:dyDescent="0.25">
      <c r="A716" s="470" t="s">
        <v>890</v>
      </c>
      <c r="B716" s="461">
        <v>906</v>
      </c>
      <c r="C716" s="465" t="s">
        <v>264</v>
      </c>
      <c r="D716" s="465" t="s">
        <v>942</v>
      </c>
      <c r="E716" s="465" t="s">
        <v>888</v>
      </c>
      <c r="F716" s="474"/>
      <c r="G716" s="44">
        <f t="shared" ref="G716:H718" si="67">G717</f>
        <v>302.7</v>
      </c>
      <c r="H716" s="44">
        <f t="shared" si="67"/>
        <v>314.89999999999998</v>
      </c>
      <c r="I716" s="204"/>
    </row>
    <row r="717" spans="1:9" ht="47.25" x14ac:dyDescent="0.25">
      <c r="A717" s="98" t="s">
        <v>780</v>
      </c>
      <c r="B717" s="460">
        <v>906</v>
      </c>
      <c r="C717" s="462" t="s">
        <v>264</v>
      </c>
      <c r="D717" s="462" t="s">
        <v>215</v>
      </c>
      <c r="E717" s="462" t="s">
        <v>936</v>
      </c>
      <c r="F717" s="468"/>
      <c r="G717" s="467">
        <f t="shared" si="67"/>
        <v>302.7</v>
      </c>
      <c r="H717" s="467">
        <f t="shared" si="67"/>
        <v>314.89999999999998</v>
      </c>
      <c r="I717" s="204"/>
    </row>
    <row r="718" spans="1:9" ht="31.5" x14ac:dyDescent="0.25">
      <c r="A718" s="29" t="s">
        <v>272</v>
      </c>
      <c r="B718" s="460">
        <v>906</v>
      </c>
      <c r="C718" s="462" t="s">
        <v>264</v>
      </c>
      <c r="D718" s="462" t="s">
        <v>215</v>
      </c>
      <c r="E718" s="462" t="s">
        <v>936</v>
      </c>
      <c r="F718" s="468" t="s">
        <v>273</v>
      </c>
      <c r="G718" s="467">
        <f t="shared" si="67"/>
        <v>302.7</v>
      </c>
      <c r="H718" s="467">
        <f t="shared" si="67"/>
        <v>314.89999999999998</v>
      </c>
      <c r="I718" s="204"/>
    </row>
    <row r="719" spans="1:9" ht="15.75" x14ac:dyDescent="0.25">
      <c r="A719" s="182" t="s">
        <v>274</v>
      </c>
      <c r="B719" s="460">
        <v>906</v>
      </c>
      <c r="C719" s="462" t="s">
        <v>264</v>
      </c>
      <c r="D719" s="462" t="s">
        <v>215</v>
      </c>
      <c r="E719" s="462" t="s">
        <v>936</v>
      </c>
      <c r="F719" s="468" t="s">
        <v>275</v>
      </c>
      <c r="G719" s="467">
        <v>302.7</v>
      </c>
      <c r="H719" s="467">
        <v>314.89999999999998</v>
      </c>
      <c r="I719" s="204"/>
    </row>
    <row r="720" spans="1:9" ht="15.75" x14ac:dyDescent="0.25">
      <c r="A720" s="464" t="s">
        <v>466</v>
      </c>
      <c r="B720" s="461">
        <v>906</v>
      </c>
      <c r="C720" s="465" t="s">
        <v>264</v>
      </c>
      <c r="D720" s="465" t="s">
        <v>264</v>
      </c>
      <c r="E720" s="465"/>
      <c r="F720" s="465"/>
      <c r="G720" s="463">
        <f>G721</f>
        <v>5745.1</v>
      </c>
      <c r="H720" s="463">
        <f>H721</f>
        <v>5745.1</v>
      </c>
      <c r="I720" s="204"/>
    </row>
    <row r="721" spans="1:9" ht="31.5" x14ac:dyDescent="0.25">
      <c r="A721" s="464" t="s">
        <v>1369</v>
      </c>
      <c r="B721" s="461">
        <v>906</v>
      </c>
      <c r="C721" s="465" t="s">
        <v>264</v>
      </c>
      <c r="D721" s="465" t="s">
        <v>264</v>
      </c>
      <c r="E721" s="465" t="s">
        <v>406</v>
      </c>
      <c r="F721" s="465"/>
      <c r="G721" s="463">
        <f>G722</f>
        <v>5745.1</v>
      </c>
      <c r="H721" s="463">
        <f>H722</f>
        <v>5745.1</v>
      </c>
      <c r="I721" s="204"/>
    </row>
    <row r="722" spans="1:9" ht="31.5" x14ac:dyDescent="0.25">
      <c r="A722" s="464" t="s">
        <v>943</v>
      </c>
      <c r="B722" s="461">
        <v>906</v>
      </c>
      <c r="C722" s="465" t="s">
        <v>264</v>
      </c>
      <c r="D722" s="465" t="s">
        <v>264</v>
      </c>
      <c r="E722" s="465" t="s">
        <v>1244</v>
      </c>
      <c r="F722" s="465"/>
      <c r="G722" s="463">
        <f>G723+G726</f>
        <v>5745.1</v>
      </c>
      <c r="H722" s="463">
        <f>H723+H726</f>
        <v>5745.1</v>
      </c>
      <c r="I722" s="204"/>
    </row>
    <row r="723" spans="1:9" ht="31.5" x14ac:dyDescent="0.25">
      <c r="A723" s="31" t="s">
        <v>1062</v>
      </c>
      <c r="B723" s="460">
        <v>906</v>
      </c>
      <c r="C723" s="462" t="s">
        <v>264</v>
      </c>
      <c r="D723" s="462" t="s">
        <v>264</v>
      </c>
      <c r="E723" s="462" t="s">
        <v>1266</v>
      </c>
      <c r="F723" s="462"/>
      <c r="G723" s="467">
        <f>G724</f>
        <v>5745.1</v>
      </c>
      <c r="H723" s="467">
        <f>H724</f>
        <v>5745.1</v>
      </c>
      <c r="I723" s="204"/>
    </row>
    <row r="724" spans="1:9" ht="31.5" x14ac:dyDescent="0.25">
      <c r="A724" s="466" t="s">
        <v>272</v>
      </c>
      <c r="B724" s="460">
        <v>906</v>
      </c>
      <c r="C724" s="462" t="s">
        <v>264</v>
      </c>
      <c r="D724" s="462" t="s">
        <v>264</v>
      </c>
      <c r="E724" s="462" t="s">
        <v>1266</v>
      </c>
      <c r="F724" s="462" t="s">
        <v>273</v>
      </c>
      <c r="G724" s="467">
        <f>G725</f>
        <v>5745.1</v>
      </c>
      <c r="H724" s="467">
        <f>H725</f>
        <v>5745.1</v>
      </c>
      <c r="I724" s="204"/>
    </row>
    <row r="725" spans="1:9" ht="15.75" x14ac:dyDescent="0.25">
      <c r="A725" s="466" t="s">
        <v>274</v>
      </c>
      <c r="B725" s="460">
        <v>906</v>
      </c>
      <c r="C725" s="462" t="s">
        <v>264</v>
      </c>
      <c r="D725" s="462" t="s">
        <v>264</v>
      </c>
      <c r="E725" s="462" t="s">
        <v>1266</v>
      </c>
      <c r="F725" s="462" t="s">
        <v>275</v>
      </c>
      <c r="G725" s="467">
        <v>5745.1</v>
      </c>
      <c r="H725" s="467">
        <v>5745.1</v>
      </c>
      <c r="I725" s="204"/>
    </row>
    <row r="726" spans="1:9" ht="31.5" hidden="1" x14ac:dyDescent="0.25">
      <c r="A726" s="31" t="s">
        <v>1187</v>
      </c>
      <c r="B726" s="460">
        <v>906</v>
      </c>
      <c r="C726" s="462" t="s">
        <v>264</v>
      </c>
      <c r="D726" s="462" t="s">
        <v>264</v>
      </c>
      <c r="E726" s="462" t="s">
        <v>1267</v>
      </c>
      <c r="F726" s="462"/>
      <c r="G726" s="467">
        <f>G727</f>
        <v>0</v>
      </c>
      <c r="H726" s="467">
        <f>H727</f>
        <v>0</v>
      </c>
      <c r="I726" s="204"/>
    </row>
    <row r="727" spans="1:9" ht="31.5" hidden="1" x14ac:dyDescent="0.25">
      <c r="A727" s="466" t="s">
        <v>272</v>
      </c>
      <c r="B727" s="460">
        <v>906</v>
      </c>
      <c r="C727" s="462" t="s">
        <v>264</v>
      </c>
      <c r="D727" s="462" t="s">
        <v>264</v>
      </c>
      <c r="E727" s="462" t="s">
        <v>1267</v>
      </c>
      <c r="F727" s="462" t="s">
        <v>273</v>
      </c>
      <c r="G727" s="467">
        <f>G728</f>
        <v>0</v>
      </c>
      <c r="H727" s="467">
        <f>H728</f>
        <v>0</v>
      </c>
      <c r="I727" s="204"/>
    </row>
    <row r="728" spans="1:9" ht="15.75" hidden="1" x14ac:dyDescent="0.25">
      <c r="A728" s="466" t="s">
        <v>274</v>
      </c>
      <c r="B728" s="460">
        <v>906</v>
      </c>
      <c r="C728" s="462" t="s">
        <v>264</v>
      </c>
      <c r="D728" s="462" t="s">
        <v>264</v>
      </c>
      <c r="E728" s="462" t="s">
        <v>1267</v>
      </c>
      <c r="F728" s="462" t="s">
        <v>275</v>
      </c>
      <c r="G728" s="467">
        <v>0</v>
      </c>
      <c r="H728" s="467">
        <v>0</v>
      </c>
      <c r="I728" s="204"/>
    </row>
    <row r="729" spans="1:9" ht="15.75" x14ac:dyDescent="0.25">
      <c r="A729" s="464" t="s">
        <v>295</v>
      </c>
      <c r="B729" s="461">
        <v>906</v>
      </c>
      <c r="C729" s="465" t="s">
        <v>264</v>
      </c>
      <c r="D729" s="465" t="s">
        <v>219</v>
      </c>
      <c r="E729" s="465"/>
      <c r="F729" s="465"/>
      <c r="G729" s="463">
        <f>G730+G740</f>
        <v>19831.8</v>
      </c>
      <c r="H729" s="463">
        <f>H730+H740</f>
        <v>19831.8</v>
      </c>
      <c r="I729" s="204"/>
    </row>
    <row r="730" spans="1:9" ht="44.1" customHeight="1" x14ac:dyDescent="0.25">
      <c r="A730" s="464" t="s">
        <v>917</v>
      </c>
      <c r="B730" s="461">
        <v>906</v>
      </c>
      <c r="C730" s="465" t="s">
        <v>264</v>
      </c>
      <c r="D730" s="465" t="s">
        <v>219</v>
      </c>
      <c r="E730" s="465" t="s">
        <v>858</v>
      </c>
      <c r="F730" s="465"/>
      <c r="G730" s="463">
        <f>G731</f>
        <v>6048.7</v>
      </c>
      <c r="H730" s="463">
        <f>H731</f>
        <v>6048.7</v>
      </c>
      <c r="I730" s="204"/>
    </row>
    <row r="731" spans="1:9" ht="15.75" x14ac:dyDescent="0.25">
      <c r="A731" s="464" t="s">
        <v>918</v>
      </c>
      <c r="B731" s="461">
        <v>906</v>
      </c>
      <c r="C731" s="465" t="s">
        <v>264</v>
      </c>
      <c r="D731" s="465" t="s">
        <v>219</v>
      </c>
      <c r="E731" s="465" t="s">
        <v>859</v>
      </c>
      <c r="F731" s="465"/>
      <c r="G731" s="463">
        <f>G732+G737</f>
        <v>6048.7</v>
      </c>
      <c r="H731" s="463">
        <f>H732+H737</f>
        <v>6048.7</v>
      </c>
      <c r="I731" s="204"/>
    </row>
    <row r="732" spans="1:9" ht="31.5" x14ac:dyDescent="0.25">
      <c r="A732" s="466" t="s">
        <v>897</v>
      </c>
      <c r="B732" s="460">
        <v>906</v>
      </c>
      <c r="C732" s="462" t="s">
        <v>264</v>
      </c>
      <c r="D732" s="462" t="s">
        <v>219</v>
      </c>
      <c r="E732" s="462" t="s">
        <v>860</v>
      </c>
      <c r="F732" s="462"/>
      <c r="G732" s="467">
        <f>G733+G735</f>
        <v>5922.7</v>
      </c>
      <c r="H732" s="467">
        <f>H733+H735</f>
        <v>5922.7</v>
      </c>
      <c r="I732" s="204"/>
    </row>
    <row r="733" spans="1:9" ht="78.75" x14ac:dyDescent="0.25">
      <c r="A733" s="466" t="s">
        <v>127</v>
      </c>
      <c r="B733" s="460">
        <v>906</v>
      </c>
      <c r="C733" s="462" t="s">
        <v>264</v>
      </c>
      <c r="D733" s="462" t="s">
        <v>219</v>
      </c>
      <c r="E733" s="462" t="s">
        <v>860</v>
      </c>
      <c r="F733" s="462" t="s">
        <v>128</v>
      </c>
      <c r="G733" s="467">
        <f>G734</f>
        <v>5710.7</v>
      </c>
      <c r="H733" s="467">
        <f>H734</f>
        <v>5710.7</v>
      </c>
      <c r="I733" s="204"/>
    </row>
    <row r="734" spans="1:9" ht="31.5" x14ac:dyDescent="0.25">
      <c r="A734" s="466" t="s">
        <v>129</v>
      </c>
      <c r="B734" s="460">
        <v>906</v>
      </c>
      <c r="C734" s="462" t="s">
        <v>264</v>
      </c>
      <c r="D734" s="462" t="s">
        <v>219</v>
      </c>
      <c r="E734" s="462" t="s">
        <v>860</v>
      </c>
      <c r="F734" s="462" t="s">
        <v>130</v>
      </c>
      <c r="G734" s="467">
        <v>5710.7</v>
      </c>
      <c r="H734" s="467">
        <f t="shared" si="65"/>
        <v>5710.7</v>
      </c>
      <c r="I734" s="204"/>
    </row>
    <row r="735" spans="1:9" ht="31.5" x14ac:dyDescent="0.25">
      <c r="A735" s="466" t="s">
        <v>131</v>
      </c>
      <c r="B735" s="460">
        <v>906</v>
      </c>
      <c r="C735" s="462" t="s">
        <v>264</v>
      </c>
      <c r="D735" s="462" t="s">
        <v>219</v>
      </c>
      <c r="E735" s="462" t="s">
        <v>860</v>
      </c>
      <c r="F735" s="462" t="s">
        <v>132</v>
      </c>
      <c r="G735" s="467">
        <f>G736</f>
        <v>212</v>
      </c>
      <c r="H735" s="467">
        <f>H736</f>
        <v>212</v>
      </c>
      <c r="I735" s="204"/>
    </row>
    <row r="736" spans="1:9" ht="31.5" x14ac:dyDescent="0.25">
      <c r="A736" s="466" t="s">
        <v>133</v>
      </c>
      <c r="B736" s="460">
        <v>906</v>
      </c>
      <c r="C736" s="462" t="s">
        <v>264</v>
      </c>
      <c r="D736" s="462" t="s">
        <v>219</v>
      </c>
      <c r="E736" s="462" t="s">
        <v>860</v>
      </c>
      <c r="F736" s="462" t="s">
        <v>134</v>
      </c>
      <c r="G736" s="467">
        <f>212</f>
        <v>212</v>
      </c>
      <c r="H736" s="467">
        <f t="shared" si="65"/>
        <v>212</v>
      </c>
      <c r="I736" s="204"/>
    </row>
    <row r="737" spans="1:9" ht="47.25" x14ac:dyDescent="0.25">
      <c r="A737" s="466" t="s">
        <v>839</v>
      </c>
      <c r="B737" s="460">
        <v>906</v>
      </c>
      <c r="C737" s="462" t="s">
        <v>264</v>
      </c>
      <c r="D737" s="462" t="s">
        <v>219</v>
      </c>
      <c r="E737" s="462" t="s">
        <v>862</v>
      </c>
      <c r="F737" s="462"/>
      <c r="G737" s="467">
        <f>G738</f>
        <v>126</v>
      </c>
      <c r="H737" s="467">
        <f>H738</f>
        <v>126</v>
      </c>
      <c r="I737" s="204"/>
    </row>
    <row r="738" spans="1:9" ht="78.75" x14ac:dyDescent="0.25">
      <c r="A738" s="466" t="s">
        <v>127</v>
      </c>
      <c r="B738" s="460">
        <v>906</v>
      </c>
      <c r="C738" s="462" t="s">
        <v>264</v>
      </c>
      <c r="D738" s="462" t="s">
        <v>219</v>
      </c>
      <c r="E738" s="462" t="s">
        <v>862</v>
      </c>
      <c r="F738" s="462" t="s">
        <v>128</v>
      </c>
      <c r="G738" s="467">
        <f>G739</f>
        <v>126</v>
      </c>
      <c r="H738" s="467">
        <f>H739</f>
        <v>126</v>
      </c>
      <c r="I738" s="204"/>
    </row>
    <row r="739" spans="1:9" ht="31.5" x14ac:dyDescent="0.25">
      <c r="A739" s="466" t="s">
        <v>129</v>
      </c>
      <c r="B739" s="460">
        <v>906</v>
      </c>
      <c r="C739" s="462" t="s">
        <v>264</v>
      </c>
      <c r="D739" s="462" t="s">
        <v>219</v>
      </c>
      <c r="E739" s="462" t="s">
        <v>862</v>
      </c>
      <c r="F739" s="462" t="s">
        <v>130</v>
      </c>
      <c r="G739" s="467">
        <f>126</f>
        <v>126</v>
      </c>
      <c r="H739" s="467">
        <f t="shared" si="65"/>
        <v>126</v>
      </c>
      <c r="I739" s="204"/>
    </row>
    <row r="740" spans="1:9" ht="15.75" x14ac:dyDescent="0.25">
      <c r="A740" s="464" t="s">
        <v>141</v>
      </c>
      <c r="B740" s="461">
        <v>906</v>
      </c>
      <c r="C740" s="465" t="s">
        <v>264</v>
      </c>
      <c r="D740" s="465" t="s">
        <v>219</v>
      </c>
      <c r="E740" s="465" t="s">
        <v>866</v>
      </c>
      <c r="F740" s="465"/>
      <c r="G740" s="463">
        <f>G741+G745</f>
        <v>13783.1</v>
      </c>
      <c r="H740" s="463">
        <f>H741+H745</f>
        <v>13783.1</v>
      </c>
      <c r="I740" s="204"/>
    </row>
    <row r="741" spans="1:9" ht="31.5" x14ac:dyDescent="0.25">
      <c r="A741" s="464" t="s">
        <v>870</v>
      </c>
      <c r="B741" s="461">
        <v>906</v>
      </c>
      <c r="C741" s="465" t="s">
        <v>264</v>
      </c>
      <c r="D741" s="465" t="s">
        <v>219</v>
      </c>
      <c r="E741" s="465" t="s">
        <v>865</v>
      </c>
      <c r="F741" s="465"/>
      <c r="G741" s="463">
        <f t="shared" ref="G741:H743" si="68">G742</f>
        <v>300</v>
      </c>
      <c r="H741" s="463">
        <f t="shared" si="68"/>
        <v>300</v>
      </c>
      <c r="I741" s="204"/>
    </row>
    <row r="742" spans="1:9" ht="15.75" x14ac:dyDescent="0.25">
      <c r="A742" s="466" t="s">
        <v>478</v>
      </c>
      <c r="B742" s="460">
        <v>906</v>
      </c>
      <c r="C742" s="462" t="s">
        <v>264</v>
      </c>
      <c r="D742" s="462" t="s">
        <v>219</v>
      </c>
      <c r="E742" s="462" t="s">
        <v>944</v>
      </c>
      <c r="F742" s="462"/>
      <c r="G742" s="467">
        <f t="shared" si="68"/>
        <v>300</v>
      </c>
      <c r="H742" s="467">
        <f t="shared" si="68"/>
        <v>300</v>
      </c>
      <c r="I742" s="204"/>
    </row>
    <row r="743" spans="1:9" ht="31.5" x14ac:dyDescent="0.25">
      <c r="A743" s="466" t="s">
        <v>131</v>
      </c>
      <c r="B743" s="460">
        <v>906</v>
      </c>
      <c r="C743" s="462" t="s">
        <v>264</v>
      </c>
      <c r="D743" s="462" t="s">
        <v>219</v>
      </c>
      <c r="E743" s="462" t="s">
        <v>944</v>
      </c>
      <c r="F743" s="462" t="s">
        <v>132</v>
      </c>
      <c r="G743" s="467">
        <f t="shared" si="68"/>
        <v>300</v>
      </c>
      <c r="H743" s="467">
        <f t="shared" si="68"/>
        <v>300</v>
      </c>
      <c r="I743" s="204"/>
    </row>
    <row r="744" spans="1:9" ht="33.950000000000003" customHeight="1" x14ac:dyDescent="0.25">
      <c r="A744" s="466" t="s">
        <v>133</v>
      </c>
      <c r="B744" s="460">
        <v>906</v>
      </c>
      <c r="C744" s="462" t="s">
        <v>264</v>
      </c>
      <c r="D744" s="462" t="s">
        <v>219</v>
      </c>
      <c r="E744" s="462" t="s">
        <v>944</v>
      </c>
      <c r="F744" s="462" t="s">
        <v>134</v>
      </c>
      <c r="G744" s="467">
        <v>300</v>
      </c>
      <c r="H744" s="467">
        <f t="shared" si="65"/>
        <v>300</v>
      </c>
      <c r="I744" s="204"/>
    </row>
    <row r="745" spans="1:9" ht="31.5" x14ac:dyDescent="0.25">
      <c r="A745" s="464" t="s">
        <v>929</v>
      </c>
      <c r="B745" s="461">
        <v>906</v>
      </c>
      <c r="C745" s="465" t="s">
        <v>264</v>
      </c>
      <c r="D745" s="465" t="s">
        <v>219</v>
      </c>
      <c r="E745" s="465" t="s">
        <v>914</v>
      </c>
      <c r="F745" s="465"/>
      <c r="G745" s="463">
        <f>G746+G753</f>
        <v>13483.1</v>
      </c>
      <c r="H745" s="463">
        <f>H746+H753</f>
        <v>13483.1</v>
      </c>
      <c r="I745" s="204"/>
    </row>
    <row r="746" spans="1:9" ht="31.5" x14ac:dyDescent="0.25">
      <c r="A746" s="466" t="s">
        <v>1087</v>
      </c>
      <c r="B746" s="460">
        <v>906</v>
      </c>
      <c r="C746" s="462" t="s">
        <v>264</v>
      </c>
      <c r="D746" s="462" t="s">
        <v>219</v>
      </c>
      <c r="E746" s="462" t="s">
        <v>915</v>
      </c>
      <c r="F746" s="462"/>
      <c r="G746" s="467">
        <f>G747+G749+G751</f>
        <v>12977.1</v>
      </c>
      <c r="H746" s="467">
        <f>H747+H749+H751</f>
        <v>12977.1</v>
      </c>
      <c r="I746" s="204"/>
    </row>
    <row r="747" spans="1:9" ht="78.75" x14ac:dyDescent="0.25">
      <c r="A747" s="466" t="s">
        <v>127</v>
      </c>
      <c r="B747" s="460">
        <v>906</v>
      </c>
      <c r="C747" s="462" t="s">
        <v>264</v>
      </c>
      <c r="D747" s="462" t="s">
        <v>219</v>
      </c>
      <c r="E747" s="462" t="s">
        <v>915</v>
      </c>
      <c r="F747" s="462" t="s">
        <v>128</v>
      </c>
      <c r="G747" s="467">
        <f>G748</f>
        <v>11885.1</v>
      </c>
      <c r="H747" s="467">
        <f t="shared" si="65"/>
        <v>11885.1</v>
      </c>
      <c r="I747" s="204"/>
    </row>
    <row r="748" spans="1:9" ht="31.5" x14ac:dyDescent="0.25">
      <c r="A748" s="466" t="s">
        <v>342</v>
      </c>
      <c r="B748" s="460">
        <v>906</v>
      </c>
      <c r="C748" s="462" t="s">
        <v>264</v>
      </c>
      <c r="D748" s="462" t="s">
        <v>219</v>
      </c>
      <c r="E748" s="462" t="s">
        <v>915</v>
      </c>
      <c r="F748" s="462" t="s">
        <v>209</v>
      </c>
      <c r="G748" s="467">
        <v>11885.1</v>
      </c>
      <c r="H748" s="467">
        <f t="shared" si="65"/>
        <v>11885.1</v>
      </c>
      <c r="I748" s="204"/>
    </row>
    <row r="749" spans="1:9" ht="31.5" x14ac:dyDescent="0.25">
      <c r="A749" s="466" t="s">
        <v>131</v>
      </c>
      <c r="B749" s="460">
        <v>906</v>
      </c>
      <c r="C749" s="462" t="s">
        <v>264</v>
      </c>
      <c r="D749" s="462" t="s">
        <v>219</v>
      </c>
      <c r="E749" s="462" t="s">
        <v>915</v>
      </c>
      <c r="F749" s="462" t="s">
        <v>132</v>
      </c>
      <c r="G749" s="467">
        <f>G750</f>
        <v>1077</v>
      </c>
      <c r="H749" s="467">
        <f t="shared" si="65"/>
        <v>1077</v>
      </c>
      <c r="I749" s="204"/>
    </row>
    <row r="750" spans="1:9" ht="31.5" x14ac:dyDescent="0.25">
      <c r="A750" s="466" t="s">
        <v>133</v>
      </c>
      <c r="B750" s="460">
        <v>906</v>
      </c>
      <c r="C750" s="462" t="s">
        <v>264</v>
      </c>
      <c r="D750" s="462" t="s">
        <v>219</v>
      </c>
      <c r="E750" s="462" t="s">
        <v>915</v>
      </c>
      <c r="F750" s="462" t="s">
        <v>134</v>
      </c>
      <c r="G750" s="467">
        <f>1077</f>
        <v>1077</v>
      </c>
      <c r="H750" s="467">
        <f t="shared" si="65"/>
        <v>1077</v>
      </c>
      <c r="I750" s="204"/>
    </row>
    <row r="751" spans="1:9" ht="15.75" x14ac:dyDescent="0.25">
      <c r="A751" s="466" t="s">
        <v>135</v>
      </c>
      <c r="B751" s="460">
        <v>906</v>
      </c>
      <c r="C751" s="462" t="s">
        <v>264</v>
      </c>
      <c r="D751" s="462" t="s">
        <v>219</v>
      </c>
      <c r="E751" s="462" t="s">
        <v>915</v>
      </c>
      <c r="F751" s="462" t="s">
        <v>145</v>
      </c>
      <c r="G751" s="467">
        <f>G752</f>
        <v>15</v>
      </c>
      <c r="H751" s="467">
        <f t="shared" si="65"/>
        <v>15</v>
      </c>
      <c r="I751" s="204"/>
    </row>
    <row r="752" spans="1:9" ht="15.75" x14ac:dyDescent="0.25">
      <c r="A752" s="466" t="s">
        <v>568</v>
      </c>
      <c r="B752" s="460">
        <v>906</v>
      </c>
      <c r="C752" s="462" t="s">
        <v>264</v>
      </c>
      <c r="D752" s="462" t="s">
        <v>219</v>
      </c>
      <c r="E752" s="462" t="s">
        <v>915</v>
      </c>
      <c r="F752" s="462" t="s">
        <v>138</v>
      </c>
      <c r="G752" s="467">
        <f>15</f>
        <v>15</v>
      </c>
      <c r="H752" s="467">
        <f t="shared" si="65"/>
        <v>15</v>
      </c>
      <c r="I752" s="204"/>
    </row>
    <row r="753" spans="1:9" ht="47.25" x14ac:dyDescent="0.25">
      <c r="A753" s="466" t="s">
        <v>839</v>
      </c>
      <c r="B753" s="460">
        <v>906</v>
      </c>
      <c r="C753" s="462" t="s">
        <v>264</v>
      </c>
      <c r="D753" s="462" t="s">
        <v>219</v>
      </c>
      <c r="E753" s="462" t="s">
        <v>916</v>
      </c>
      <c r="F753" s="462"/>
      <c r="G753" s="467">
        <f>G754</f>
        <v>506</v>
      </c>
      <c r="H753" s="467">
        <f>H754</f>
        <v>506</v>
      </c>
      <c r="I753" s="204"/>
    </row>
    <row r="754" spans="1:9" ht="78.75" x14ac:dyDescent="0.25">
      <c r="A754" s="466" t="s">
        <v>127</v>
      </c>
      <c r="B754" s="460">
        <v>906</v>
      </c>
      <c r="C754" s="462" t="s">
        <v>264</v>
      </c>
      <c r="D754" s="462" t="s">
        <v>219</v>
      </c>
      <c r="E754" s="462" t="s">
        <v>916</v>
      </c>
      <c r="F754" s="462" t="s">
        <v>128</v>
      </c>
      <c r="G754" s="467">
        <f>G755</f>
        <v>506</v>
      </c>
      <c r="H754" s="467">
        <f>H755</f>
        <v>506</v>
      </c>
      <c r="I754" s="204"/>
    </row>
    <row r="755" spans="1:9" ht="31.5" x14ac:dyDescent="0.25">
      <c r="A755" s="466" t="s">
        <v>342</v>
      </c>
      <c r="B755" s="460">
        <v>906</v>
      </c>
      <c r="C755" s="462" t="s">
        <v>264</v>
      </c>
      <c r="D755" s="462" t="s">
        <v>219</v>
      </c>
      <c r="E755" s="462" t="s">
        <v>916</v>
      </c>
      <c r="F755" s="462" t="s">
        <v>209</v>
      </c>
      <c r="G755" s="467">
        <v>506</v>
      </c>
      <c r="H755" s="467">
        <v>506</v>
      </c>
      <c r="I755" s="204"/>
    </row>
    <row r="756" spans="1:9" ht="31.5" x14ac:dyDescent="0.25">
      <c r="A756" s="461" t="s">
        <v>1379</v>
      </c>
      <c r="B756" s="461">
        <v>907</v>
      </c>
      <c r="C756" s="462"/>
      <c r="D756" s="462"/>
      <c r="E756" s="462"/>
      <c r="F756" s="462"/>
      <c r="G756" s="463">
        <f>G764+G757</f>
        <v>64081.399999999994</v>
      </c>
      <c r="H756" s="463">
        <f>H764+H757</f>
        <v>64012.600000000006</v>
      </c>
      <c r="I756" s="204"/>
    </row>
    <row r="757" spans="1:9" ht="15.75" x14ac:dyDescent="0.25">
      <c r="A757" s="464" t="s">
        <v>117</v>
      </c>
      <c r="B757" s="461">
        <v>907</v>
      </c>
      <c r="C757" s="465" t="s">
        <v>118</v>
      </c>
      <c r="D757" s="465"/>
      <c r="E757" s="465"/>
      <c r="F757" s="465"/>
      <c r="G757" s="463">
        <f t="shared" ref="G757:H762" si="69">G758</f>
        <v>100</v>
      </c>
      <c r="H757" s="463">
        <f t="shared" si="69"/>
        <v>0</v>
      </c>
      <c r="I757" s="204"/>
    </row>
    <row r="758" spans="1:9" ht="15.75" x14ac:dyDescent="0.25">
      <c r="A758" s="34" t="s">
        <v>139</v>
      </c>
      <c r="B758" s="461">
        <v>907</v>
      </c>
      <c r="C758" s="465" t="s">
        <v>118</v>
      </c>
      <c r="D758" s="465" t="s">
        <v>140</v>
      </c>
      <c r="E758" s="465"/>
      <c r="F758" s="465"/>
      <c r="G758" s="463">
        <f t="shared" si="69"/>
        <v>100</v>
      </c>
      <c r="H758" s="463">
        <f t="shared" si="69"/>
        <v>0</v>
      </c>
      <c r="I758" s="204"/>
    </row>
    <row r="759" spans="1:9" ht="47.25" x14ac:dyDescent="0.25">
      <c r="A759" s="464" t="s">
        <v>1360</v>
      </c>
      <c r="B759" s="461">
        <v>907</v>
      </c>
      <c r="C759" s="465" t="s">
        <v>118</v>
      </c>
      <c r="D759" s="465" t="s">
        <v>140</v>
      </c>
      <c r="E759" s="465" t="s">
        <v>335</v>
      </c>
      <c r="F759" s="465"/>
      <c r="G759" s="463">
        <f t="shared" si="69"/>
        <v>100</v>
      </c>
      <c r="H759" s="463">
        <f t="shared" si="69"/>
        <v>0</v>
      </c>
      <c r="I759" s="204"/>
    </row>
    <row r="760" spans="1:9" ht="31.5" x14ac:dyDescent="0.25">
      <c r="A760" s="212" t="s">
        <v>1052</v>
      </c>
      <c r="B760" s="461">
        <v>907</v>
      </c>
      <c r="C760" s="465" t="s">
        <v>118</v>
      </c>
      <c r="D760" s="465" t="s">
        <v>140</v>
      </c>
      <c r="E760" s="465" t="s">
        <v>1053</v>
      </c>
      <c r="F760" s="465"/>
      <c r="G760" s="463">
        <f t="shared" si="69"/>
        <v>100</v>
      </c>
      <c r="H760" s="463">
        <f t="shared" si="69"/>
        <v>0</v>
      </c>
      <c r="I760" s="204"/>
    </row>
    <row r="761" spans="1:9" ht="31.5" x14ac:dyDescent="0.25">
      <c r="A761" s="97" t="s">
        <v>336</v>
      </c>
      <c r="B761" s="460">
        <v>907</v>
      </c>
      <c r="C761" s="462" t="s">
        <v>118</v>
      </c>
      <c r="D761" s="462" t="s">
        <v>140</v>
      </c>
      <c r="E761" s="462" t="s">
        <v>1054</v>
      </c>
      <c r="F761" s="462"/>
      <c r="G761" s="467">
        <f t="shared" si="69"/>
        <v>100</v>
      </c>
      <c r="H761" s="467">
        <f t="shared" si="69"/>
        <v>0</v>
      </c>
      <c r="I761" s="204"/>
    </row>
    <row r="762" spans="1:9" ht="31.5" x14ac:dyDescent="0.25">
      <c r="A762" s="466" t="s">
        <v>131</v>
      </c>
      <c r="B762" s="460">
        <v>907</v>
      </c>
      <c r="C762" s="462" t="s">
        <v>118</v>
      </c>
      <c r="D762" s="462" t="s">
        <v>140</v>
      </c>
      <c r="E762" s="462" t="s">
        <v>1054</v>
      </c>
      <c r="F762" s="462" t="s">
        <v>132</v>
      </c>
      <c r="G762" s="467">
        <f t="shared" si="69"/>
        <v>100</v>
      </c>
      <c r="H762" s="467">
        <f t="shared" si="69"/>
        <v>0</v>
      </c>
      <c r="I762" s="204"/>
    </row>
    <row r="763" spans="1:9" ht="31.5" x14ac:dyDescent="0.25">
      <c r="A763" s="466" t="s">
        <v>133</v>
      </c>
      <c r="B763" s="460">
        <v>907</v>
      </c>
      <c r="C763" s="462" t="s">
        <v>118</v>
      </c>
      <c r="D763" s="462" t="s">
        <v>140</v>
      </c>
      <c r="E763" s="462" t="s">
        <v>1054</v>
      </c>
      <c r="F763" s="462" t="s">
        <v>134</v>
      </c>
      <c r="G763" s="467">
        <v>100</v>
      </c>
      <c r="H763" s="467">
        <v>0</v>
      </c>
      <c r="I763" s="204"/>
    </row>
    <row r="764" spans="1:9" ht="15.75" x14ac:dyDescent="0.25">
      <c r="A764" s="464" t="s">
        <v>490</v>
      </c>
      <c r="B764" s="461">
        <v>907</v>
      </c>
      <c r="C764" s="465" t="s">
        <v>491</v>
      </c>
      <c r="D764" s="462"/>
      <c r="E764" s="462"/>
      <c r="F764" s="462"/>
      <c r="G764" s="463">
        <f>G765+G803</f>
        <v>63981.399999999994</v>
      </c>
      <c r="H764" s="463">
        <f>H765+H803</f>
        <v>64012.600000000006</v>
      </c>
      <c r="I764" s="204"/>
    </row>
    <row r="765" spans="1:9" ht="15.75" x14ac:dyDescent="0.25">
      <c r="A765" s="464" t="s">
        <v>492</v>
      </c>
      <c r="B765" s="461">
        <v>907</v>
      </c>
      <c r="C765" s="465" t="s">
        <v>491</v>
      </c>
      <c r="D765" s="465" t="s">
        <v>118</v>
      </c>
      <c r="E765" s="462"/>
      <c r="F765" s="462"/>
      <c r="G765" s="463">
        <f>G766+G798+G793</f>
        <v>50452.2</v>
      </c>
      <c r="H765" s="463">
        <f>H766+H798+H793</f>
        <v>50483.4</v>
      </c>
      <c r="I765" s="204"/>
    </row>
    <row r="766" spans="1:9" ht="47.25" x14ac:dyDescent="0.25">
      <c r="A766" s="464" t="s">
        <v>1380</v>
      </c>
      <c r="B766" s="461">
        <v>907</v>
      </c>
      <c r="C766" s="465" t="s">
        <v>491</v>
      </c>
      <c r="D766" s="465" t="s">
        <v>118</v>
      </c>
      <c r="E766" s="465" t="s">
        <v>482</v>
      </c>
      <c r="F766" s="465"/>
      <c r="G766" s="463">
        <f>G767+G778+G782+G789</f>
        <v>49873.1</v>
      </c>
      <c r="H766" s="463">
        <f>H767+H778+H782+H789</f>
        <v>49873.1</v>
      </c>
      <c r="I766" s="204"/>
    </row>
    <row r="767" spans="1:9" ht="31.5" x14ac:dyDescent="0.25">
      <c r="A767" s="464" t="s">
        <v>937</v>
      </c>
      <c r="B767" s="461">
        <v>907</v>
      </c>
      <c r="C767" s="465" t="s">
        <v>491</v>
      </c>
      <c r="D767" s="465" t="s">
        <v>118</v>
      </c>
      <c r="E767" s="465" t="s">
        <v>1268</v>
      </c>
      <c r="F767" s="465"/>
      <c r="G767" s="463">
        <f t="shared" ref="G767:H769" si="70">G768</f>
        <v>47819.6</v>
      </c>
      <c r="H767" s="463">
        <f t="shared" si="70"/>
        <v>47819.6</v>
      </c>
      <c r="I767" s="204"/>
    </row>
    <row r="768" spans="1:9" ht="31.5" x14ac:dyDescent="0.25">
      <c r="A768" s="466" t="s">
        <v>1298</v>
      </c>
      <c r="B768" s="460">
        <v>907</v>
      </c>
      <c r="C768" s="462" t="s">
        <v>491</v>
      </c>
      <c r="D768" s="462" t="s">
        <v>118</v>
      </c>
      <c r="E768" s="462" t="s">
        <v>1269</v>
      </c>
      <c r="F768" s="462"/>
      <c r="G768" s="467">
        <f t="shared" si="70"/>
        <v>47819.6</v>
      </c>
      <c r="H768" s="467">
        <f t="shared" si="70"/>
        <v>47819.6</v>
      </c>
      <c r="I768" s="204"/>
    </row>
    <row r="769" spans="1:9" ht="31.5" x14ac:dyDescent="0.25">
      <c r="A769" s="466" t="s">
        <v>272</v>
      </c>
      <c r="B769" s="460">
        <v>907</v>
      </c>
      <c r="C769" s="462" t="s">
        <v>491</v>
      </c>
      <c r="D769" s="462" t="s">
        <v>118</v>
      </c>
      <c r="E769" s="462" t="s">
        <v>1269</v>
      </c>
      <c r="F769" s="462" t="s">
        <v>273</v>
      </c>
      <c r="G769" s="467">
        <f t="shared" si="70"/>
        <v>47819.6</v>
      </c>
      <c r="H769" s="467">
        <f t="shared" si="70"/>
        <v>47819.6</v>
      </c>
      <c r="I769" s="204"/>
    </row>
    <row r="770" spans="1:9" ht="15.75" x14ac:dyDescent="0.25">
      <c r="A770" s="466" t="s">
        <v>274</v>
      </c>
      <c r="B770" s="460">
        <v>907</v>
      </c>
      <c r="C770" s="462" t="s">
        <v>491</v>
      </c>
      <c r="D770" s="462" t="s">
        <v>118</v>
      </c>
      <c r="E770" s="462" t="s">
        <v>1269</v>
      </c>
      <c r="F770" s="462" t="s">
        <v>275</v>
      </c>
      <c r="G770" s="467">
        <v>47819.6</v>
      </c>
      <c r="H770" s="467">
        <f t="shared" si="65"/>
        <v>47819.6</v>
      </c>
      <c r="I770" s="204"/>
    </row>
    <row r="771" spans="1:9" ht="31.5" x14ac:dyDescent="0.25">
      <c r="A771" s="464" t="s">
        <v>945</v>
      </c>
      <c r="B771" s="461">
        <v>907</v>
      </c>
      <c r="C771" s="465" t="s">
        <v>491</v>
      </c>
      <c r="D771" s="465" t="s">
        <v>118</v>
      </c>
      <c r="E771" s="465" t="s">
        <v>946</v>
      </c>
      <c r="F771" s="465"/>
      <c r="G771" s="44">
        <f>G772+G775+G779</f>
        <v>36</v>
      </c>
      <c r="H771" s="44">
        <f>H772+H775+H779</f>
        <v>36</v>
      </c>
      <c r="I771" s="204"/>
    </row>
    <row r="772" spans="1:9" ht="31.5" hidden="1" x14ac:dyDescent="0.25">
      <c r="A772" s="466" t="s">
        <v>278</v>
      </c>
      <c r="B772" s="460">
        <v>907</v>
      </c>
      <c r="C772" s="462" t="s">
        <v>491</v>
      </c>
      <c r="D772" s="462" t="s">
        <v>118</v>
      </c>
      <c r="E772" s="462" t="s">
        <v>949</v>
      </c>
      <c r="F772" s="462"/>
      <c r="G772" s="467">
        <f>'[1]Пр.5 ведом.21'!G761</f>
        <v>0</v>
      </c>
      <c r="H772" s="467">
        <f t="shared" ref="H772:H830" si="71">G772</f>
        <v>0</v>
      </c>
      <c r="I772" s="204"/>
    </row>
    <row r="773" spans="1:9" ht="31.5" hidden="1" x14ac:dyDescent="0.25">
      <c r="A773" s="466" t="s">
        <v>272</v>
      </c>
      <c r="B773" s="460">
        <v>907</v>
      </c>
      <c r="C773" s="462" t="s">
        <v>491</v>
      </c>
      <c r="D773" s="462" t="s">
        <v>118</v>
      </c>
      <c r="E773" s="462" t="s">
        <v>949</v>
      </c>
      <c r="F773" s="462" t="s">
        <v>273</v>
      </c>
      <c r="G773" s="467">
        <f>'[1]Пр.5 ведом.21'!G762</f>
        <v>0</v>
      </c>
      <c r="H773" s="467">
        <f t="shared" si="71"/>
        <v>0</v>
      </c>
      <c r="I773" s="204"/>
    </row>
    <row r="774" spans="1:9" ht="15.75" hidden="1" x14ac:dyDescent="0.25">
      <c r="A774" s="466" t="s">
        <v>274</v>
      </c>
      <c r="B774" s="460">
        <v>907</v>
      </c>
      <c r="C774" s="462" t="s">
        <v>491</v>
      </c>
      <c r="D774" s="462" t="s">
        <v>118</v>
      </c>
      <c r="E774" s="462" t="s">
        <v>949</v>
      </c>
      <c r="F774" s="462" t="s">
        <v>275</v>
      </c>
      <c r="G774" s="467">
        <f>'[1]Пр.5 ведом.21'!G763</f>
        <v>0</v>
      </c>
      <c r="H774" s="467">
        <f t="shared" si="71"/>
        <v>0</v>
      </c>
      <c r="I774" s="204"/>
    </row>
    <row r="775" spans="1:9" ht="31.5" hidden="1" x14ac:dyDescent="0.25">
      <c r="A775" s="466" t="s">
        <v>280</v>
      </c>
      <c r="B775" s="460">
        <v>907</v>
      </c>
      <c r="C775" s="462" t="s">
        <v>491</v>
      </c>
      <c r="D775" s="462" t="s">
        <v>118</v>
      </c>
      <c r="E775" s="462" t="s">
        <v>950</v>
      </c>
      <c r="F775" s="462"/>
      <c r="G775" s="467">
        <f>G776</f>
        <v>0</v>
      </c>
      <c r="H775" s="467">
        <f>H776</f>
        <v>0</v>
      </c>
      <c r="I775" s="204"/>
    </row>
    <row r="776" spans="1:9" ht="31.5" hidden="1" x14ac:dyDescent="0.25">
      <c r="A776" s="466" t="s">
        <v>272</v>
      </c>
      <c r="B776" s="460">
        <v>907</v>
      </c>
      <c r="C776" s="462" t="s">
        <v>491</v>
      </c>
      <c r="D776" s="462" t="s">
        <v>118</v>
      </c>
      <c r="E776" s="462" t="s">
        <v>950</v>
      </c>
      <c r="F776" s="462" t="s">
        <v>273</v>
      </c>
      <c r="G776" s="467">
        <f>G777</f>
        <v>0</v>
      </c>
      <c r="H776" s="467">
        <f>H777</f>
        <v>0</v>
      </c>
      <c r="I776" s="204"/>
    </row>
    <row r="777" spans="1:9" ht="15.75" hidden="1" x14ac:dyDescent="0.25">
      <c r="A777" s="466" t="s">
        <v>274</v>
      </c>
      <c r="B777" s="460">
        <v>907</v>
      </c>
      <c r="C777" s="462" t="s">
        <v>491</v>
      </c>
      <c r="D777" s="462" t="s">
        <v>118</v>
      </c>
      <c r="E777" s="462" t="s">
        <v>950</v>
      </c>
      <c r="F777" s="462" t="s">
        <v>275</v>
      </c>
      <c r="G777" s="467">
        <v>0</v>
      </c>
      <c r="H777" s="467">
        <f t="shared" si="71"/>
        <v>0</v>
      </c>
      <c r="I777" s="204"/>
    </row>
    <row r="778" spans="1:9" ht="31.5" x14ac:dyDescent="0.25">
      <c r="A778" s="464" t="s">
        <v>945</v>
      </c>
      <c r="B778" s="461">
        <v>907</v>
      </c>
      <c r="C778" s="465" t="s">
        <v>491</v>
      </c>
      <c r="D778" s="465" t="s">
        <v>118</v>
      </c>
      <c r="E778" s="465" t="s">
        <v>1270</v>
      </c>
      <c r="F778" s="462"/>
      <c r="G778" s="463">
        <f t="shared" ref="G778:H780" si="72">G779</f>
        <v>36</v>
      </c>
      <c r="H778" s="463">
        <f t="shared" si="72"/>
        <v>36</v>
      </c>
      <c r="I778" s="204"/>
    </row>
    <row r="779" spans="1:9" ht="15.75" x14ac:dyDescent="0.25">
      <c r="A779" s="466" t="s">
        <v>830</v>
      </c>
      <c r="B779" s="460">
        <v>907</v>
      </c>
      <c r="C779" s="462" t="s">
        <v>491</v>
      </c>
      <c r="D779" s="462" t="s">
        <v>118</v>
      </c>
      <c r="E779" s="462" t="s">
        <v>1271</v>
      </c>
      <c r="F779" s="462"/>
      <c r="G779" s="467">
        <f t="shared" si="72"/>
        <v>36</v>
      </c>
      <c r="H779" s="467">
        <f t="shared" si="72"/>
        <v>36</v>
      </c>
      <c r="I779" s="204"/>
    </row>
    <row r="780" spans="1:9" ht="31.5" x14ac:dyDescent="0.25">
      <c r="A780" s="466" t="s">
        <v>272</v>
      </c>
      <c r="B780" s="460">
        <v>907</v>
      </c>
      <c r="C780" s="462" t="s">
        <v>491</v>
      </c>
      <c r="D780" s="462" t="s">
        <v>118</v>
      </c>
      <c r="E780" s="462" t="s">
        <v>1271</v>
      </c>
      <c r="F780" s="462" t="s">
        <v>273</v>
      </c>
      <c r="G780" s="467">
        <f t="shared" si="72"/>
        <v>36</v>
      </c>
      <c r="H780" s="467">
        <f t="shared" si="72"/>
        <v>36</v>
      </c>
      <c r="I780" s="204"/>
    </row>
    <row r="781" spans="1:9" ht="15.75" x14ac:dyDescent="0.25">
      <c r="A781" s="466" t="s">
        <v>274</v>
      </c>
      <c r="B781" s="460">
        <v>907</v>
      </c>
      <c r="C781" s="462" t="s">
        <v>491</v>
      </c>
      <c r="D781" s="462" t="s">
        <v>118</v>
      </c>
      <c r="E781" s="462" t="s">
        <v>1271</v>
      </c>
      <c r="F781" s="462" t="s">
        <v>275</v>
      </c>
      <c r="G781" s="467">
        <f>36</f>
        <v>36</v>
      </c>
      <c r="H781" s="467">
        <f t="shared" si="71"/>
        <v>36</v>
      </c>
      <c r="I781" s="204"/>
    </row>
    <row r="782" spans="1:9" ht="31.5" x14ac:dyDescent="0.25">
      <c r="A782" s="464" t="s">
        <v>947</v>
      </c>
      <c r="B782" s="461">
        <v>907</v>
      </c>
      <c r="C782" s="465" t="s">
        <v>491</v>
      </c>
      <c r="D782" s="465" t="s">
        <v>118</v>
      </c>
      <c r="E782" s="465" t="s">
        <v>1272</v>
      </c>
      <c r="F782" s="465"/>
      <c r="G782" s="463">
        <f>G783+G786</f>
        <v>1204</v>
      </c>
      <c r="H782" s="463">
        <f>H783+H786</f>
        <v>1204</v>
      </c>
      <c r="I782" s="204"/>
    </row>
    <row r="783" spans="1:9" ht="31.5" hidden="1" x14ac:dyDescent="0.25">
      <c r="A783" s="466" t="s">
        <v>791</v>
      </c>
      <c r="B783" s="460">
        <v>907</v>
      </c>
      <c r="C783" s="462" t="s">
        <v>491</v>
      </c>
      <c r="D783" s="462" t="s">
        <v>118</v>
      </c>
      <c r="E783" s="462" t="s">
        <v>1310</v>
      </c>
      <c r="F783" s="462"/>
      <c r="G783" s="467">
        <f>'[1]Пр.5 ведом.21'!G771</f>
        <v>0</v>
      </c>
      <c r="H783" s="467">
        <f t="shared" si="71"/>
        <v>0</v>
      </c>
      <c r="I783" s="204"/>
    </row>
    <row r="784" spans="1:9" ht="31.5" hidden="1" x14ac:dyDescent="0.25">
      <c r="A784" s="466" t="s">
        <v>272</v>
      </c>
      <c r="B784" s="460">
        <v>907</v>
      </c>
      <c r="C784" s="462" t="s">
        <v>491</v>
      </c>
      <c r="D784" s="462" t="s">
        <v>118</v>
      </c>
      <c r="E784" s="462" t="s">
        <v>1310</v>
      </c>
      <c r="F784" s="462" t="s">
        <v>273</v>
      </c>
      <c r="G784" s="467">
        <f>'[1]Пр.5 ведом.21'!G772</f>
        <v>0</v>
      </c>
      <c r="H784" s="467">
        <f t="shared" si="71"/>
        <v>0</v>
      </c>
      <c r="I784" s="204"/>
    </row>
    <row r="785" spans="1:9" ht="15.75" hidden="1" x14ac:dyDescent="0.25">
      <c r="A785" s="466" t="s">
        <v>274</v>
      </c>
      <c r="B785" s="460">
        <v>907</v>
      </c>
      <c r="C785" s="462" t="s">
        <v>491</v>
      </c>
      <c r="D785" s="462" t="s">
        <v>118</v>
      </c>
      <c r="E785" s="462" t="s">
        <v>1310</v>
      </c>
      <c r="F785" s="462" t="s">
        <v>275</v>
      </c>
      <c r="G785" s="467">
        <f>'[1]Пр.5 ведом.21'!G773</f>
        <v>0</v>
      </c>
      <c r="H785" s="467">
        <f t="shared" si="71"/>
        <v>0</v>
      </c>
      <c r="I785" s="204"/>
    </row>
    <row r="786" spans="1:9" ht="31.5" x14ac:dyDescent="0.25">
      <c r="A786" s="45" t="s">
        <v>764</v>
      </c>
      <c r="B786" s="460">
        <v>907</v>
      </c>
      <c r="C786" s="462" t="s">
        <v>491</v>
      </c>
      <c r="D786" s="462" t="s">
        <v>118</v>
      </c>
      <c r="E786" s="462" t="s">
        <v>1273</v>
      </c>
      <c r="F786" s="462"/>
      <c r="G786" s="467">
        <f>G787</f>
        <v>1204</v>
      </c>
      <c r="H786" s="467">
        <f>H787</f>
        <v>1204</v>
      </c>
      <c r="I786" s="204"/>
    </row>
    <row r="787" spans="1:9" ht="31.5" x14ac:dyDescent="0.25">
      <c r="A787" s="31" t="s">
        <v>272</v>
      </c>
      <c r="B787" s="460">
        <v>907</v>
      </c>
      <c r="C787" s="462" t="s">
        <v>491</v>
      </c>
      <c r="D787" s="462" t="s">
        <v>118</v>
      </c>
      <c r="E787" s="462" t="s">
        <v>1273</v>
      </c>
      <c r="F787" s="462" t="s">
        <v>273</v>
      </c>
      <c r="G787" s="467">
        <f>G788</f>
        <v>1204</v>
      </c>
      <c r="H787" s="467">
        <f>H788</f>
        <v>1204</v>
      </c>
      <c r="I787" s="204"/>
    </row>
    <row r="788" spans="1:9" ht="15.75" x14ac:dyDescent="0.25">
      <c r="A788" s="31" t="s">
        <v>274</v>
      </c>
      <c r="B788" s="460">
        <v>907</v>
      </c>
      <c r="C788" s="462" t="s">
        <v>491</v>
      </c>
      <c r="D788" s="462" t="s">
        <v>118</v>
      </c>
      <c r="E788" s="462" t="s">
        <v>1273</v>
      </c>
      <c r="F788" s="462" t="s">
        <v>275</v>
      </c>
      <c r="G788" s="467">
        <v>1204</v>
      </c>
      <c r="H788" s="467">
        <f t="shared" si="71"/>
        <v>1204</v>
      </c>
      <c r="I788" s="204"/>
    </row>
    <row r="789" spans="1:9" ht="47.25" x14ac:dyDescent="0.25">
      <c r="A789" s="464" t="s">
        <v>900</v>
      </c>
      <c r="B789" s="461">
        <v>907</v>
      </c>
      <c r="C789" s="465" t="s">
        <v>491</v>
      </c>
      <c r="D789" s="465" t="s">
        <v>118</v>
      </c>
      <c r="E789" s="465" t="s">
        <v>1274</v>
      </c>
      <c r="F789" s="465"/>
      <c r="G789" s="463">
        <f>G790</f>
        <v>813.5</v>
      </c>
      <c r="H789" s="463">
        <f>H790</f>
        <v>813.5</v>
      </c>
      <c r="I789" s="204"/>
    </row>
    <row r="790" spans="1:9" ht="94.5" x14ac:dyDescent="0.25">
      <c r="A790" s="31" t="s">
        <v>464</v>
      </c>
      <c r="B790" s="460">
        <v>907</v>
      </c>
      <c r="C790" s="462" t="s">
        <v>491</v>
      </c>
      <c r="D790" s="462" t="s">
        <v>118</v>
      </c>
      <c r="E790" s="462" t="s">
        <v>1413</v>
      </c>
      <c r="F790" s="462"/>
      <c r="G790" s="467">
        <f t="shared" ref="G790:H791" si="73">G791</f>
        <v>813.5</v>
      </c>
      <c r="H790" s="467">
        <f t="shared" si="73"/>
        <v>813.5</v>
      </c>
      <c r="I790" s="204"/>
    </row>
    <row r="791" spans="1:9" ht="31.5" x14ac:dyDescent="0.25">
      <c r="A791" s="466" t="s">
        <v>272</v>
      </c>
      <c r="B791" s="460">
        <v>907</v>
      </c>
      <c r="C791" s="462" t="s">
        <v>491</v>
      </c>
      <c r="D791" s="462" t="s">
        <v>118</v>
      </c>
      <c r="E791" s="462" t="s">
        <v>1413</v>
      </c>
      <c r="F791" s="462" t="s">
        <v>273</v>
      </c>
      <c r="G791" s="467">
        <f t="shared" si="73"/>
        <v>813.5</v>
      </c>
      <c r="H791" s="467">
        <f t="shared" si="73"/>
        <v>813.5</v>
      </c>
      <c r="I791" s="204"/>
    </row>
    <row r="792" spans="1:9" ht="15.75" x14ac:dyDescent="0.25">
      <c r="A792" s="466" t="s">
        <v>274</v>
      </c>
      <c r="B792" s="460">
        <v>907</v>
      </c>
      <c r="C792" s="462" t="s">
        <v>491</v>
      </c>
      <c r="D792" s="462" t="s">
        <v>118</v>
      </c>
      <c r="E792" s="462" t="s">
        <v>1413</v>
      </c>
      <c r="F792" s="462" t="s">
        <v>275</v>
      </c>
      <c r="G792" s="467">
        <f>813.5</f>
        <v>813.5</v>
      </c>
      <c r="H792" s="467">
        <f t="shared" si="71"/>
        <v>813.5</v>
      </c>
      <c r="I792" s="253">
        <f>12177.1/11326*870.2</f>
        <v>935.59177291188428</v>
      </c>
    </row>
    <row r="793" spans="1:9" ht="47.25" x14ac:dyDescent="0.25">
      <c r="A793" s="34" t="s">
        <v>1368</v>
      </c>
      <c r="B793" s="461">
        <v>907</v>
      </c>
      <c r="C793" s="465" t="s">
        <v>491</v>
      </c>
      <c r="D793" s="465" t="s">
        <v>118</v>
      </c>
      <c r="E793" s="465" t="s">
        <v>324</v>
      </c>
      <c r="F793" s="465"/>
      <c r="G793" s="463">
        <f t="shared" ref="G793:H796" si="74">G794</f>
        <v>0</v>
      </c>
      <c r="H793" s="463">
        <f t="shared" si="74"/>
        <v>8</v>
      </c>
      <c r="I793" s="253"/>
    </row>
    <row r="794" spans="1:9" ht="63" x14ac:dyDescent="0.25">
      <c r="A794" s="34" t="s">
        <v>1009</v>
      </c>
      <c r="B794" s="461">
        <v>907</v>
      </c>
      <c r="C794" s="465" t="s">
        <v>491</v>
      </c>
      <c r="D794" s="465" t="s">
        <v>118</v>
      </c>
      <c r="E794" s="465" t="s">
        <v>934</v>
      </c>
      <c r="F794" s="465"/>
      <c r="G794" s="463">
        <f t="shared" si="74"/>
        <v>0</v>
      </c>
      <c r="H794" s="463">
        <f t="shared" si="74"/>
        <v>8</v>
      </c>
      <c r="I794" s="253"/>
    </row>
    <row r="795" spans="1:9" ht="47.25" x14ac:dyDescent="0.25">
      <c r="A795" s="31" t="s">
        <v>1084</v>
      </c>
      <c r="B795" s="460">
        <v>907</v>
      </c>
      <c r="C795" s="462" t="s">
        <v>491</v>
      </c>
      <c r="D795" s="462" t="s">
        <v>118</v>
      </c>
      <c r="E795" s="462" t="s">
        <v>935</v>
      </c>
      <c r="F795" s="462"/>
      <c r="G795" s="467">
        <f t="shared" si="74"/>
        <v>0</v>
      </c>
      <c r="H795" s="467">
        <f t="shared" si="74"/>
        <v>8</v>
      </c>
      <c r="I795" s="253"/>
    </row>
    <row r="796" spans="1:9" ht="31.5" x14ac:dyDescent="0.25">
      <c r="A796" s="466" t="s">
        <v>131</v>
      </c>
      <c r="B796" s="460">
        <v>907</v>
      </c>
      <c r="C796" s="462" t="s">
        <v>491</v>
      </c>
      <c r="D796" s="462" t="s">
        <v>118</v>
      </c>
      <c r="E796" s="462" t="s">
        <v>935</v>
      </c>
      <c r="F796" s="462" t="s">
        <v>273</v>
      </c>
      <c r="G796" s="467">
        <f t="shared" si="74"/>
        <v>0</v>
      </c>
      <c r="H796" s="467">
        <f t="shared" si="74"/>
        <v>8</v>
      </c>
      <c r="I796" s="253"/>
    </row>
    <row r="797" spans="1:9" ht="31.5" x14ac:dyDescent="0.25">
      <c r="A797" s="466" t="s">
        <v>133</v>
      </c>
      <c r="B797" s="460">
        <v>907</v>
      </c>
      <c r="C797" s="462" t="s">
        <v>491</v>
      </c>
      <c r="D797" s="462" t="s">
        <v>118</v>
      </c>
      <c r="E797" s="462" t="s">
        <v>935</v>
      </c>
      <c r="F797" s="462" t="s">
        <v>275</v>
      </c>
      <c r="G797" s="467">
        <v>0</v>
      </c>
      <c r="H797" s="467">
        <v>8</v>
      </c>
      <c r="I797" s="253"/>
    </row>
    <row r="798" spans="1:9" ht="47.25" x14ac:dyDescent="0.25">
      <c r="A798" s="470" t="s">
        <v>1363</v>
      </c>
      <c r="B798" s="461">
        <v>907</v>
      </c>
      <c r="C798" s="465" t="s">
        <v>491</v>
      </c>
      <c r="D798" s="465" t="s">
        <v>118</v>
      </c>
      <c r="E798" s="465" t="s">
        <v>705</v>
      </c>
      <c r="F798" s="474"/>
      <c r="G798" s="463">
        <f t="shared" ref="G798:H801" si="75">G799</f>
        <v>579.1</v>
      </c>
      <c r="H798" s="463">
        <f t="shared" si="75"/>
        <v>602.29999999999995</v>
      </c>
      <c r="I798" s="204"/>
    </row>
    <row r="799" spans="1:9" ht="47.25" x14ac:dyDescent="0.25">
      <c r="A799" s="470" t="s">
        <v>890</v>
      </c>
      <c r="B799" s="461">
        <v>907</v>
      </c>
      <c r="C799" s="465" t="s">
        <v>491</v>
      </c>
      <c r="D799" s="465" t="s">
        <v>118</v>
      </c>
      <c r="E799" s="465" t="s">
        <v>888</v>
      </c>
      <c r="F799" s="474"/>
      <c r="G799" s="463">
        <f t="shared" si="75"/>
        <v>579.1</v>
      </c>
      <c r="H799" s="463">
        <f t="shared" si="75"/>
        <v>602.29999999999995</v>
      </c>
      <c r="I799" s="204"/>
    </row>
    <row r="800" spans="1:9" ht="47.25" x14ac:dyDescent="0.25">
      <c r="A800" s="98" t="s">
        <v>780</v>
      </c>
      <c r="B800" s="460">
        <v>907</v>
      </c>
      <c r="C800" s="462" t="s">
        <v>491</v>
      </c>
      <c r="D800" s="462" t="s">
        <v>118</v>
      </c>
      <c r="E800" s="462" t="s">
        <v>936</v>
      </c>
      <c r="F800" s="468"/>
      <c r="G800" s="467">
        <f t="shared" si="75"/>
        <v>579.1</v>
      </c>
      <c r="H800" s="467">
        <f t="shared" si="75"/>
        <v>602.29999999999995</v>
      </c>
      <c r="I800" s="204"/>
    </row>
    <row r="801" spans="1:9" ht="31.5" x14ac:dyDescent="0.25">
      <c r="A801" s="29" t="s">
        <v>272</v>
      </c>
      <c r="B801" s="460">
        <v>907</v>
      </c>
      <c r="C801" s="462" t="s">
        <v>491</v>
      </c>
      <c r="D801" s="462" t="s">
        <v>118</v>
      </c>
      <c r="E801" s="462" t="s">
        <v>936</v>
      </c>
      <c r="F801" s="468" t="s">
        <v>273</v>
      </c>
      <c r="G801" s="467">
        <f t="shared" si="75"/>
        <v>579.1</v>
      </c>
      <c r="H801" s="467">
        <f t="shared" si="75"/>
        <v>602.29999999999995</v>
      </c>
      <c r="I801" s="204"/>
    </row>
    <row r="802" spans="1:9" ht="15.75" x14ac:dyDescent="0.25">
      <c r="A802" s="182" t="s">
        <v>274</v>
      </c>
      <c r="B802" s="460">
        <v>907</v>
      </c>
      <c r="C802" s="462" t="s">
        <v>491</v>
      </c>
      <c r="D802" s="462" t="s">
        <v>118</v>
      </c>
      <c r="E802" s="462" t="s">
        <v>936</v>
      </c>
      <c r="F802" s="468" t="s">
        <v>275</v>
      </c>
      <c r="G802" s="467">
        <v>579.1</v>
      </c>
      <c r="H802" s="467">
        <v>602.29999999999995</v>
      </c>
      <c r="I802" s="204"/>
    </row>
    <row r="803" spans="1:9" ht="31.5" x14ac:dyDescent="0.25">
      <c r="A803" s="464" t="s">
        <v>500</v>
      </c>
      <c r="B803" s="461">
        <v>907</v>
      </c>
      <c r="C803" s="465" t="s">
        <v>491</v>
      </c>
      <c r="D803" s="465" t="s">
        <v>234</v>
      </c>
      <c r="E803" s="465"/>
      <c r="F803" s="465"/>
      <c r="G803" s="463">
        <f>G804+G812+G824</f>
        <v>13529.2</v>
      </c>
      <c r="H803" s="463">
        <f>H804+H812+H824</f>
        <v>13529.2</v>
      </c>
      <c r="I803" s="204"/>
    </row>
    <row r="804" spans="1:9" ht="31.5" x14ac:dyDescent="0.25">
      <c r="A804" s="464" t="s">
        <v>917</v>
      </c>
      <c r="B804" s="461">
        <v>907</v>
      </c>
      <c r="C804" s="465" t="s">
        <v>491</v>
      </c>
      <c r="D804" s="465" t="s">
        <v>234</v>
      </c>
      <c r="E804" s="465" t="s">
        <v>858</v>
      </c>
      <c r="F804" s="465"/>
      <c r="G804" s="463">
        <f>G805</f>
        <v>5224.5</v>
      </c>
      <c r="H804" s="463">
        <f>H805</f>
        <v>5224.5</v>
      </c>
      <c r="I804" s="204"/>
    </row>
    <row r="805" spans="1:9" ht="15.75" x14ac:dyDescent="0.25">
      <c r="A805" s="464" t="s">
        <v>918</v>
      </c>
      <c r="B805" s="461">
        <v>907</v>
      </c>
      <c r="C805" s="465" t="s">
        <v>491</v>
      </c>
      <c r="D805" s="465" t="s">
        <v>234</v>
      </c>
      <c r="E805" s="465" t="s">
        <v>859</v>
      </c>
      <c r="F805" s="465"/>
      <c r="G805" s="463">
        <f>G806+G809</f>
        <v>5224.5</v>
      </c>
      <c r="H805" s="463">
        <f>H806+H809</f>
        <v>5224.5</v>
      </c>
      <c r="I805" s="204"/>
    </row>
    <row r="806" spans="1:9" ht="31.5" x14ac:dyDescent="0.25">
      <c r="A806" s="466" t="s">
        <v>897</v>
      </c>
      <c r="B806" s="460">
        <v>907</v>
      </c>
      <c r="C806" s="462" t="s">
        <v>491</v>
      </c>
      <c r="D806" s="462" t="s">
        <v>234</v>
      </c>
      <c r="E806" s="462" t="s">
        <v>860</v>
      </c>
      <c r="F806" s="462"/>
      <c r="G806" s="467">
        <f>G807</f>
        <v>4888.5</v>
      </c>
      <c r="H806" s="467">
        <f>H807</f>
        <v>4888.5</v>
      </c>
      <c r="I806" s="204"/>
    </row>
    <row r="807" spans="1:9" ht="78.75" x14ac:dyDescent="0.25">
      <c r="A807" s="466" t="s">
        <v>127</v>
      </c>
      <c r="B807" s="460">
        <v>907</v>
      </c>
      <c r="C807" s="462" t="s">
        <v>491</v>
      </c>
      <c r="D807" s="462" t="s">
        <v>234</v>
      </c>
      <c r="E807" s="462" t="s">
        <v>860</v>
      </c>
      <c r="F807" s="462" t="s">
        <v>128</v>
      </c>
      <c r="G807" s="467">
        <f>G808</f>
        <v>4888.5</v>
      </c>
      <c r="H807" s="467">
        <f>H808</f>
        <v>4888.5</v>
      </c>
      <c r="I807" s="204"/>
    </row>
    <row r="808" spans="1:9" ht="31.5" x14ac:dyDescent="0.25">
      <c r="A808" s="466" t="s">
        <v>129</v>
      </c>
      <c r="B808" s="460">
        <v>907</v>
      </c>
      <c r="C808" s="462" t="s">
        <v>491</v>
      </c>
      <c r="D808" s="462" t="s">
        <v>234</v>
      </c>
      <c r="E808" s="462" t="s">
        <v>860</v>
      </c>
      <c r="F808" s="462" t="s">
        <v>130</v>
      </c>
      <c r="G808" s="467">
        <v>4888.5</v>
      </c>
      <c r="H808" s="467">
        <f t="shared" si="71"/>
        <v>4888.5</v>
      </c>
      <c r="I808" s="204"/>
    </row>
    <row r="809" spans="1:9" ht="47.25" x14ac:dyDescent="0.25">
      <c r="A809" s="466" t="s">
        <v>839</v>
      </c>
      <c r="B809" s="460">
        <v>907</v>
      </c>
      <c r="C809" s="462" t="s">
        <v>491</v>
      </c>
      <c r="D809" s="462" t="s">
        <v>234</v>
      </c>
      <c r="E809" s="462" t="s">
        <v>862</v>
      </c>
      <c r="F809" s="462"/>
      <c r="G809" s="467">
        <f>G810</f>
        <v>336</v>
      </c>
      <c r="H809" s="467">
        <f>H810</f>
        <v>336</v>
      </c>
      <c r="I809" s="204"/>
    </row>
    <row r="810" spans="1:9" ht="78.75" x14ac:dyDescent="0.25">
      <c r="A810" s="466" t="s">
        <v>127</v>
      </c>
      <c r="B810" s="460">
        <v>907</v>
      </c>
      <c r="C810" s="462" t="s">
        <v>491</v>
      </c>
      <c r="D810" s="462" t="s">
        <v>234</v>
      </c>
      <c r="E810" s="462" t="s">
        <v>862</v>
      </c>
      <c r="F810" s="462" t="s">
        <v>128</v>
      </c>
      <c r="G810" s="467">
        <f>G811</f>
        <v>336</v>
      </c>
      <c r="H810" s="467">
        <f>H811</f>
        <v>336</v>
      </c>
      <c r="I810" s="204"/>
    </row>
    <row r="811" spans="1:9" ht="31.5" x14ac:dyDescent="0.25">
      <c r="A811" s="466" t="s">
        <v>129</v>
      </c>
      <c r="B811" s="460">
        <v>907</v>
      </c>
      <c r="C811" s="462" t="s">
        <v>491</v>
      </c>
      <c r="D811" s="462" t="s">
        <v>234</v>
      </c>
      <c r="E811" s="462" t="s">
        <v>862</v>
      </c>
      <c r="F811" s="462" t="s">
        <v>130</v>
      </c>
      <c r="G811" s="467">
        <v>336</v>
      </c>
      <c r="H811" s="467">
        <f t="shared" si="71"/>
        <v>336</v>
      </c>
      <c r="I811" s="204"/>
    </row>
    <row r="812" spans="1:9" ht="15.75" x14ac:dyDescent="0.25">
      <c r="A812" s="464" t="s">
        <v>141</v>
      </c>
      <c r="B812" s="461">
        <v>907</v>
      </c>
      <c r="C812" s="465" t="s">
        <v>491</v>
      </c>
      <c r="D812" s="465" t="s">
        <v>234</v>
      </c>
      <c r="E812" s="465" t="s">
        <v>866</v>
      </c>
      <c r="F812" s="465"/>
      <c r="G812" s="463">
        <f>G813</f>
        <v>5304.7</v>
      </c>
      <c r="H812" s="463">
        <f>H813</f>
        <v>5304.7</v>
      </c>
      <c r="I812" s="204"/>
    </row>
    <row r="813" spans="1:9" ht="31.5" x14ac:dyDescent="0.25">
      <c r="A813" s="464" t="s">
        <v>929</v>
      </c>
      <c r="B813" s="461">
        <v>907</v>
      </c>
      <c r="C813" s="465" t="s">
        <v>491</v>
      </c>
      <c r="D813" s="465" t="s">
        <v>234</v>
      </c>
      <c r="E813" s="465" t="s">
        <v>914</v>
      </c>
      <c r="F813" s="465"/>
      <c r="G813" s="463">
        <f>G814+G821</f>
        <v>5304.7</v>
      </c>
      <c r="H813" s="463">
        <f>H814+H821</f>
        <v>5304.7</v>
      </c>
      <c r="I813" s="204"/>
    </row>
    <row r="814" spans="1:9" ht="31.5" x14ac:dyDescent="0.25">
      <c r="A814" s="466" t="s">
        <v>903</v>
      </c>
      <c r="B814" s="460">
        <v>907</v>
      </c>
      <c r="C814" s="462" t="s">
        <v>491</v>
      </c>
      <c r="D814" s="462" t="s">
        <v>234</v>
      </c>
      <c r="E814" s="462" t="s">
        <v>915</v>
      </c>
      <c r="F814" s="462"/>
      <c r="G814" s="467">
        <f>G815+G817+G819</f>
        <v>5089.7</v>
      </c>
      <c r="H814" s="467">
        <f>H815+H817+H819</f>
        <v>5089.7</v>
      </c>
      <c r="I814" s="204"/>
    </row>
    <row r="815" spans="1:9" ht="78.75" x14ac:dyDescent="0.25">
      <c r="A815" s="466" t="s">
        <v>127</v>
      </c>
      <c r="B815" s="460">
        <v>907</v>
      </c>
      <c r="C815" s="462" t="s">
        <v>491</v>
      </c>
      <c r="D815" s="462" t="s">
        <v>234</v>
      </c>
      <c r="E815" s="462" t="s">
        <v>915</v>
      </c>
      <c r="F815" s="462" t="s">
        <v>128</v>
      </c>
      <c r="G815" s="467">
        <f>G816</f>
        <v>4695.3999999999996</v>
      </c>
      <c r="H815" s="467">
        <f>H816</f>
        <v>4695.3999999999996</v>
      </c>
      <c r="I815" s="204"/>
    </row>
    <row r="816" spans="1:9" ht="19.5" customHeight="1" x14ac:dyDescent="0.25">
      <c r="A816" s="466" t="s">
        <v>342</v>
      </c>
      <c r="B816" s="460">
        <v>907</v>
      </c>
      <c r="C816" s="462" t="s">
        <v>491</v>
      </c>
      <c r="D816" s="462" t="s">
        <v>234</v>
      </c>
      <c r="E816" s="462" t="s">
        <v>915</v>
      </c>
      <c r="F816" s="462" t="s">
        <v>209</v>
      </c>
      <c r="G816" s="467">
        <v>4695.3999999999996</v>
      </c>
      <c r="H816" s="467">
        <f t="shared" si="71"/>
        <v>4695.3999999999996</v>
      </c>
      <c r="I816" s="204"/>
    </row>
    <row r="817" spans="1:13" ht="31.5" x14ac:dyDescent="0.25">
      <c r="A817" s="466" t="s">
        <v>131</v>
      </c>
      <c r="B817" s="460">
        <v>907</v>
      </c>
      <c r="C817" s="462" t="s">
        <v>491</v>
      </c>
      <c r="D817" s="462" t="s">
        <v>234</v>
      </c>
      <c r="E817" s="462" t="s">
        <v>915</v>
      </c>
      <c r="F817" s="462" t="s">
        <v>132</v>
      </c>
      <c r="G817" s="467">
        <f>G818</f>
        <v>343.3</v>
      </c>
      <c r="H817" s="467">
        <f>H818</f>
        <v>343.3</v>
      </c>
      <c r="I817" s="204"/>
    </row>
    <row r="818" spans="1:13" ht="31.5" x14ac:dyDescent="0.25">
      <c r="A818" s="466" t="s">
        <v>133</v>
      </c>
      <c r="B818" s="460">
        <v>907</v>
      </c>
      <c r="C818" s="462" t="s">
        <v>491</v>
      </c>
      <c r="D818" s="462" t="s">
        <v>234</v>
      </c>
      <c r="E818" s="462" t="s">
        <v>915</v>
      </c>
      <c r="F818" s="462" t="s">
        <v>134</v>
      </c>
      <c r="G818" s="467">
        <v>343.3</v>
      </c>
      <c r="H818" s="467">
        <f t="shared" si="71"/>
        <v>343.3</v>
      </c>
      <c r="I818" s="204"/>
    </row>
    <row r="819" spans="1:13" ht="15.75" x14ac:dyDescent="0.25">
      <c r="A819" s="466" t="s">
        <v>135</v>
      </c>
      <c r="B819" s="460">
        <v>907</v>
      </c>
      <c r="C819" s="462" t="s">
        <v>491</v>
      </c>
      <c r="D819" s="462" t="s">
        <v>234</v>
      </c>
      <c r="E819" s="462" t="s">
        <v>915</v>
      </c>
      <c r="F819" s="462" t="s">
        <v>145</v>
      </c>
      <c r="G819" s="467">
        <f>G820</f>
        <v>51</v>
      </c>
      <c r="H819" s="467">
        <f>H820</f>
        <v>51</v>
      </c>
      <c r="I819" s="204"/>
    </row>
    <row r="820" spans="1:13" ht="15.75" x14ac:dyDescent="0.25">
      <c r="A820" s="466" t="s">
        <v>568</v>
      </c>
      <c r="B820" s="460">
        <v>907</v>
      </c>
      <c r="C820" s="462" t="s">
        <v>491</v>
      </c>
      <c r="D820" s="462" t="s">
        <v>234</v>
      </c>
      <c r="E820" s="462" t="s">
        <v>915</v>
      </c>
      <c r="F820" s="462" t="s">
        <v>138</v>
      </c>
      <c r="G820" s="467">
        <f>51</f>
        <v>51</v>
      </c>
      <c r="H820" s="467">
        <f t="shared" si="71"/>
        <v>51</v>
      </c>
      <c r="I820" s="204"/>
    </row>
    <row r="821" spans="1:13" ht="47.25" x14ac:dyDescent="0.25">
      <c r="A821" s="466" t="s">
        <v>839</v>
      </c>
      <c r="B821" s="460">
        <v>907</v>
      </c>
      <c r="C821" s="462" t="s">
        <v>491</v>
      </c>
      <c r="D821" s="462" t="s">
        <v>234</v>
      </c>
      <c r="E821" s="462" t="s">
        <v>916</v>
      </c>
      <c r="F821" s="462"/>
      <c r="G821" s="467">
        <f>G822</f>
        <v>215</v>
      </c>
      <c r="H821" s="467">
        <f>H822</f>
        <v>215</v>
      </c>
      <c r="I821" s="204"/>
    </row>
    <row r="822" spans="1:13" ht="78.75" x14ac:dyDescent="0.25">
      <c r="A822" s="466" t="s">
        <v>127</v>
      </c>
      <c r="B822" s="460">
        <v>907</v>
      </c>
      <c r="C822" s="462" t="s">
        <v>491</v>
      </c>
      <c r="D822" s="462" t="s">
        <v>234</v>
      </c>
      <c r="E822" s="462" t="s">
        <v>916</v>
      </c>
      <c r="F822" s="462" t="s">
        <v>128</v>
      </c>
      <c r="G822" s="467">
        <f>G823</f>
        <v>215</v>
      </c>
      <c r="H822" s="467">
        <f>H823</f>
        <v>215</v>
      </c>
      <c r="I822" s="204"/>
    </row>
    <row r="823" spans="1:13" ht="19.5" customHeight="1" x14ac:dyDescent="0.25">
      <c r="A823" s="466" t="s">
        <v>342</v>
      </c>
      <c r="B823" s="460">
        <v>907</v>
      </c>
      <c r="C823" s="462" t="s">
        <v>491</v>
      </c>
      <c r="D823" s="462" t="s">
        <v>234</v>
      </c>
      <c r="E823" s="462" t="s">
        <v>916</v>
      </c>
      <c r="F823" s="462" t="s">
        <v>209</v>
      </c>
      <c r="G823" s="467">
        <v>215</v>
      </c>
      <c r="H823" s="467">
        <f t="shared" si="71"/>
        <v>215</v>
      </c>
      <c r="I823" s="204"/>
    </row>
    <row r="824" spans="1:13" ht="47.25" x14ac:dyDescent="0.25">
      <c r="A824" s="470" t="s">
        <v>1380</v>
      </c>
      <c r="B824" s="461">
        <v>907</v>
      </c>
      <c r="C824" s="465" t="s">
        <v>491</v>
      </c>
      <c r="D824" s="465" t="s">
        <v>234</v>
      </c>
      <c r="E824" s="7" t="s">
        <v>482</v>
      </c>
      <c r="F824" s="465"/>
      <c r="G824" s="463">
        <f>G825</f>
        <v>3000</v>
      </c>
      <c r="H824" s="463">
        <f>H825</f>
        <v>3000</v>
      </c>
      <c r="I824" s="204"/>
    </row>
    <row r="825" spans="1:13" ht="31.5" x14ac:dyDescent="0.25">
      <c r="A825" s="58" t="s">
        <v>951</v>
      </c>
      <c r="B825" s="461">
        <v>907</v>
      </c>
      <c r="C825" s="465" t="s">
        <v>491</v>
      </c>
      <c r="D825" s="465" t="s">
        <v>234</v>
      </c>
      <c r="E825" s="7" t="s">
        <v>1276</v>
      </c>
      <c r="F825" s="465"/>
      <c r="G825" s="463">
        <f t="shared" ref="G825:H825" si="76">G826</f>
        <v>3000</v>
      </c>
      <c r="H825" s="463">
        <f t="shared" si="76"/>
        <v>3000</v>
      </c>
      <c r="I825" s="204"/>
    </row>
    <row r="826" spans="1:13" ht="15.75" x14ac:dyDescent="0.25">
      <c r="A826" s="29" t="s">
        <v>952</v>
      </c>
      <c r="B826" s="460">
        <v>907</v>
      </c>
      <c r="C826" s="462" t="s">
        <v>491</v>
      </c>
      <c r="D826" s="462" t="s">
        <v>234</v>
      </c>
      <c r="E826" s="469" t="s">
        <v>1277</v>
      </c>
      <c r="F826" s="462"/>
      <c r="G826" s="467">
        <f>G827+G829</f>
        <v>3000</v>
      </c>
      <c r="H826" s="467">
        <f>H827+H829</f>
        <v>3000</v>
      </c>
      <c r="I826" s="204"/>
    </row>
    <row r="827" spans="1:13" ht="78.75" x14ac:dyDescent="0.25">
      <c r="A827" s="466" t="s">
        <v>127</v>
      </c>
      <c r="B827" s="460">
        <v>907</v>
      </c>
      <c r="C827" s="462" t="s">
        <v>491</v>
      </c>
      <c r="D827" s="462" t="s">
        <v>234</v>
      </c>
      <c r="E827" s="469" t="s">
        <v>1277</v>
      </c>
      <c r="F827" s="462" t="s">
        <v>128</v>
      </c>
      <c r="G827" s="467">
        <f>G828</f>
        <v>2500</v>
      </c>
      <c r="H827" s="467">
        <f>H828</f>
        <v>2500</v>
      </c>
      <c r="I827" s="204"/>
    </row>
    <row r="828" spans="1:13" ht="31.5" x14ac:dyDescent="0.25">
      <c r="A828" s="466" t="s">
        <v>342</v>
      </c>
      <c r="B828" s="460">
        <v>907</v>
      </c>
      <c r="C828" s="462" t="s">
        <v>491</v>
      </c>
      <c r="D828" s="462" t="s">
        <v>234</v>
      </c>
      <c r="E828" s="469" t="s">
        <v>1277</v>
      </c>
      <c r="F828" s="462" t="s">
        <v>209</v>
      </c>
      <c r="G828" s="467">
        <v>2500</v>
      </c>
      <c r="H828" s="467">
        <v>2500</v>
      </c>
      <c r="I828" s="204"/>
    </row>
    <row r="829" spans="1:13" ht="31.5" x14ac:dyDescent="0.25">
      <c r="A829" s="29" t="s">
        <v>131</v>
      </c>
      <c r="B829" s="460">
        <v>907</v>
      </c>
      <c r="C829" s="462" t="s">
        <v>491</v>
      </c>
      <c r="D829" s="462" t="s">
        <v>234</v>
      </c>
      <c r="E829" s="469" t="s">
        <v>1277</v>
      </c>
      <c r="F829" s="462" t="s">
        <v>132</v>
      </c>
      <c r="G829" s="467">
        <f>G830</f>
        <v>500</v>
      </c>
      <c r="H829" s="467">
        <f>H830</f>
        <v>500</v>
      </c>
      <c r="I829" s="204"/>
    </row>
    <row r="830" spans="1:13" ht="31.5" x14ac:dyDescent="0.25">
      <c r="A830" s="29" t="s">
        <v>133</v>
      </c>
      <c r="B830" s="460">
        <v>907</v>
      </c>
      <c r="C830" s="462" t="s">
        <v>491</v>
      </c>
      <c r="D830" s="462" t="s">
        <v>234</v>
      </c>
      <c r="E830" s="469" t="s">
        <v>1277</v>
      </c>
      <c r="F830" s="462" t="s">
        <v>134</v>
      </c>
      <c r="G830" s="467">
        <f>500</f>
        <v>500</v>
      </c>
      <c r="H830" s="467">
        <f t="shared" si="71"/>
        <v>500</v>
      </c>
      <c r="I830" s="204"/>
    </row>
    <row r="831" spans="1:13" ht="31.5" x14ac:dyDescent="0.25">
      <c r="A831" s="461" t="s">
        <v>504</v>
      </c>
      <c r="B831" s="461">
        <v>908</v>
      </c>
      <c r="C831" s="462"/>
      <c r="D831" s="462"/>
      <c r="E831" s="462"/>
      <c r="F831" s="462"/>
      <c r="G831" s="463">
        <f>G846+G853+G874+G1038+G832</f>
        <v>88568.8</v>
      </c>
      <c r="H831" s="463">
        <f>H846+H853+H874+H1038+H832</f>
        <v>96681.150000000009</v>
      </c>
      <c r="I831" s="204"/>
      <c r="M831" s="22"/>
    </row>
    <row r="832" spans="1:13" ht="15.75" x14ac:dyDescent="0.25">
      <c r="A832" s="34" t="s">
        <v>117</v>
      </c>
      <c r="B832" s="461">
        <v>908</v>
      </c>
      <c r="C832" s="465" t="s">
        <v>118</v>
      </c>
      <c r="D832" s="462"/>
      <c r="E832" s="462"/>
      <c r="F832" s="462"/>
      <c r="G832" s="463">
        <f>G833</f>
        <v>41282.100000000006</v>
      </c>
      <c r="H832" s="463">
        <f t="shared" ref="G832:H834" si="77">H833</f>
        <v>41282.100000000006</v>
      </c>
      <c r="I832" s="204"/>
    </row>
    <row r="833" spans="1:9" ht="15.75" x14ac:dyDescent="0.25">
      <c r="A833" s="34" t="s">
        <v>139</v>
      </c>
      <c r="B833" s="461">
        <v>908</v>
      </c>
      <c r="C833" s="465" t="s">
        <v>118</v>
      </c>
      <c r="D833" s="465" t="s">
        <v>140</v>
      </c>
      <c r="E833" s="462"/>
      <c r="F833" s="462"/>
      <c r="G833" s="463">
        <f t="shared" si="77"/>
        <v>41282.100000000006</v>
      </c>
      <c r="H833" s="463">
        <f t="shared" si="77"/>
        <v>41282.100000000006</v>
      </c>
      <c r="I833" s="204"/>
    </row>
    <row r="834" spans="1:9" ht="15.75" x14ac:dyDescent="0.25">
      <c r="A834" s="464" t="s">
        <v>141</v>
      </c>
      <c r="B834" s="461">
        <v>908</v>
      </c>
      <c r="C834" s="465" t="s">
        <v>118</v>
      </c>
      <c r="D834" s="465" t="s">
        <v>140</v>
      </c>
      <c r="E834" s="465" t="s">
        <v>866</v>
      </c>
      <c r="F834" s="465"/>
      <c r="G834" s="44">
        <f t="shared" si="77"/>
        <v>41282.100000000006</v>
      </c>
      <c r="H834" s="44">
        <f t="shared" si="77"/>
        <v>41282.100000000006</v>
      </c>
      <c r="I834" s="204"/>
    </row>
    <row r="835" spans="1:9" ht="15.75" x14ac:dyDescent="0.25">
      <c r="A835" s="464" t="s">
        <v>954</v>
      </c>
      <c r="B835" s="461">
        <v>908</v>
      </c>
      <c r="C835" s="465" t="s">
        <v>118</v>
      </c>
      <c r="D835" s="465" t="s">
        <v>140</v>
      </c>
      <c r="E835" s="465" t="s">
        <v>953</v>
      </c>
      <c r="F835" s="465"/>
      <c r="G835" s="44">
        <f>G839+G836</f>
        <v>41282.100000000006</v>
      </c>
      <c r="H835" s="44">
        <f>H839+H836</f>
        <v>41282.100000000006</v>
      </c>
      <c r="I835" s="204"/>
    </row>
    <row r="836" spans="1:9" ht="47.25" x14ac:dyDescent="0.25">
      <c r="A836" s="466" t="s">
        <v>839</v>
      </c>
      <c r="B836" s="460">
        <v>908</v>
      </c>
      <c r="C836" s="462" t="s">
        <v>118</v>
      </c>
      <c r="D836" s="462" t="s">
        <v>140</v>
      </c>
      <c r="E836" s="462" t="s">
        <v>956</v>
      </c>
      <c r="F836" s="462"/>
      <c r="G836" s="467">
        <f>G837</f>
        <v>1072</v>
      </c>
      <c r="H836" s="467">
        <f>H837</f>
        <v>1072</v>
      </c>
      <c r="I836" s="204"/>
    </row>
    <row r="837" spans="1:9" ht="78.75" x14ac:dyDescent="0.25">
      <c r="A837" s="466" t="s">
        <v>127</v>
      </c>
      <c r="B837" s="460">
        <v>908</v>
      </c>
      <c r="C837" s="462" t="s">
        <v>118</v>
      </c>
      <c r="D837" s="462" t="s">
        <v>140</v>
      </c>
      <c r="E837" s="462" t="s">
        <v>956</v>
      </c>
      <c r="F837" s="462" t="s">
        <v>128</v>
      </c>
      <c r="G837" s="467">
        <f>G838</f>
        <v>1072</v>
      </c>
      <c r="H837" s="467">
        <f>H838</f>
        <v>1072</v>
      </c>
      <c r="I837" s="204"/>
    </row>
    <row r="838" spans="1:9" ht="31.5" x14ac:dyDescent="0.25">
      <c r="A838" s="466" t="s">
        <v>129</v>
      </c>
      <c r="B838" s="460">
        <v>908</v>
      </c>
      <c r="C838" s="462" t="s">
        <v>118</v>
      </c>
      <c r="D838" s="462" t="s">
        <v>140</v>
      </c>
      <c r="E838" s="462" t="s">
        <v>956</v>
      </c>
      <c r="F838" s="462" t="s">
        <v>209</v>
      </c>
      <c r="G838" s="467">
        <v>1072</v>
      </c>
      <c r="H838" s="467">
        <f t="shared" ref="H838:H901" si="78">G838</f>
        <v>1072</v>
      </c>
      <c r="I838" s="204"/>
    </row>
    <row r="839" spans="1:9" ht="15.75" x14ac:dyDescent="0.25">
      <c r="A839" s="466" t="s">
        <v>801</v>
      </c>
      <c r="B839" s="460">
        <v>908</v>
      </c>
      <c r="C839" s="462" t="s">
        <v>118</v>
      </c>
      <c r="D839" s="462" t="s">
        <v>140</v>
      </c>
      <c r="E839" s="462" t="s">
        <v>955</v>
      </c>
      <c r="F839" s="462"/>
      <c r="G839" s="467">
        <f>G840+G844+G842</f>
        <v>40210.100000000006</v>
      </c>
      <c r="H839" s="467">
        <f>H840+H844+H842</f>
        <v>40210.100000000006</v>
      </c>
      <c r="I839" s="204"/>
    </row>
    <row r="840" spans="1:9" ht="78.75" x14ac:dyDescent="0.25">
      <c r="A840" s="466" t="s">
        <v>127</v>
      </c>
      <c r="B840" s="460">
        <v>908</v>
      </c>
      <c r="C840" s="462" t="s">
        <v>118</v>
      </c>
      <c r="D840" s="462" t="s">
        <v>140</v>
      </c>
      <c r="E840" s="462" t="s">
        <v>955</v>
      </c>
      <c r="F840" s="462" t="s">
        <v>128</v>
      </c>
      <c r="G840" s="467">
        <f>G841</f>
        <v>32825.800000000003</v>
      </c>
      <c r="H840" s="467">
        <f>H841</f>
        <v>32825.800000000003</v>
      </c>
      <c r="I840" s="204"/>
    </row>
    <row r="841" spans="1:9" ht="31.5" x14ac:dyDescent="0.25">
      <c r="A841" s="46" t="s">
        <v>342</v>
      </c>
      <c r="B841" s="460">
        <v>908</v>
      </c>
      <c r="C841" s="462" t="s">
        <v>118</v>
      </c>
      <c r="D841" s="462" t="s">
        <v>140</v>
      </c>
      <c r="E841" s="462" t="s">
        <v>955</v>
      </c>
      <c r="F841" s="462" t="s">
        <v>209</v>
      </c>
      <c r="G841" s="467">
        <v>32825.800000000003</v>
      </c>
      <c r="H841" s="467">
        <f t="shared" si="78"/>
        <v>32825.800000000003</v>
      </c>
      <c r="I841" s="204"/>
    </row>
    <row r="842" spans="1:9" ht="31.5" x14ac:dyDescent="0.25">
      <c r="A842" s="466" t="s">
        <v>131</v>
      </c>
      <c r="B842" s="460">
        <v>908</v>
      </c>
      <c r="C842" s="462" t="s">
        <v>118</v>
      </c>
      <c r="D842" s="462" t="s">
        <v>140</v>
      </c>
      <c r="E842" s="462" t="s">
        <v>955</v>
      </c>
      <c r="F842" s="462" t="s">
        <v>132</v>
      </c>
      <c r="G842" s="467">
        <f>G843</f>
        <v>6963.3</v>
      </c>
      <c r="H842" s="467">
        <f>H843</f>
        <v>6963.3</v>
      </c>
      <c r="I842" s="204"/>
    </row>
    <row r="843" spans="1:9" ht="31.5" x14ac:dyDescent="0.25">
      <c r="A843" s="466" t="s">
        <v>133</v>
      </c>
      <c r="B843" s="460">
        <v>908</v>
      </c>
      <c r="C843" s="462" t="s">
        <v>118</v>
      </c>
      <c r="D843" s="462" t="s">
        <v>140</v>
      </c>
      <c r="E843" s="462" t="s">
        <v>955</v>
      </c>
      <c r="F843" s="462" t="s">
        <v>134</v>
      </c>
      <c r="G843" s="467">
        <v>6963.3</v>
      </c>
      <c r="H843" s="467">
        <f t="shared" si="78"/>
        <v>6963.3</v>
      </c>
      <c r="I843" s="204"/>
    </row>
    <row r="844" spans="1:9" ht="15.75" x14ac:dyDescent="0.25">
      <c r="A844" s="466" t="s">
        <v>135</v>
      </c>
      <c r="B844" s="460">
        <v>908</v>
      </c>
      <c r="C844" s="462" t="s">
        <v>118</v>
      </c>
      <c r="D844" s="462" t="s">
        <v>140</v>
      </c>
      <c r="E844" s="462" t="s">
        <v>955</v>
      </c>
      <c r="F844" s="462" t="s">
        <v>145</v>
      </c>
      <c r="G844" s="467">
        <f>G845</f>
        <v>421</v>
      </c>
      <c r="H844" s="467">
        <f>H845</f>
        <v>421</v>
      </c>
      <c r="I844" s="204"/>
    </row>
    <row r="845" spans="1:9" ht="15.75" x14ac:dyDescent="0.25">
      <c r="A845" s="466" t="s">
        <v>704</v>
      </c>
      <c r="B845" s="460">
        <v>908</v>
      </c>
      <c r="C845" s="462" t="s">
        <v>118</v>
      </c>
      <c r="D845" s="462" t="s">
        <v>140</v>
      </c>
      <c r="E845" s="462" t="s">
        <v>955</v>
      </c>
      <c r="F845" s="462" t="s">
        <v>138</v>
      </c>
      <c r="G845" s="467">
        <f>421</f>
        <v>421</v>
      </c>
      <c r="H845" s="467">
        <f t="shared" si="78"/>
        <v>421</v>
      </c>
      <c r="I845" s="204"/>
    </row>
    <row r="846" spans="1:9" ht="31.5" x14ac:dyDescent="0.25">
      <c r="A846" s="464" t="s">
        <v>222</v>
      </c>
      <c r="B846" s="461">
        <v>908</v>
      </c>
      <c r="C846" s="465" t="s">
        <v>215</v>
      </c>
      <c r="D846" s="465"/>
      <c r="E846" s="465"/>
      <c r="F846" s="465"/>
      <c r="G846" s="463">
        <f t="shared" ref="G846:H849" si="79">G847</f>
        <v>107</v>
      </c>
      <c r="H846" s="463">
        <f t="shared" si="79"/>
        <v>107</v>
      </c>
      <c r="I846" s="204"/>
    </row>
    <row r="847" spans="1:9" ht="47.25" x14ac:dyDescent="0.25">
      <c r="A847" s="464" t="s">
        <v>1356</v>
      </c>
      <c r="B847" s="461">
        <v>908</v>
      </c>
      <c r="C847" s="465" t="s">
        <v>215</v>
      </c>
      <c r="D847" s="465" t="s">
        <v>244</v>
      </c>
      <c r="E847" s="465"/>
      <c r="F847" s="465"/>
      <c r="G847" s="463">
        <f t="shared" si="79"/>
        <v>107</v>
      </c>
      <c r="H847" s="463">
        <f t="shared" si="79"/>
        <v>107</v>
      </c>
      <c r="I847" s="204"/>
    </row>
    <row r="848" spans="1:9" ht="15.75" x14ac:dyDescent="0.25">
      <c r="A848" s="464" t="s">
        <v>141</v>
      </c>
      <c r="B848" s="461">
        <v>908</v>
      </c>
      <c r="C848" s="465" t="s">
        <v>215</v>
      </c>
      <c r="D848" s="465" t="s">
        <v>244</v>
      </c>
      <c r="E848" s="465" t="s">
        <v>866</v>
      </c>
      <c r="F848" s="465"/>
      <c r="G848" s="463">
        <f t="shared" si="79"/>
        <v>107</v>
      </c>
      <c r="H848" s="463">
        <f t="shared" si="79"/>
        <v>107</v>
      </c>
      <c r="I848" s="204"/>
    </row>
    <row r="849" spans="1:9" ht="31.5" x14ac:dyDescent="0.25">
      <c r="A849" s="464" t="s">
        <v>870</v>
      </c>
      <c r="B849" s="461">
        <v>908</v>
      </c>
      <c r="C849" s="465" t="s">
        <v>215</v>
      </c>
      <c r="D849" s="465" t="s">
        <v>244</v>
      </c>
      <c r="E849" s="465" t="s">
        <v>865</v>
      </c>
      <c r="F849" s="465"/>
      <c r="G849" s="463">
        <f t="shared" si="79"/>
        <v>107</v>
      </c>
      <c r="H849" s="463">
        <f t="shared" si="79"/>
        <v>107</v>
      </c>
      <c r="I849" s="204"/>
    </row>
    <row r="850" spans="1:9" ht="15.75" x14ac:dyDescent="0.25">
      <c r="A850" s="466" t="s">
        <v>230</v>
      </c>
      <c r="B850" s="460">
        <v>908</v>
      </c>
      <c r="C850" s="462" t="s">
        <v>215</v>
      </c>
      <c r="D850" s="462" t="s">
        <v>244</v>
      </c>
      <c r="E850" s="462" t="s">
        <v>876</v>
      </c>
      <c r="F850" s="462"/>
      <c r="G850" s="467">
        <f>G851</f>
        <v>107</v>
      </c>
      <c r="H850" s="467">
        <f>H851</f>
        <v>107</v>
      </c>
      <c r="I850" s="204"/>
    </row>
    <row r="851" spans="1:9" ht="31.5" x14ac:dyDescent="0.25">
      <c r="A851" s="466" t="s">
        <v>131</v>
      </c>
      <c r="B851" s="460">
        <v>908</v>
      </c>
      <c r="C851" s="462" t="s">
        <v>215</v>
      </c>
      <c r="D851" s="462" t="s">
        <v>244</v>
      </c>
      <c r="E851" s="462" t="s">
        <v>876</v>
      </c>
      <c r="F851" s="462" t="s">
        <v>132</v>
      </c>
      <c r="G851" s="467">
        <f>G852</f>
        <v>107</v>
      </c>
      <c r="H851" s="467">
        <f>H852</f>
        <v>107</v>
      </c>
      <c r="I851" s="204"/>
    </row>
    <row r="852" spans="1:9" ht="31.5" x14ac:dyDescent="0.25">
      <c r="A852" s="466" t="s">
        <v>133</v>
      </c>
      <c r="B852" s="460">
        <v>908</v>
      </c>
      <c r="C852" s="462" t="s">
        <v>215</v>
      </c>
      <c r="D852" s="462" t="s">
        <v>244</v>
      </c>
      <c r="E852" s="462" t="s">
        <v>876</v>
      </c>
      <c r="F852" s="462" t="s">
        <v>134</v>
      </c>
      <c r="G852" s="467">
        <f>107</f>
        <v>107</v>
      </c>
      <c r="H852" s="467">
        <f t="shared" si="78"/>
        <v>107</v>
      </c>
      <c r="I852" s="204"/>
    </row>
    <row r="853" spans="1:9" ht="15.75" x14ac:dyDescent="0.25">
      <c r="A853" s="464" t="s">
        <v>232</v>
      </c>
      <c r="B853" s="461">
        <v>908</v>
      </c>
      <c r="C853" s="465" t="s">
        <v>150</v>
      </c>
      <c r="D853" s="465"/>
      <c r="E853" s="465"/>
      <c r="F853" s="465"/>
      <c r="G853" s="463">
        <f>G854+G860</f>
        <v>5577</v>
      </c>
      <c r="H853" s="463">
        <f>H854+H860</f>
        <v>5577</v>
      </c>
      <c r="I853" s="204"/>
    </row>
    <row r="854" spans="1:9" ht="15.75" x14ac:dyDescent="0.25">
      <c r="A854" s="464" t="s">
        <v>505</v>
      </c>
      <c r="B854" s="461">
        <v>908</v>
      </c>
      <c r="C854" s="465" t="s">
        <v>150</v>
      </c>
      <c r="D854" s="465" t="s">
        <v>299</v>
      </c>
      <c r="E854" s="465"/>
      <c r="F854" s="465"/>
      <c r="G854" s="463">
        <f t="shared" ref="G854:H856" si="80">G855</f>
        <v>3258</v>
      </c>
      <c r="H854" s="463">
        <f t="shared" si="80"/>
        <v>3258</v>
      </c>
      <c r="I854" s="204"/>
    </row>
    <row r="855" spans="1:9" ht="15.75" x14ac:dyDescent="0.25">
      <c r="A855" s="464" t="s">
        <v>141</v>
      </c>
      <c r="B855" s="461">
        <v>908</v>
      </c>
      <c r="C855" s="465" t="s">
        <v>150</v>
      </c>
      <c r="D855" s="465" t="s">
        <v>299</v>
      </c>
      <c r="E855" s="465" t="s">
        <v>866</v>
      </c>
      <c r="F855" s="465"/>
      <c r="G855" s="463">
        <f t="shared" si="80"/>
        <v>3258</v>
      </c>
      <c r="H855" s="463">
        <f t="shared" si="80"/>
        <v>3258</v>
      </c>
      <c r="I855" s="204"/>
    </row>
    <row r="856" spans="1:9" ht="31.5" x14ac:dyDescent="0.25">
      <c r="A856" s="464" t="s">
        <v>870</v>
      </c>
      <c r="B856" s="461">
        <v>908</v>
      </c>
      <c r="C856" s="465" t="s">
        <v>150</v>
      </c>
      <c r="D856" s="465" t="s">
        <v>299</v>
      </c>
      <c r="E856" s="465" t="s">
        <v>865</v>
      </c>
      <c r="F856" s="465"/>
      <c r="G856" s="463">
        <f t="shared" si="80"/>
        <v>3258</v>
      </c>
      <c r="H856" s="463">
        <f t="shared" si="80"/>
        <v>3258</v>
      </c>
      <c r="I856" s="204"/>
    </row>
    <row r="857" spans="1:9" ht="15.75" x14ac:dyDescent="0.25">
      <c r="A857" s="466" t="s">
        <v>506</v>
      </c>
      <c r="B857" s="460">
        <v>908</v>
      </c>
      <c r="C857" s="462" t="s">
        <v>150</v>
      </c>
      <c r="D857" s="462" t="s">
        <v>299</v>
      </c>
      <c r="E857" s="462" t="s">
        <v>957</v>
      </c>
      <c r="F857" s="462"/>
      <c r="G857" s="467">
        <f>G858</f>
        <v>3258</v>
      </c>
      <c r="H857" s="467">
        <f>H858</f>
        <v>3258</v>
      </c>
      <c r="I857" s="204"/>
    </row>
    <row r="858" spans="1:9" ht="31.5" x14ac:dyDescent="0.25">
      <c r="A858" s="466" t="s">
        <v>131</v>
      </c>
      <c r="B858" s="460">
        <v>908</v>
      </c>
      <c r="C858" s="462" t="s">
        <v>150</v>
      </c>
      <c r="D858" s="462" t="s">
        <v>299</v>
      </c>
      <c r="E858" s="462" t="s">
        <v>957</v>
      </c>
      <c r="F858" s="462" t="s">
        <v>132</v>
      </c>
      <c r="G858" s="467">
        <f>G859</f>
        <v>3258</v>
      </c>
      <c r="H858" s="467">
        <f>H859</f>
        <v>3258</v>
      </c>
      <c r="I858" s="204"/>
    </row>
    <row r="859" spans="1:9" ht="31.5" x14ac:dyDescent="0.25">
      <c r="A859" s="466" t="s">
        <v>133</v>
      </c>
      <c r="B859" s="460">
        <v>908</v>
      </c>
      <c r="C859" s="462" t="s">
        <v>150</v>
      </c>
      <c r="D859" s="462" t="s">
        <v>299</v>
      </c>
      <c r="E859" s="462" t="s">
        <v>957</v>
      </c>
      <c r="F859" s="462" t="s">
        <v>134</v>
      </c>
      <c r="G859" s="467">
        <v>3258</v>
      </c>
      <c r="H859" s="467">
        <f t="shared" si="78"/>
        <v>3258</v>
      </c>
      <c r="I859" s="204"/>
    </row>
    <row r="860" spans="1:9" ht="15.75" x14ac:dyDescent="0.25">
      <c r="A860" s="464" t="s">
        <v>508</v>
      </c>
      <c r="B860" s="461">
        <v>908</v>
      </c>
      <c r="C860" s="465" t="s">
        <v>150</v>
      </c>
      <c r="D860" s="465" t="s">
        <v>219</v>
      </c>
      <c r="E860" s="462"/>
      <c r="F860" s="465"/>
      <c r="G860" s="463">
        <f>G861</f>
        <v>2319</v>
      </c>
      <c r="H860" s="463">
        <f>H861</f>
        <v>2319</v>
      </c>
      <c r="I860" s="204"/>
    </row>
    <row r="861" spans="1:9" ht="47.25" x14ac:dyDescent="0.25">
      <c r="A861" s="34" t="s">
        <v>1381</v>
      </c>
      <c r="B861" s="461">
        <v>908</v>
      </c>
      <c r="C861" s="465" t="s">
        <v>150</v>
      </c>
      <c r="D861" s="465" t="s">
        <v>219</v>
      </c>
      <c r="E861" s="465" t="s">
        <v>510</v>
      </c>
      <c r="F861" s="465"/>
      <c r="G861" s="463">
        <f>G867+G862</f>
        <v>2319</v>
      </c>
      <c r="H861" s="463">
        <f>H867+H862</f>
        <v>2319</v>
      </c>
      <c r="I861" s="204"/>
    </row>
    <row r="862" spans="1:9" ht="31.5" hidden="1" x14ac:dyDescent="0.25">
      <c r="A862" s="34" t="s">
        <v>999</v>
      </c>
      <c r="B862" s="461">
        <v>908</v>
      </c>
      <c r="C862" s="465" t="s">
        <v>150</v>
      </c>
      <c r="D862" s="465" t="s">
        <v>219</v>
      </c>
      <c r="E862" s="7" t="s">
        <v>958</v>
      </c>
      <c r="F862" s="465"/>
      <c r="G862" s="463">
        <f t="shared" ref="G862:H864" si="81">G863</f>
        <v>0</v>
      </c>
      <c r="H862" s="463">
        <f t="shared" si="81"/>
        <v>0</v>
      </c>
      <c r="I862" s="204"/>
    </row>
    <row r="863" spans="1:9" ht="15.75" hidden="1" x14ac:dyDescent="0.25">
      <c r="A863" s="29" t="s">
        <v>1001</v>
      </c>
      <c r="B863" s="460">
        <v>908</v>
      </c>
      <c r="C863" s="462" t="s">
        <v>150</v>
      </c>
      <c r="D863" s="462" t="s">
        <v>219</v>
      </c>
      <c r="E863" s="469" t="s">
        <v>1000</v>
      </c>
      <c r="F863" s="462"/>
      <c r="G863" s="467">
        <f t="shared" si="81"/>
        <v>0</v>
      </c>
      <c r="H863" s="467">
        <f t="shared" si="81"/>
        <v>0</v>
      </c>
      <c r="I863" s="204"/>
    </row>
    <row r="864" spans="1:9" ht="31.5" hidden="1" x14ac:dyDescent="0.25">
      <c r="A864" s="466" t="s">
        <v>131</v>
      </c>
      <c r="B864" s="460">
        <v>908</v>
      </c>
      <c r="C864" s="462" t="s">
        <v>150</v>
      </c>
      <c r="D864" s="462" t="s">
        <v>219</v>
      </c>
      <c r="E864" s="469" t="s">
        <v>1000</v>
      </c>
      <c r="F864" s="462" t="s">
        <v>132</v>
      </c>
      <c r="G864" s="467">
        <f t="shared" si="81"/>
        <v>0</v>
      </c>
      <c r="H864" s="467">
        <f t="shared" si="81"/>
        <v>0</v>
      </c>
      <c r="I864" s="204"/>
    </row>
    <row r="865" spans="1:9" ht="31.5" hidden="1" x14ac:dyDescent="0.25">
      <c r="A865" s="466" t="s">
        <v>133</v>
      </c>
      <c r="B865" s="460">
        <v>908</v>
      </c>
      <c r="C865" s="462" t="s">
        <v>150</v>
      </c>
      <c r="D865" s="462" t="s">
        <v>219</v>
      </c>
      <c r="E865" s="469" t="s">
        <v>1000</v>
      </c>
      <c r="F865" s="462" t="s">
        <v>134</v>
      </c>
      <c r="G865" s="467">
        <v>0</v>
      </c>
      <c r="H865" s="467">
        <v>0</v>
      </c>
      <c r="I865" s="204"/>
    </row>
    <row r="866" spans="1:9" ht="31.5" x14ac:dyDescent="0.25">
      <c r="A866" s="34" t="s">
        <v>1063</v>
      </c>
      <c r="B866" s="461">
        <v>908</v>
      </c>
      <c r="C866" s="465" t="s">
        <v>150</v>
      </c>
      <c r="D866" s="465" t="s">
        <v>219</v>
      </c>
      <c r="E866" s="465" t="s">
        <v>959</v>
      </c>
      <c r="F866" s="465"/>
      <c r="G866" s="463">
        <f t="shared" ref="G866:H870" si="82">G867</f>
        <v>2319</v>
      </c>
      <c r="H866" s="463">
        <f t="shared" si="82"/>
        <v>2319</v>
      </c>
      <c r="I866" s="204"/>
    </row>
    <row r="867" spans="1:9" ht="15.75" x14ac:dyDescent="0.25">
      <c r="A867" s="29" t="s">
        <v>511</v>
      </c>
      <c r="B867" s="460">
        <v>908</v>
      </c>
      <c r="C867" s="462" t="s">
        <v>150</v>
      </c>
      <c r="D867" s="462" t="s">
        <v>219</v>
      </c>
      <c r="E867" s="469" t="s">
        <v>1002</v>
      </c>
      <c r="F867" s="462"/>
      <c r="G867" s="467">
        <f>G870+G868</f>
        <v>2319</v>
      </c>
      <c r="H867" s="467">
        <f>H870+H868</f>
        <v>2319</v>
      </c>
      <c r="I867" s="204"/>
    </row>
    <row r="868" spans="1:9" ht="78.75" x14ac:dyDescent="0.25">
      <c r="A868" s="466" t="s">
        <v>127</v>
      </c>
      <c r="B868" s="460">
        <v>908</v>
      </c>
      <c r="C868" s="462" t="s">
        <v>150</v>
      </c>
      <c r="D868" s="462" t="s">
        <v>219</v>
      </c>
      <c r="E868" s="469" t="s">
        <v>1002</v>
      </c>
      <c r="F868" s="462" t="s">
        <v>128</v>
      </c>
      <c r="G868" s="467">
        <f>G869</f>
        <v>1807</v>
      </c>
      <c r="H868" s="467">
        <f>H869</f>
        <v>1807</v>
      </c>
      <c r="I868" s="204"/>
    </row>
    <row r="869" spans="1:9" ht="24" customHeight="1" x14ac:dyDescent="0.25">
      <c r="A869" s="466" t="s">
        <v>342</v>
      </c>
      <c r="B869" s="460">
        <v>908</v>
      </c>
      <c r="C869" s="462" t="s">
        <v>150</v>
      </c>
      <c r="D869" s="462" t="s">
        <v>219</v>
      </c>
      <c r="E869" s="469" t="s">
        <v>1002</v>
      </c>
      <c r="F869" s="462" t="s">
        <v>209</v>
      </c>
      <c r="G869" s="467">
        <v>1807</v>
      </c>
      <c r="H869" s="467">
        <f>G869</f>
        <v>1807</v>
      </c>
      <c r="I869" s="204"/>
    </row>
    <row r="870" spans="1:9" ht="31.5" x14ac:dyDescent="0.25">
      <c r="A870" s="466" t="s">
        <v>131</v>
      </c>
      <c r="B870" s="460">
        <v>908</v>
      </c>
      <c r="C870" s="462" t="s">
        <v>150</v>
      </c>
      <c r="D870" s="462" t="s">
        <v>219</v>
      </c>
      <c r="E870" s="469" t="s">
        <v>1002</v>
      </c>
      <c r="F870" s="462" t="s">
        <v>132</v>
      </c>
      <c r="G870" s="467">
        <f t="shared" si="82"/>
        <v>512</v>
      </c>
      <c r="H870" s="467">
        <f t="shared" si="82"/>
        <v>512</v>
      </c>
      <c r="I870" s="204"/>
    </row>
    <row r="871" spans="1:9" ht="31.5" x14ac:dyDescent="0.25">
      <c r="A871" s="466" t="s">
        <v>133</v>
      </c>
      <c r="B871" s="460">
        <v>908</v>
      </c>
      <c r="C871" s="462" t="s">
        <v>150</v>
      </c>
      <c r="D871" s="462" t="s">
        <v>219</v>
      </c>
      <c r="E871" s="469" t="s">
        <v>1002</v>
      </c>
      <c r="F871" s="462" t="s">
        <v>134</v>
      </c>
      <c r="G871" s="467">
        <f>1793+350-761+88.8-958.8</f>
        <v>512</v>
      </c>
      <c r="H871" s="467">
        <f>G871</f>
        <v>512</v>
      </c>
      <c r="I871" s="204"/>
    </row>
    <row r="872" spans="1:9" ht="15.75" hidden="1" x14ac:dyDescent="0.25">
      <c r="A872" s="466" t="s">
        <v>135</v>
      </c>
      <c r="B872" s="460">
        <v>908</v>
      </c>
      <c r="C872" s="462" t="s">
        <v>150</v>
      </c>
      <c r="D872" s="462" t="s">
        <v>219</v>
      </c>
      <c r="E872" s="469" t="s">
        <v>1002</v>
      </c>
      <c r="F872" s="462" t="s">
        <v>145</v>
      </c>
      <c r="G872" s="467">
        <f>'[1]Пр.5 ведом.21'!G859</f>
        <v>0</v>
      </c>
      <c r="H872" s="467">
        <f t="shared" si="78"/>
        <v>0</v>
      </c>
      <c r="I872" s="204"/>
    </row>
    <row r="873" spans="1:9" ht="15.75" hidden="1" x14ac:dyDescent="0.25">
      <c r="A873" s="466" t="s">
        <v>568</v>
      </c>
      <c r="B873" s="460">
        <v>908</v>
      </c>
      <c r="C873" s="462" t="s">
        <v>150</v>
      </c>
      <c r="D873" s="462" t="s">
        <v>219</v>
      </c>
      <c r="E873" s="469" t="s">
        <v>1002</v>
      </c>
      <c r="F873" s="462" t="s">
        <v>138</v>
      </c>
      <c r="G873" s="467">
        <f>'[1]Пр.5 ведом.21'!G860</f>
        <v>0</v>
      </c>
      <c r="H873" s="467">
        <f t="shared" si="78"/>
        <v>0</v>
      </c>
      <c r="I873" s="204"/>
    </row>
    <row r="874" spans="1:9" ht="15.75" x14ac:dyDescent="0.25">
      <c r="A874" s="464" t="s">
        <v>390</v>
      </c>
      <c r="B874" s="461">
        <v>908</v>
      </c>
      <c r="C874" s="465" t="s">
        <v>234</v>
      </c>
      <c r="D874" s="465"/>
      <c r="E874" s="465"/>
      <c r="F874" s="465"/>
      <c r="G874" s="463">
        <f>G875+G889+G953+G1003</f>
        <v>41515.699999999997</v>
      </c>
      <c r="H874" s="463">
        <f>H875+H889+H953+H1003</f>
        <v>49628.05</v>
      </c>
      <c r="I874" s="204"/>
    </row>
    <row r="875" spans="1:9" ht="15.75" x14ac:dyDescent="0.25">
      <c r="A875" s="464" t="s">
        <v>391</v>
      </c>
      <c r="B875" s="461">
        <v>908</v>
      </c>
      <c r="C875" s="465" t="s">
        <v>234</v>
      </c>
      <c r="D875" s="465" t="s">
        <v>118</v>
      </c>
      <c r="E875" s="465"/>
      <c r="F875" s="465"/>
      <c r="G875" s="463">
        <f>G876</f>
        <v>5790</v>
      </c>
      <c r="H875" s="463">
        <f>H876</f>
        <v>5790</v>
      </c>
      <c r="I875" s="204"/>
    </row>
    <row r="876" spans="1:9" ht="15.75" x14ac:dyDescent="0.25">
      <c r="A876" s="464" t="s">
        <v>141</v>
      </c>
      <c r="B876" s="461">
        <v>908</v>
      </c>
      <c r="C876" s="465" t="s">
        <v>234</v>
      </c>
      <c r="D876" s="465" t="s">
        <v>118</v>
      </c>
      <c r="E876" s="465" t="s">
        <v>866</v>
      </c>
      <c r="F876" s="465"/>
      <c r="G876" s="463">
        <f>G877</f>
        <v>5790</v>
      </c>
      <c r="H876" s="463">
        <f>H877</f>
        <v>5790</v>
      </c>
      <c r="I876" s="204"/>
    </row>
    <row r="877" spans="1:9" ht="31.5" x14ac:dyDescent="0.25">
      <c r="A877" s="464" t="s">
        <v>870</v>
      </c>
      <c r="B877" s="461">
        <v>908</v>
      </c>
      <c r="C877" s="465" t="s">
        <v>234</v>
      </c>
      <c r="D877" s="465" t="s">
        <v>118</v>
      </c>
      <c r="E877" s="465" t="s">
        <v>865</v>
      </c>
      <c r="F877" s="465"/>
      <c r="G877" s="463">
        <f>G886+G883+G878</f>
        <v>5790</v>
      </c>
      <c r="H877" s="463">
        <f>H886+H883+H878</f>
        <v>5790</v>
      </c>
      <c r="I877" s="204"/>
    </row>
    <row r="878" spans="1:9" ht="15.75" hidden="1" x14ac:dyDescent="0.25">
      <c r="A878" s="466" t="s">
        <v>515</v>
      </c>
      <c r="B878" s="460">
        <v>908</v>
      </c>
      <c r="C878" s="462" t="s">
        <v>774</v>
      </c>
      <c r="D878" s="462" t="s">
        <v>118</v>
      </c>
      <c r="E878" s="462" t="s">
        <v>960</v>
      </c>
      <c r="F878" s="465"/>
      <c r="G878" s="467">
        <f>'[1]Пр.5 ведом.21'!G865</f>
        <v>0</v>
      </c>
      <c r="H878" s="467">
        <f t="shared" si="78"/>
        <v>0</v>
      </c>
      <c r="I878" s="204"/>
    </row>
    <row r="879" spans="1:9" ht="31.5" hidden="1" x14ac:dyDescent="0.25">
      <c r="A879" s="466" t="s">
        <v>131</v>
      </c>
      <c r="B879" s="460">
        <v>908</v>
      </c>
      <c r="C879" s="462" t="s">
        <v>234</v>
      </c>
      <c r="D879" s="462" t="s">
        <v>118</v>
      </c>
      <c r="E879" s="462" t="s">
        <v>960</v>
      </c>
      <c r="F879" s="462" t="s">
        <v>132</v>
      </c>
      <c r="G879" s="467">
        <f>'[1]Пр.5 ведом.21'!G866</f>
        <v>0</v>
      </c>
      <c r="H879" s="467">
        <f t="shared" si="78"/>
        <v>0</v>
      </c>
      <c r="I879" s="204"/>
    </row>
    <row r="880" spans="1:9" ht="31.5" hidden="1" x14ac:dyDescent="0.25">
      <c r="A880" s="466" t="s">
        <v>133</v>
      </c>
      <c r="B880" s="460">
        <v>908</v>
      </c>
      <c r="C880" s="462" t="s">
        <v>234</v>
      </c>
      <c r="D880" s="462" t="s">
        <v>118</v>
      </c>
      <c r="E880" s="462" t="s">
        <v>960</v>
      </c>
      <c r="F880" s="462" t="s">
        <v>134</v>
      </c>
      <c r="G880" s="467">
        <f>'[1]Пр.5 ведом.21'!G867</f>
        <v>0</v>
      </c>
      <c r="H880" s="467">
        <f t="shared" si="78"/>
        <v>0</v>
      </c>
      <c r="I880" s="204"/>
    </row>
    <row r="881" spans="1:9" ht="15.75" hidden="1" x14ac:dyDescent="0.25">
      <c r="A881" s="466" t="s">
        <v>135</v>
      </c>
      <c r="B881" s="460">
        <v>908</v>
      </c>
      <c r="C881" s="462" t="s">
        <v>234</v>
      </c>
      <c r="D881" s="462" t="s">
        <v>118</v>
      </c>
      <c r="E881" s="462" t="s">
        <v>960</v>
      </c>
      <c r="F881" s="462" t="s">
        <v>145</v>
      </c>
      <c r="G881" s="467">
        <f>'[1]Пр.5 ведом.21'!G868</f>
        <v>0</v>
      </c>
      <c r="H881" s="467">
        <f t="shared" si="78"/>
        <v>0</v>
      </c>
      <c r="I881" s="204"/>
    </row>
    <row r="882" spans="1:9" ht="47.25" hidden="1" x14ac:dyDescent="0.25">
      <c r="A882" s="466" t="s">
        <v>184</v>
      </c>
      <c r="B882" s="460">
        <v>908</v>
      </c>
      <c r="C882" s="462" t="s">
        <v>234</v>
      </c>
      <c r="D882" s="462" t="s">
        <v>118</v>
      </c>
      <c r="E882" s="462" t="s">
        <v>960</v>
      </c>
      <c r="F882" s="462" t="s">
        <v>160</v>
      </c>
      <c r="G882" s="467">
        <f>'[1]Пр.5 ведом.21'!G869</f>
        <v>0</v>
      </c>
      <c r="H882" s="467">
        <f t="shared" si="78"/>
        <v>0</v>
      </c>
      <c r="I882" s="204"/>
    </row>
    <row r="883" spans="1:9" ht="31.5" x14ac:dyDescent="0.25">
      <c r="A883" s="29" t="s">
        <v>398</v>
      </c>
      <c r="B883" s="460">
        <v>908</v>
      </c>
      <c r="C883" s="462" t="s">
        <v>234</v>
      </c>
      <c r="D883" s="462" t="s">
        <v>118</v>
      </c>
      <c r="E883" s="462" t="s">
        <v>961</v>
      </c>
      <c r="F883" s="465"/>
      <c r="G883" s="467">
        <f>G884</f>
        <v>4650</v>
      </c>
      <c r="H883" s="467">
        <f>H884</f>
        <v>4650</v>
      </c>
      <c r="I883" s="204"/>
    </row>
    <row r="884" spans="1:9" ht="31.5" x14ac:dyDescent="0.25">
      <c r="A884" s="466" t="s">
        <v>131</v>
      </c>
      <c r="B884" s="460">
        <v>908</v>
      </c>
      <c r="C884" s="462" t="s">
        <v>234</v>
      </c>
      <c r="D884" s="462" t="s">
        <v>118</v>
      </c>
      <c r="E884" s="462" t="s">
        <v>961</v>
      </c>
      <c r="F884" s="462" t="s">
        <v>132</v>
      </c>
      <c r="G884" s="467">
        <f>G885</f>
        <v>4650</v>
      </c>
      <c r="H884" s="467">
        <f>H885</f>
        <v>4650</v>
      </c>
      <c r="I884" s="204"/>
    </row>
    <row r="885" spans="1:9" ht="31.5" x14ac:dyDescent="0.25">
      <c r="A885" s="466" t="s">
        <v>133</v>
      </c>
      <c r="B885" s="460">
        <v>908</v>
      </c>
      <c r="C885" s="462" t="s">
        <v>234</v>
      </c>
      <c r="D885" s="462" t="s">
        <v>118</v>
      </c>
      <c r="E885" s="462" t="s">
        <v>961</v>
      </c>
      <c r="F885" s="462" t="s">
        <v>134</v>
      </c>
      <c r="G885" s="467">
        <v>4650</v>
      </c>
      <c r="H885" s="467">
        <f t="shared" si="78"/>
        <v>4650</v>
      </c>
      <c r="I885" s="204"/>
    </row>
    <row r="886" spans="1:9" ht="31.5" x14ac:dyDescent="0.25">
      <c r="A886" s="29" t="s">
        <v>932</v>
      </c>
      <c r="B886" s="460">
        <v>908</v>
      </c>
      <c r="C886" s="462" t="s">
        <v>234</v>
      </c>
      <c r="D886" s="462" t="s">
        <v>118</v>
      </c>
      <c r="E886" s="462" t="s">
        <v>962</v>
      </c>
      <c r="F886" s="465"/>
      <c r="G886" s="467">
        <f>G887</f>
        <v>1140</v>
      </c>
      <c r="H886" s="467">
        <f>H887</f>
        <v>1140</v>
      </c>
      <c r="I886" s="204"/>
    </row>
    <row r="887" spans="1:9" ht="31.5" x14ac:dyDescent="0.25">
      <c r="A887" s="466" t="s">
        <v>131</v>
      </c>
      <c r="B887" s="460">
        <v>908</v>
      </c>
      <c r="C887" s="462" t="s">
        <v>234</v>
      </c>
      <c r="D887" s="462" t="s">
        <v>118</v>
      </c>
      <c r="E887" s="462" t="s">
        <v>962</v>
      </c>
      <c r="F887" s="462" t="s">
        <v>132</v>
      </c>
      <c r="G887" s="467">
        <f>G888</f>
        <v>1140</v>
      </c>
      <c r="H887" s="467">
        <f>H888</f>
        <v>1140</v>
      </c>
      <c r="I887" s="204"/>
    </row>
    <row r="888" spans="1:9" ht="31.5" x14ac:dyDescent="0.25">
      <c r="A888" s="466" t="s">
        <v>133</v>
      </c>
      <c r="B888" s="460">
        <v>908</v>
      </c>
      <c r="C888" s="462" t="s">
        <v>234</v>
      </c>
      <c r="D888" s="462" t="s">
        <v>118</v>
      </c>
      <c r="E888" s="462" t="s">
        <v>962</v>
      </c>
      <c r="F888" s="462" t="s">
        <v>134</v>
      </c>
      <c r="G888" s="467">
        <f>1140</f>
        <v>1140</v>
      </c>
      <c r="H888" s="467">
        <f t="shared" si="78"/>
        <v>1140</v>
      </c>
      <c r="I888" s="204"/>
    </row>
    <row r="889" spans="1:9" ht="15.75" x14ac:dyDescent="0.25">
      <c r="A889" s="464" t="s">
        <v>517</v>
      </c>
      <c r="B889" s="461">
        <v>908</v>
      </c>
      <c r="C889" s="465" t="s">
        <v>234</v>
      </c>
      <c r="D889" s="465" t="s">
        <v>213</v>
      </c>
      <c r="E889" s="465"/>
      <c r="F889" s="465"/>
      <c r="G889" s="463">
        <f>G890+G919+G948</f>
        <v>6611.199999999998</v>
      </c>
      <c r="H889" s="463">
        <f>H890+H919+H948</f>
        <v>14470.550000000001</v>
      </c>
      <c r="I889" s="204"/>
    </row>
    <row r="890" spans="1:9" ht="15.75" x14ac:dyDescent="0.25">
      <c r="A890" s="464" t="s">
        <v>141</v>
      </c>
      <c r="B890" s="461">
        <v>908</v>
      </c>
      <c r="C890" s="465" t="s">
        <v>234</v>
      </c>
      <c r="D890" s="465" t="s">
        <v>213</v>
      </c>
      <c r="E890" s="465" t="s">
        <v>866</v>
      </c>
      <c r="F890" s="465"/>
      <c r="G890" s="463">
        <f>G891+G902</f>
        <v>5707.199999999998</v>
      </c>
      <c r="H890" s="463">
        <f>H891+H902</f>
        <v>13555.550000000001</v>
      </c>
      <c r="I890" s="204"/>
    </row>
    <row r="891" spans="1:9" ht="31.5" x14ac:dyDescent="0.25">
      <c r="A891" s="464" t="s">
        <v>870</v>
      </c>
      <c r="B891" s="461">
        <v>908</v>
      </c>
      <c r="C891" s="465" t="s">
        <v>234</v>
      </c>
      <c r="D891" s="465" t="s">
        <v>213</v>
      </c>
      <c r="E891" s="465" t="s">
        <v>865</v>
      </c>
      <c r="F891" s="465"/>
      <c r="G891" s="463">
        <f>G892+G897</f>
        <v>5707.199999999998</v>
      </c>
      <c r="H891" s="463">
        <f>H892+H897</f>
        <v>13555.550000000001</v>
      </c>
      <c r="I891" s="204"/>
    </row>
    <row r="892" spans="1:9" ht="15.75" hidden="1" x14ac:dyDescent="0.25">
      <c r="A892" s="35" t="s">
        <v>537</v>
      </c>
      <c r="B892" s="460">
        <v>908</v>
      </c>
      <c r="C892" s="462" t="s">
        <v>234</v>
      </c>
      <c r="D892" s="462" t="s">
        <v>213</v>
      </c>
      <c r="E892" s="462" t="s">
        <v>979</v>
      </c>
      <c r="F892" s="462"/>
      <c r="G892" s="467">
        <f>G893+G895</f>
        <v>0</v>
      </c>
      <c r="H892" s="467">
        <f t="shared" si="78"/>
        <v>0</v>
      </c>
      <c r="I892" s="204"/>
    </row>
    <row r="893" spans="1:9" ht="31.5" hidden="1" x14ac:dyDescent="0.25">
      <c r="A893" s="466" t="s">
        <v>131</v>
      </c>
      <c r="B893" s="460">
        <v>908</v>
      </c>
      <c r="C893" s="462" t="s">
        <v>234</v>
      </c>
      <c r="D893" s="462" t="s">
        <v>213</v>
      </c>
      <c r="E893" s="462" t="s">
        <v>979</v>
      </c>
      <c r="F893" s="462" t="s">
        <v>132</v>
      </c>
      <c r="G893" s="467">
        <f>G894</f>
        <v>0</v>
      </c>
      <c r="H893" s="467">
        <f t="shared" si="78"/>
        <v>0</v>
      </c>
      <c r="I893" s="204"/>
    </row>
    <row r="894" spans="1:9" ht="31.5" hidden="1" x14ac:dyDescent="0.25">
      <c r="A894" s="466" t="s">
        <v>133</v>
      </c>
      <c r="B894" s="460">
        <v>908</v>
      </c>
      <c r="C894" s="462" t="s">
        <v>234</v>
      </c>
      <c r="D894" s="462" t="s">
        <v>213</v>
      </c>
      <c r="E894" s="462" t="s">
        <v>979</v>
      </c>
      <c r="F894" s="462" t="s">
        <v>134</v>
      </c>
      <c r="G894" s="467">
        <v>0</v>
      </c>
      <c r="H894" s="467">
        <f t="shared" si="78"/>
        <v>0</v>
      </c>
      <c r="I894" s="204"/>
    </row>
    <row r="895" spans="1:9" ht="15.75" hidden="1" x14ac:dyDescent="0.25">
      <c r="A895" s="466" t="s">
        <v>135</v>
      </c>
      <c r="B895" s="460">
        <v>908</v>
      </c>
      <c r="C895" s="462" t="s">
        <v>234</v>
      </c>
      <c r="D895" s="462" t="s">
        <v>213</v>
      </c>
      <c r="E895" s="462" t="s">
        <v>979</v>
      </c>
      <c r="F895" s="462" t="s">
        <v>145</v>
      </c>
      <c r="G895" s="467">
        <f>G896</f>
        <v>0</v>
      </c>
      <c r="H895" s="467">
        <f t="shared" si="78"/>
        <v>0</v>
      </c>
      <c r="I895" s="204"/>
    </row>
    <row r="896" spans="1:9" ht="47.25" hidden="1" x14ac:dyDescent="0.25">
      <c r="A896" s="466" t="s">
        <v>184</v>
      </c>
      <c r="B896" s="460">
        <v>908</v>
      </c>
      <c r="C896" s="462" t="s">
        <v>234</v>
      </c>
      <c r="D896" s="462" t="s">
        <v>213</v>
      </c>
      <c r="E896" s="462" t="s">
        <v>979</v>
      </c>
      <c r="F896" s="462" t="s">
        <v>160</v>
      </c>
      <c r="G896" s="467">
        <f>'[1]Пр.5 ведом.21'!G883</f>
        <v>0</v>
      </c>
      <c r="H896" s="467">
        <f t="shared" si="78"/>
        <v>0</v>
      </c>
      <c r="I896" s="204"/>
    </row>
    <row r="897" spans="1:9" ht="31.5" x14ac:dyDescent="0.25">
      <c r="A897" s="29" t="s">
        <v>932</v>
      </c>
      <c r="B897" s="460">
        <v>908</v>
      </c>
      <c r="C897" s="462" t="s">
        <v>234</v>
      </c>
      <c r="D897" s="462" t="s">
        <v>213</v>
      </c>
      <c r="E897" s="462" t="s">
        <v>962</v>
      </c>
      <c r="F897" s="462"/>
      <c r="G897" s="467">
        <f>G898</f>
        <v>5707.199999999998</v>
      </c>
      <c r="H897" s="467">
        <f>H898</f>
        <v>13555.550000000001</v>
      </c>
      <c r="I897" s="204"/>
    </row>
    <row r="898" spans="1:9" ht="31.5" x14ac:dyDescent="0.25">
      <c r="A898" s="466" t="s">
        <v>131</v>
      </c>
      <c r="B898" s="460">
        <v>908</v>
      </c>
      <c r="C898" s="462" t="s">
        <v>234</v>
      </c>
      <c r="D898" s="462" t="s">
        <v>213</v>
      </c>
      <c r="E898" s="462" t="s">
        <v>962</v>
      </c>
      <c r="F898" s="462" t="s">
        <v>132</v>
      </c>
      <c r="G898" s="467">
        <f>G899</f>
        <v>5707.199999999998</v>
      </c>
      <c r="H898" s="467">
        <f>H899</f>
        <v>13555.550000000001</v>
      </c>
      <c r="I898" s="204"/>
    </row>
    <row r="899" spans="1:9" ht="31.5" x14ac:dyDescent="0.25">
      <c r="A899" s="466" t="s">
        <v>133</v>
      </c>
      <c r="B899" s="460">
        <v>908</v>
      </c>
      <c r="C899" s="462" t="s">
        <v>234</v>
      </c>
      <c r="D899" s="462" t="s">
        <v>213</v>
      </c>
      <c r="E899" s="462" t="s">
        <v>962</v>
      </c>
      <c r="F899" s="462" t="s">
        <v>134</v>
      </c>
      <c r="G899" s="467">
        <f>14881.91-4224.29+2030.8-4000-3375.3+394.08</f>
        <v>5707.199999999998</v>
      </c>
      <c r="H899" s="467">
        <f>16519.25-3375.3+411.6</f>
        <v>13555.550000000001</v>
      </c>
      <c r="I899" s="204"/>
    </row>
    <row r="900" spans="1:9" ht="15.75" hidden="1" x14ac:dyDescent="0.25">
      <c r="A900" s="466" t="s">
        <v>135</v>
      </c>
      <c r="B900" s="460">
        <v>908</v>
      </c>
      <c r="C900" s="462" t="s">
        <v>234</v>
      </c>
      <c r="D900" s="462" t="s">
        <v>213</v>
      </c>
      <c r="E900" s="462" t="s">
        <v>962</v>
      </c>
      <c r="F900" s="462" t="s">
        <v>145</v>
      </c>
      <c r="G900" s="467">
        <f>'[1]Пр.5 ведом.21'!G888</f>
        <v>0</v>
      </c>
      <c r="H900" s="467">
        <f t="shared" si="78"/>
        <v>0</v>
      </c>
      <c r="I900" s="204"/>
    </row>
    <row r="901" spans="1:9" ht="15.75" hidden="1" x14ac:dyDescent="0.25">
      <c r="A901" s="466" t="s">
        <v>146</v>
      </c>
      <c r="B901" s="460">
        <v>908</v>
      </c>
      <c r="C901" s="462" t="s">
        <v>234</v>
      </c>
      <c r="D901" s="462" t="s">
        <v>213</v>
      </c>
      <c r="E901" s="462" t="s">
        <v>962</v>
      </c>
      <c r="F901" s="462" t="s">
        <v>147</v>
      </c>
      <c r="G901" s="467">
        <f>'[1]Пр.5 ведом.21'!G889</f>
        <v>0</v>
      </c>
      <c r="H901" s="467">
        <f t="shared" si="78"/>
        <v>0</v>
      </c>
      <c r="I901" s="204"/>
    </row>
    <row r="902" spans="1:9" ht="47.25" hidden="1" x14ac:dyDescent="0.25">
      <c r="A902" s="464" t="s">
        <v>1013</v>
      </c>
      <c r="B902" s="461">
        <v>908</v>
      </c>
      <c r="C902" s="465" t="s">
        <v>234</v>
      </c>
      <c r="D902" s="465" t="s">
        <v>213</v>
      </c>
      <c r="E902" s="465" t="s">
        <v>980</v>
      </c>
      <c r="F902" s="465"/>
      <c r="G902" s="463">
        <f>G903+G911+G908+G916</f>
        <v>0</v>
      </c>
      <c r="H902" s="463">
        <f>H903+H911+H908+H916</f>
        <v>0</v>
      </c>
      <c r="I902" s="204"/>
    </row>
    <row r="903" spans="1:9" ht="47.25" hidden="1" x14ac:dyDescent="0.25">
      <c r="A903" s="466" t="s">
        <v>827</v>
      </c>
      <c r="B903" s="460">
        <v>908</v>
      </c>
      <c r="C903" s="462" t="s">
        <v>234</v>
      </c>
      <c r="D903" s="462" t="s">
        <v>213</v>
      </c>
      <c r="E903" s="462" t="s">
        <v>981</v>
      </c>
      <c r="F903" s="462"/>
      <c r="G903" s="467">
        <f>'[1]Пр.5 ведом.21'!G891</f>
        <v>0</v>
      </c>
      <c r="H903" s="467">
        <f t="shared" ref="H903:H973" si="83">G903</f>
        <v>0</v>
      </c>
      <c r="I903" s="204"/>
    </row>
    <row r="904" spans="1:9" ht="31.5" hidden="1" x14ac:dyDescent="0.25">
      <c r="A904" s="466" t="s">
        <v>131</v>
      </c>
      <c r="B904" s="460">
        <v>908</v>
      </c>
      <c r="C904" s="462" t="s">
        <v>234</v>
      </c>
      <c r="D904" s="462" t="s">
        <v>213</v>
      </c>
      <c r="E904" s="462" t="s">
        <v>981</v>
      </c>
      <c r="F904" s="462" t="s">
        <v>132</v>
      </c>
      <c r="G904" s="467">
        <f>'[1]Пр.5 ведом.21'!G892</f>
        <v>0</v>
      </c>
      <c r="H904" s="467">
        <f t="shared" si="83"/>
        <v>0</v>
      </c>
      <c r="I904" s="204"/>
    </row>
    <row r="905" spans="1:9" ht="31.5" hidden="1" x14ac:dyDescent="0.25">
      <c r="A905" s="466" t="s">
        <v>133</v>
      </c>
      <c r="B905" s="460">
        <v>908</v>
      </c>
      <c r="C905" s="462" t="s">
        <v>234</v>
      </c>
      <c r="D905" s="462" t="s">
        <v>213</v>
      </c>
      <c r="E905" s="462" t="s">
        <v>981</v>
      </c>
      <c r="F905" s="462" t="s">
        <v>134</v>
      </c>
      <c r="G905" s="467">
        <f>'[1]Пр.5 ведом.21'!G893</f>
        <v>0</v>
      </c>
      <c r="H905" s="467">
        <f t="shared" si="83"/>
        <v>0</v>
      </c>
      <c r="I905" s="204"/>
    </row>
    <row r="906" spans="1:9" ht="15.75" hidden="1" x14ac:dyDescent="0.25">
      <c r="A906" s="466" t="s">
        <v>135</v>
      </c>
      <c r="B906" s="460">
        <v>908</v>
      </c>
      <c r="C906" s="462" t="s">
        <v>234</v>
      </c>
      <c r="D906" s="462" t="s">
        <v>213</v>
      </c>
      <c r="E906" s="462" t="s">
        <v>981</v>
      </c>
      <c r="F906" s="462" t="s">
        <v>837</v>
      </c>
      <c r="G906" s="467">
        <f>'[1]Пр.5 ведом.21'!G894</f>
        <v>0</v>
      </c>
      <c r="H906" s="467">
        <f t="shared" si="83"/>
        <v>0</v>
      </c>
      <c r="I906" s="204"/>
    </row>
    <row r="907" spans="1:9" ht="15.75" hidden="1" x14ac:dyDescent="0.25">
      <c r="A907" s="466" t="s">
        <v>568</v>
      </c>
      <c r="B907" s="460">
        <v>908</v>
      </c>
      <c r="C907" s="462" t="s">
        <v>234</v>
      </c>
      <c r="D907" s="462" t="s">
        <v>213</v>
      </c>
      <c r="E907" s="462" t="s">
        <v>981</v>
      </c>
      <c r="F907" s="462" t="s">
        <v>1070</v>
      </c>
      <c r="G907" s="467">
        <f>'[1]Пр.5 ведом.21'!G895</f>
        <v>0</v>
      </c>
      <c r="H907" s="467">
        <f t="shared" si="83"/>
        <v>0</v>
      </c>
      <c r="I907" s="204"/>
    </row>
    <row r="908" spans="1:9" ht="63" hidden="1" x14ac:dyDescent="0.25">
      <c r="A908" s="466" t="s">
        <v>793</v>
      </c>
      <c r="B908" s="460">
        <v>908</v>
      </c>
      <c r="C908" s="462" t="s">
        <v>234</v>
      </c>
      <c r="D908" s="462" t="s">
        <v>213</v>
      </c>
      <c r="E908" s="462" t="s">
        <v>982</v>
      </c>
      <c r="F908" s="462"/>
      <c r="G908" s="467">
        <f>'[1]Пр.5 ведом.21'!G896</f>
        <v>0</v>
      </c>
      <c r="H908" s="467">
        <f t="shared" si="83"/>
        <v>0</v>
      </c>
      <c r="I908" s="204"/>
    </row>
    <row r="909" spans="1:9" ht="31.5" hidden="1" x14ac:dyDescent="0.25">
      <c r="A909" s="466" t="s">
        <v>131</v>
      </c>
      <c r="B909" s="460">
        <v>908</v>
      </c>
      <c r="C909" s="462" t="s">
        <v>234</v>
      </c>
      <c r="D909" s="462" t="s">
        <v>213</v>
      </c>
      <c r="E909" s="462" t="s">
        <v>982</v>
      </c>
      <c r="F909" s="462" t="s">
        <v>132</v>
      </c>
      <c r="G909" s="467">
        <f>'[1]Пр.5 ведом.21'!G897</f>
        <v>0</v>
      </c>
      <c r="H909" s="467">
        <f t="shared" si="83"/>
        <v>0</v>
      </c>
      <c r="I909" s="204"/>
    </row>
    <row r="910" spans="1:9" ht="31.5" hidden="1" x14ac:dyDescent="0.25">
      <c r="A910" s="466" t="s">
        <v>133</v>
      </c>
      <c r="B910" s="460">
        <v>908</v>
      </c>
      <c r="C910" s="462" t="s">
        <v>234</v>
      </c>
      <c r="D910" s="462" t="s">
        <v>213</v>
      </c>
      <c r="E910" s="462" t="s">
        <v>982</v>
      </c>
      <c r="F910" s="462" t="s">
        <v>134</v>
      </c>
      <c r="G910" s="467">
        <f>'[1]Пр.5 ведом.21'!G898</f>
        <v>0</v>
      </c>
      <c r="H910" s="467">
        <f t="shared" si="83"/>
        <v>0</v>
      </c>
      <c r="I910" s="204"/>
    </row>
    <row r="911" spans="1:9" ht="47.25" hidden="1" x14ac:dyDescent="0.25">
      <c r="A911" s="97" t="s">
        <v>833</v>
      </c>
      <c r="B911" s="460">
        <v>908</v>
      </c>
      <c r="C911" s="462" t="s">
        <v>234</v>
      </c>
      <c r="D911" s="462" t="s">
        <v>213</v>
      </c>
      <c r="E911" s="462" t="s">
        <v>983</v>
      </c>
      <c r="F911" s="462"/>
      <c r="G911" s="467">
        <f>'[1]Пр.5 ведом.21'!G899</f>
        <v>0</v>
      </c>
      <c r="H911" s="467">
        <f t="shared" si="83"/>
        <v>0</v>
      </c>
      <c r="I911" s="204"/>
    </row>
    <row r="912" spans="1:9" ht="31.5" hidden="1" x14ac:dyDescent="0.25">
      <c r="A912" s="466" t="s">
        <v>838</v>
      </c>
      <c r="B912" s="460">
        <v>908</v>
      </c>
      <c r="C912" s="462" t="s">
        <v>234</v>
      </c>
      <c r="D912" s="462" t="s">
        <v>213</v>
      </c>
      <c r="E912" s="462" t="s">
        <v>983</v>
      </c>
      <c r="F912" s="462" t="s">
        <v>837</v>
      </c>
      <c r="G912" s="467">
        <f>'[1]Пр.5 ведом.21'!G900</f>
        <v>0</v>
      </c>
      <c r="H912" s="467">
        <f t="shared" si="83"/>
        <v>0</v>
      </c>
      <c r="I912" s="204"/>
    </row>
    <row r="913" spans="1:9" ht="63" hidden="1" x14ac:dyDescent="0.25">
      <c r="A913" s="466" t="s">
        <v>1051</v>
      </c>
      <c r="B913" s="460">
        <v>908</v>
      </c>
      <c r="C913" s="462" t="s">
        <v>234</v>
      </c>
      <c r="D913" s="462" t="s">
        <v>213</v>
      </c>
      <c r="E913" s="462" t="s">
        <v>983</v>
      </c>
      <c r="F913" s="462" t="s">
        <v>1070</v>
      </c>
      <c r="G913" s="467">
        <f>'[1]Пр.5 ведом.21'!G901</f>
        <v>0</v>
      </c>
      <c r="H913" s="467">
        <f t="shared" si="83"/>
        <v>0</v>
      </c>
      <c r="I913" s="204"/>
    </row>
    <row r="914" spans="1:9" ht="15.75" hidden="1" x14ac:dyDescent="0.25">
      <c r="A914" s="466" t="s">
        <v>135</v>
      </c>
      <c r="B914" s="460">
        <v>908</v>
      </c>
      <c r="C914" s="462" t="s">
        <v>234</v>
      </c>
      <c r="D914" s="462" t="s">
        <v>213</v>
      </c>
      <c r="E914" s="462" t="s">
        <v>983</v>
      </c>
      <c r="F914" s="462" t="s">
        <v>145</v>
      </c>
      <c r="G914" s="467">
        <f>'[1]Пр.5 ведом.21'!G902</f>
        <v>0</v>
      </c>
      <c r="H914" s="467">
        <f t="shared" si="83"/>
        <v>0</v>
      </c>
      <c r="I914" s="204"/>
    </row>
    <row r="915" spans="1:9" ht="15.75" hidden="1" x14ac:dyDescent="0.25">
      <c r="A915" s="466" t="s">
        <v>704</v>
      </c>
      <c r="B915" s="460">
        <v>908</v>
      </c>
      <c r="C915" s="462" t="s">
        <v>234</v>
      </c>
      <c r="D915" s="462" t="s">
        <v>213</v>
      </c>
      <c r="E915" s="462" t="s">
        <v>983</v>
      </c>
      <c r="F915" s="462" t="s">
        <v>138</v>
      </c>
      <c r="G915" s="467">
        <f>'[1]Пр.5 ведом.21'!G903</f>
        <v>0</v>
      </c>
      <c r="H915" s="467">
        <f t="shared" si="83"/>
        <v>0</v>
      </c>
      <c r="I915" s="204"/>
    </row>
    <row r="916" spans="1:9" ht="31.5" hidden="1" x14ac:dyDescent="0.25">
      <c r="A916" s="466" t="s">
        <v>1071</v>
      </c>
      <c r="B916" s="460">
        <v>908</v>
      </c>
      <c r="C916" s="462" t="s">
        <v>234</v>
      </c>
      <c r="D916" s="462" t="s">
        <v>213</v>
      </c>
      <c r="E916" s="462" t="s">
        <v>1072</v>
      </c>
      <c r="F916" s="462"/>
      <c r="G916" s="467">
        <f>'[1]Пр.5 ведом.21'!G904</f>
        <v>0</v>
      </c>
      <c r="H916" s="467">
        <f t="shared" si="83"/>
        <v>0</v>
      </c>
      <c r="I916" s="204"/>
    </row>
    <row r="917" spans="1:9" ht="31.5" hidden="1" x14ac:dyDescent="0.25">
      <c r="A917" s="466" t="s">
        <v>131</v>
      </c>
      <c r="B917" s="460">
        <v>908</v>
      </c>
      <c r="C917" s="462" t="s">
        <v>234</v>
      </c>
      <c r="D917" s="462" t="s">
        <v>213</v>
      </c>
      <c r="E917" s="462" t="s">
        <v>1072</v>
      </c>
      <c r="F917" s="462" t="s">
        <v>132</v>
      </c>
      <c r="G917" s="467">
        <f>'[1]Пр.5 ведом.21'!G905</f>
        <v>0</v>
      </c>
      <c r="H917" s="467">
        <f t="shared" si="83"/>
        <v>0</v>
      </c>
      <c r="I917" s="204"/>
    </row>
    <row r="918" spans="1:9" ht="31.5" hidden="1" x14ac:dyDescent="0.25">
      <c r="A918" s="466" t="s">
        <v>133</v>
      </c>
      <c r="B918" s="460">
        <v>908</v>
      </c>
      <c r="C918" s="462" t="s">
        <v>234</v>
      </c>
      <c r="D918" s="462" t="s">
        <v>213</v>
      </c>
      <c r="E918" s="462" t="s">
        <v>1072</v>
      </c>
      <c r="F918" s="462" t="s">
        <v>134</v>
      </c>
      <c r="G918" s="467">
        <f>'[1]Пр.5 ведом.21'!G906</f>
        <v>0</v>
      </c>
      <c r="H918" s="467">
        <f t="shared" si="83"/>
        <v>0</v>
      </c>
      <c r="I918" s="204"/>
    </row>
    <row r="919" spans="1:9" ht="63" x14ac:dyDescent="0.25">
      <c r="A919" s="464" t="s">
        <v>1543</v>
      </c>
      <c r="B919" s="461">
        <v>908</v>
      </c>
      <c r="C919" s="465" t="s">
        <v>234</v>
      </c>
      <c r="D919" s="465" t="s">
        <v>213</v>
      </c>
      <c r="E919" s="465" t="s">
        <v>518</v>
      </c>
      <c r="F919" s="465"/>
      <c r="G919" s="463">
        <f>G920+G924+G928+G932+G944+G940</f>
        <v>700</v>
      </c>
      <c r="H919" s="463">
        <f>H920+H924+H928+H932+H944+H940</f>
        <v>700</v>
      </c>
      <c r="I919" s="204"/>
    </row>
    <row r="920" spans="1:9" ht="31.5" x14ac:dyDescent="0.25">
      <c r="A920" s="464" t="s">
        <v>963</v>
      </c>
      <c r="B920" s="461">
        <v>908</v>
      </c>
      <c r="C920" s="465" t="s">
        <v>234</v>
      </c>
      <c r="D920" s="465" t="s">
        <v>213</v>
      </c>
      <c r="E920" s="465" t="s">
        <v>965</v>
      </c>
      <c r="F920" s="465"/>
      <c r="G920" s="463">
        <f t="shared" ref="G920:H922" si="84">G921</f>
        <v>700</v>
      </c>
      <c r="H920" s="463">
        <f t="shared" si="84"/>
        <v>700</v>
      </c>
      <c r="I920" s="204"/>
    </row>
    <row r="921" spans="1:9" ht="15.75" x14ac:dyDescent="0.25">
      <c r="A921" s="45" t="s">
        <v>964</v>
      </c>
      <c r="B921" s="460">
        <v>908</v>
      </c>
      <c r="C921" s="469" t="s">
        <v>234</v>
      </c>
      <c r="D921" s="469" t="s">
        <v>213</v>
      </c>
      <c r="E921" s="462" t="s">
        <v>966</v>
      </c>
      <c r="F921" s="469"/>
      <c r="G921" s="467">
        <f t="shared" si="84"/>
        <v>700</v>
      </c>
      <c r="H921" s="467">
        <f t="shared" si="84"/>
        <v>700</v>
      </c>
      <c r="I921" s="204"/>
    </row>
    <row r="922" spans="1:9" ht="31.5" x14ac:dyDescent="0.25">
      <c r="A922" s="31" t="s">
        <v>131</v>
      </c>
      <c r="B922" s="460">
        <v>908</v>
      </c>
      <c r="C922" s="469" t="s">
        <v>234</v>
      </c>
      <c r="D922" s="469" t="s">
        <v>213</v>
      </c>
      <c r="E922" s="462" t="s">
        <v>966</v>
      </c>
      <c r="F922" s="469" t="s">
        <v>132</v>
      </c>
      <c r="G922" s="467">
        <f t="shared" si="84"/>
        <v>700</v>
      </c>
      <c r="H922" s="467">
        <f t="shared" si="84"/>
        <v>700</v>
      </c>
      <c r="I922" s="204"/>
    </row>
    <row r="923" spans="1:9" ht="31.5" x14ac:dyDescent="0.25">
      <c r="A923" s="31" t="s">
        <v>133</v>
      </c>
      <c r="B923" s="460">
        <v>908</v>
      </c>
      <c r="C923" s="469" t="s">
        <v>234</v>
      </c>
      <c r="D923" s="469" t="s">
        <v>213</v>
      </c>
      <c r="E923" s="462" t="s">
        <v>966</v>
      </c>
      <c r="F923" s="469" t="s">
        <v>134</v>
      </c>
      <c r="G923" s="467">
        <v>700</v>
      </c>
      <c r="H923" s="467">
        <v>700</v>
      </c>
      <c r="I923" s="204"/>
    </row>
    <row r="924" spans="1:9" ht="31.5" hidden="1" x14ac:dyDescent="0.25">
      <c r="A924" s="34" t="s">
        <v>967</v>
      </c>
      <c r="B924" s="461">
        <v>908</v>
      </c>
      <c r="C924" s="7" t="s">
        <v>234</v>
      </c>
      <c r="D924" s="7" t="s">
        <v>213</v>
      </c>
      <c r="E924" s="465" t="s">
        <v>968</v>
      </c>
      <c r="F924" s="7"/>
      <c r="G924" s="463">
        <f>G925</f>
        <v>0</v>
      </c>
      <c r="H924" s="463">
        <f>H925</f>
        <v>0</v>
      </c>
      <c r="I924" s="204"/>
    </row>
    <row r="925" spans="1:9" ht="15.75" hidden="1" x14ac:dyDescent="0.25">
      <c r="A925" s="45" t="s">
        <v>523</v>
      </c>
      <c r="B925" s="460">
        <v>908</v>
      </c>
      <c r="C925" s="469" t="s">
        <v>234</v>
      </c>
      <c r="D925" s="469" t="s">
        <v>213</v>
      </c>
      <c r="E925" s="462" t="s">
        <v>971</v>
      </c>
      <c r="F925" s="469"/>
      <c r="G925" s="467">
        <f>'[1]Пр.5 ведом.21'!G913</f>
        <v>0</v>
      </c>
      <c r="H925" s="467">
        <f t="shared" si="83"/>
        <v>0</v>
      </c>
      <c r="I925" s="204"/>
    </row>
    <row r="926" spans="1:9" ht="31.5" hidden="1" x14ac:dyDescent="0.25">
      <c r="A926" s="31" t="s">
        <v>131</v>
      </c>
      <c r="B926" s="460">
        <v>908</v>
      </c>
      <c r="C926" s="469" t="s">
        <v>234</v>
      </c>
      <c r="D926" s="469" t="s">
        <v>213</v>
      </c>
      <c r="E926" s="462" t="s">
        <v>971</v>
      </c>
      <c r="F926" s="469" t="s">
        <v>132</v>
      </c>
      <c r="G926" s="467">
        <f>'[1]Пр.5 ведом.21'!G914</f>
        <v>0</v>
      </c>
      <c r="H926" s="467">
        <f t="shared" si="83"/>
        <v>0</v>
      </c>
      <c r="I926" s="204"/>
    </row>
    <row r="927" spans="1:9" ht="31.5" hidden="1" x14ac:dyDescent="0.25">
      <c r="A927" s="31" t="s">
        <v>133</v>
      </c>
      <c r="B927" s="460">
        <v>908</v>
      </c>
      <c r="C927" s="469" t="s">
        <v>234</v>
      </c>
      <c r="D927" s="469" t="s">
        <v>213</v>
      </c>
      <c r="E927" s="462" t="s">
        <v>971</v>
      </c>
      <c r="F927" s="469" t="s">
        <v>134</v>
      </c>
      <c r="G927" s="467">
        <f>'[1]Пр.5 ведом.21'!G915</f>
        <v>0</v>
      </c>
      <c r="H927" s="467">
        <f t="shared" si="83"/>
        <v>0</v>
      </c>
      <c r="I927" s="204"/>
    </row>
    <row r="928" spans="1:9" ht="31.5" hidden="1" x14ac:dyDescent="0.25">
      <c r="A928" s="58" t="s">
        <v>969</v>
      </c>
      <c r="B928" s="461">
        <v>908</v>
      </c>
      <c r="C928" s="7" t="s">
        <v>234</v>
      </c>
      <c r="D928" s="7" t="s">
        <v>213</v>
      </c>
      <c r="E928" s="465" t="s">
        <v>970</v>
      </c>
      <c r="F928" s="7"/>
      <c r="G928" s="458">
        <f>G929</f>
        <v>0</v>
      </c>
      <c r="H928" s="458">
        <f>H929</f>
        <v>0</v>
      </c>
      <c r="I928" s="204"/>
    </row>
    <row r="929" spans="1:9" ht="15.75" hidden="1" x14ac:dyDescent="0.25">
      <c r="A929" s="45" t="s">
        <v>525</v>
      </c>
      <c r="B929" s="460">
        <v>908</v>
      </c>
      <c r="C929" s="469" t="s">
        <v>234</v>
      </c>
      <c r="D929" s="469" t="s">
        <v>213</v>
      </c>
      <c r="E929" s="462" t="s">
        <v>972</v>
      </c>
      <c r="F929" s="469"/>
      <c r="G929" s="467">
        <f>'[1]Пр.5 ведом.21'!G917</f>
        <v>0</v>
      </c>
      <c r="H929" s="467">
        <f t="shared" si="83"/>
        <v>0</v>
      </c>
      <c r="I929" s="204"/>
    </row>
    <row r="930" spans="1:9" ht="31.5" hidden="1" x14ac:dyDescent="0.25">
      <c r="A930" s="31" t="s">
        <v>131</v>
      </c>
      <c r="B930" s="460">
        <v>908</v>
      </c>
      <c r="C930" s="469" t="s">
        <v>234</v>
      </c>
      <c r="D930" s="469" t="s">
        <v>213</v>
      </c>
      <c r="E930" s="462" t="s">
        <v>972</v>
      </c>
      <c r="F930" s="469" t="s">
        <v>132</v>
      </c>
      <c r="G930" s="467">
        <f>'[1]Пр.5 ведом.21'!G918</f>
        <v>0</v>
      </c>
      <c r="H930" s="467">
        <f t="shared" si="83"/>
        <v>0</v>
      </c>
      <c r="I930" s="204"/>
    </row>
    <row r="931" spans="1:9" ht="31.5" hidden="1" x14ac:dyDescent="0.25">
      <c r="A931" s="31" t="s">
        <v>133</v>
      </c>
      <c r="B931" s="460">
        <v>908</v>
      </c>
      <c r="C931" s="469" t="s">
        <v>234</v>
      </c>
      <c r="D931" s="469" t="s">
        <v>213</v>
      </c>
      <c r="E931" s="462" t="s">
        <v>972</v>
      </c>
      <c r="F931" s="469" t="s">
        <v>134</v>
      </c>
      <c r="G931" s="467">
        <f>'[1]Пр.5 ведом.21'!G919</f>
        <v>0</v>
      </c>
      <c r="H931" s="467">
        <f t="shared" si="83"/>
        <v>0</v>
      </c>
      <c r="I931" s="204"/>
    </row>
    <row r="932" spans="1:9" ht="31.5" hidden="1" x14ac:dyDescent="0.25">
      <c r="A932" s="58" t="s">
        <v>973</v>
      </c>
      <c r="B932" s="461">
        <v>908</v>
      </c>
      <c r="C932" s="7" t="s">
        <v>234</v>
      </c>
      <c r="D932" s="7" t="s">
        <v>213</v>
      </c>
      <c r="E932" s="465" t="s">
        <v>974</v>
      </c>
      <c r="F932" s="7"/>
      <c r="G932" s="458">
        <f>G933</f>
        <v>0</v>
      </c>
      <c r="H932" s="458">
        <f>H933</f>
        <v>0</v>
      </c>
      <c r="I932" s="204"/>
    </row>
    <row r="933" spans="1:9" ht="15.75" hidden="1" x14ac:dyDescent="0.25">
      <c r="A933" s="45" t="s">
        <v>527</v>
      </c>
      <c r="B933" s="460">
        <v>908</v>
      </c>
      <c r="C933" s="469" t="s">
        <v>234</v>
      </c>
      <c r="D933" s="469" t="s">
        <v>213</v>
      </c>
      <c r="E933" s="462" t="s">
        <v>975</v>
      </c>
      <c r="F933" s="469"/>
      <c r="G933" s="467">
        <f>'[1]Пр.5 ведом.21'!G921</f>
        <v>0</v>
      </c>
      <c r="H933" s="467">
        <f t="shared" si="83"/>
        <v>0</v>
      </c>
      <c r="I933" s="204"/>
    </row>
    <row r="934" spans="1:9" ht="31.5" hidden="1" x14ac:dyDescent="0.25">
      <c r="A934" s="31" t="s">
        <v>131</v>
      </c>
      <c r="B934" s="460">
        <v>908</v>
      </c>
      <c r="C934" s="469" t="s">
        <v>234</v>
      </c>
      <c r="D934" s="469" t="s">
        <v>213</v>
      </c>
      <c r="E934" s="462" t="s">
        <v>975</v>
      </c>
      <c r="F934" s="469" t="s">
        <v>132</v>
      </c>
      <c r="G934" s="467">
        <f>'[1]Пр.5 ведом.21'!G922</f>
        <v>0</v>
      </c>
      <c r="H934" s="467">
        <f t="shared" si="83"/>
        <v>0</v>
      </c>
      <c r="I934" s="204"/>
    </row>
    <row r="935" spans="1:9" ht="31.5" hidden="1" x14ac:dyDescent="0.25">
      <c r="A935" s="31" t="s">
        <v>133</v>
      </c>
      <c r="B935" s="460">
        <v>908</v>
      </c>
      <c r="C935" s="469" t="s">
        <v>234</v>
      </c>
      <c r="D935" s="469" t="s">
        <v>213</v>
      </c>
      <c r="E935" s="462" t="s">
        <v>975</v>
      </c>
      <c r="F935" s="469" t="s">
        <v>134</v>
      </c>
      <c r="G935" s="467">
        <f>'[1]Пр.5 ведом.21'!G923</f>
        <v>0</v>
      </c>
      <c r="H935" s="467">
        <f t="shared" si="83"/>
        <v>0</v>
      </c>
      <c r="I935" s="204"/>
    </row>
    <row r="936" spans="1:9" ht="31.5" hidden="1" x14ac:dyDescent="0.25">
      <c r="A936" s="34" t="s">
        <v>1014</v>
      </c>
      <c r="B936" s="461">
        <v>908</v>
      </c>
      <c r="C936" s="7" t="s">
        <v>234</v>
      </c>
      <c r="D936" s="7" t="s">
        <v>213</v>
      </c>
      <c r="E936" s="465" t="s">
        <v>1015</v>
      </c>
      <c r="F936" s="7"/>
      <c r="G936" s="458">
        <f>G937</f>
        <v>0</v>
      </c>
      <c r="H936" s="458">
        <f>H937</f>
        <v>0</v>
      </c>
      <c r="I936" s="204"/>
    </row>
    <row r="937" spans="1:9" ht="15.75" hidden="1" x14ac:dyDescent="0.25">
      <c r="A937" s="45" t="s">
        <v>529</v>
      </c>
      <c r="B937" s="460">
        <v>908</v>
      </c>
      <c r="C937" s="469" t="s">
        <v>234</v>
      </c>
      <c r="D937" s="469" t="s">
        <v>213</v>
      </c>
      <c r="E937" s="462" t="s">
        <v>1018</v>
      </c>
      <c r="F937" s="469"/>
      <c r="G937" s="467">
        <f>'[1]Пр.5 ведом.21'!G925</f>
        <v>0</v>
      </c>
      <c r="H937" s="467">
        <f t="shared" si="83"/>
        <v>0</v>
      </c>
      <c r="I937" s="204"/>
    </row>
    <row r="938" spans="1:9" ht="31.5" hidden="1" x14ac:dyDescent="0.25">
      <c r="A938" s="31" t="s">
        <v>131</v>
      </c>
      <c r="B938" s="460">
        <v>908</v>
      </c>
      <c r="C938" s="469" t="s">
        <v>234</v>
      </c>
      <c r="D938" s="469" t="s">
        <v>213</v>
      </c>
      <c r="E938" s="462" t="s">
        <v>1018</v>
      </c>
      <c r="F938" s="469" t="s">
        <v>132</v>
      </c>
      <c r="G938" s="467">
        <f>'[1]Пр.5 ведом.21'!G926</f>
        <v>0</v>
      </c>
      <c r="H938" s="467">
        <f t="shared" si="83"/>
        <v>0</v>
      </c>
      <c r="I938" s="204"/>
    </row>
    <row r="939" spans="1:9" ht="31.5" hidden="1" x14ac:dyDescent="0.25">
      <c r="A939" s="31" t="s">
        <v>133</v>
      </c>
      <c r="B939" s="460">
        <v>908</v>
      </c>
      <c r="C939" s="469" t="s">
        <v>234</v>
      </c>
      <c r="D939" s="469" t="s">
        <v>213</v>
      </c>
      <c r="E939" s="462" t="s">
        <v>1018</v>
      </c>
      <c r="F939" s="469" t="s">
        <v>134</v>
      </c>
      <c r="G939" s="467">
        <f>'[1]Пр.5 ведом.21'!G927</f>
        <v>0</v>
      </c>
      <c r="H939" s="467">
        <f t="shared" si="83"/>
        <v>0</v>
      </c>
      <c r="I939" s="204"/>
    </row>
    <row r="940" spans="1:9" ht="31.5" hidden="1" x14ac:dyDescent="0.25">
      <c r="A940" s="219" t="s">
        <v>1016</v>
      </c>
      <c r="B940" s="461">
        <v>908</v>
      </c>
      <c r="C940" s="7" t="s">
        <v>234</v>
      </c>
      <c r="D940" s="7" t="s">
        <v>213</v>
      </c>
      <c r="E940" s="465" t="s">
        <v>1017</v>
      </c>
      <c r="F940" s="7"/>
      <c r="G940" s="463">
        <f>G941</f>
        <v>0</v>
      </c>
      <c r="H940" s="463">
        <f>H941</f>
        <v>0</v>
      </c>
      <c r="I940" s="204"/>
    </row>
    <row r="941" spans="1:9" ht="31.5" hidden="1" x14ac:dyDescent="0.25">
      <c r="A941" s="174" t="s">
        <v>531</v>
      </c>
      <c r="B941" s="460">
        <v>908</v>
      </c>
      <c r="C941" s="469" t="s">
        <v>234</v>
      </c>
      <c r="D941" s="469" t="s">
        <v>213</v>
      </c>
      <c r="E941" s="462" t="s">
        <v>1019</v>
      </c>
      <c r="F941" s="469"/>
      <c r="G941" s="467">
        <f>'[1]Пр.5 ведом.21'!G929</f>
        <v>0</v>
      </c>
      <c r="H941" s="467">
        <f t="shared" si="83"/>
        <v>0</v>
      </c>
      <c r="I941" s="204"/>
    </row>
    <row r="942" spans="1:9" ht="31.5" hidden="1" x14ac:dyDescent="0.25">
      <c r="A942" s="31" t="s">
        <v>131</v>
      </c>
      <c r="B942" s="460">
        <v>908</v>
      </c>
      <c r="C942" s="469" t="s">
        <v>234</v>
      </c>
      <c r="D942" s="469" t="s">
        <v>213</v>
      </c>
      <c r="E942" s="462" t="s">
        <v>1019</v>
      </c>
      <c r="F942" s="469" t="s">
        <v>132</v>
      </c>
      <c r="G942" s="467">
        <f>'[1]Пр.5 ведом.21'!G930</f>
        <v>0</v>
      </c>
      <c r="H942" s="467">
        <f t="shared" si="83"/>
        <v>0</v>
      </c>
      <c r="I942" s="204"/>
    </row>
    <row r="943" spans="1:9" ht="31.5" hidden="1" x14ac:dyDescent="0.25">
      <c r="A943" s="31" t="s">
        <v>133</v>
      </c>
      <c r="B943" s="460">
        <v>908</v>
      </c>
      <c r="C943" s="469" t="s">
        <v>234</v>
      </c>
      <c r="D943" s="469" t="s">
        <v>213</v>
      </c>
      <c r="E943" s="462" t="s">
        <v>1019</v>
      </c>
      <c r="F943" s="469" t="s">
        <v>134</v>
      </c>
      <c r="G943" s="467">
        <f>'[1]Пр.5 ведом.21'!G931</f>
        <v>0</v>
      </c>
      <c r="H943" s="467">
        <f t="shared" si="83"/>
        <v>0</v>
      </c>
      <c r="I943" s="204"/>
    </row>
    <row r="944" spans="1:9" ht="31.5" hidden="1" x14ac:dyDescent="0.25">
      <c r="A944" s="219" t="s">
        <v>977</v>
      </c>
      <c r="B944" s="461">
        <v>908</v>
      </c>
      <c r="C944" s="7" t="s">
        <v>234</v>
      </c>
      <c r="D944" s="7" t="s">
        <v>213</v>
      </c>
      <c r="E944" s="465" t="s">
        <v>978</v>
      </c>
      <c r="F944" s="7"/>
      <c r="G944" s="463">
        <f>G945</f>
        <v>0</v>
      </c>
      <c r="H944" s="463">
        <f>H945</f>
        <v>0</v>
      </c>
      <c r="I944" s="204"/>
    </row>
    <row r="945" spans="1:9" ht="15.75" hidden="1" x14ac:dyDescent="0.25">
      <c r="A945" s="174" t="s">
        <v>533</v>
      </c>
      <c r="B945" s="460">
        <v>908</v>
      </c>
      <c r="C945" s="469" t="s">
        <v>234</v>
      </c>
      <c r="D945" s="469" t="s">
        <v>213</v>
      </c>
      <c r="E945" s="462" t="s">
        <v>976</v>
      </c>
      <c r="F945" s="469"/>
      <c r="G945" s="467">
        <f>'[1]Пр.5 ведом.21'!G933</f>
        <v>0</v>
      </c>
      <c r="H945" s="467">
        <f t="shared" si="83"/>
        <v>0</v>
      </c>
      <c r="I945" s="204"/>
    </row>
    <row r="946" spans="1:9" ht="31.5" hidden="1" x14ac:dyDescent="0.25">
      <c r="A946" s="466" t="s">
        <v>131</v>
      </c>
      <c r="B946" s="460">
        <v>908</v>
      </c>
      <c r="C946" s="469" t="s">
        <v>234</v>
      </c>
      <c r="D946" s="469" t="s">
        <v>213</v>
      </c>
      <c r="E946" s="462" t="s">
        <v>976</v>
      </c>
      <c r="F946" s="469" t="s">
        <v>132</v>
      </c>
      <c r="G946" s="467">
        <f>'[1]Пр.5 ведом.21'!G934</f>
        <v>0</v>
      </c>
      <c r="H946" s="467">
        <f t="shared" si="83"/>
        <v>0</v>
      </c>
      <c r="I946" s="204"/>
    </row>
    <row r="947" spans="1:9" ht="31.5" hidden="1" x14ac:dyDescent="0.25">
      <c r="A947" s="466" t="s">
        <v>133</v>
      </c>
      <c r="B947" s="460">
        <v>908</v>
      </c>
      <c r="C947" s="469" t="s">
        <v>234</v>
      </c>
      <c r="D947" s="469" t="s">
        <v>213</v>
      </c>
      <c r="E947" s="462" t="s">
        <v>976</v>
      </c>
      <c r="F947" s="469" t="s">
        <v>134</v>
      </c>
      <c r="G947" s="467">
        <f>'[1]Пр.5 ведом.21'!G935</f>
        <v>0</v>
      </c>
      <c r="H947" s="467">
        <f t="shared" si="83"/>
        <v>0</v>
      </c>
      <c r="I947" s="204"/>
    </row>
    <row r="948" spans="1:9" ht="47.25" x14ac:dyDescent="0.25">
      <c r="A948" s="464" t="s">
        <v>1545</v>
      </c>
      <c r="B948" s="461">
        <v>908</v>
      </c>
      <c r="C948" s="7" t="s">
        <v>234</v>
      </c>
      <c r="D948" s="7" t="s">
        <v>213</v>
      </c>
      <c r="E948" s="465" t="s">
        <v>1146</v>
      </c>
      <c r="F948" s="7"/>
      <c r="G948" s="463">
        <f t="shared" ref="G948:H951" si="85">G949</f>
        <v>204</v>
      </c>
      <c r="H948" s="463">
        <f t="shared" si="85"/>
        <v>215</v>
      </c>
      <c r="I948" s="204"/>
    </row>
    <row r="949" spans="1:9" ht="31.5" x14ac:dyDescent="0.25">
      <c r="A949" s="399" t="s">
        <v>1549</v>
      </c>
      <c r="B949" s="461">
        <v>908</v>
      </c>
      <c r="C949" s="7" t="s">
        <v>234</v>
      </c>
      <c r="D949" s="7" t="s">
        <v>213</v>
      </c>
      <c r="E949" s="465" t="s">
        <v>1148</v>
      </c>
      <c r="F949" s="7"/>
      <c r="G949" s="463">
        <f t="shared" si="85"/>
        <v>204</v>
      </c>
      <c r="H949" s="463">
        <f t="shared" si="85"/>
        <v>215</v>
      </c>
      <c r="I949" s="204"/>
    </row>
    <row r="950" spans="1:9" ht="15.75" x14ac:dyDescent="0.25">
      <c r="A950" s="466" t="s">
        <v>537</v>
      </c>
      <c r="B950" s="460">
        <v>908</v>
      </c>
      <c r="C950" s="469" t="s">
        <v>234</v>
      </c>
      <c r="D950" s="469" t="s">
        <v>213</v>
      </c>
      <c r="E950" s="462" t="s">
        <v>1149</v>
      </c>
      <c r="F950" s="469"/>
      <c r="G950" s="467">
        <f t="shared" si="85"/>
        <v>204</v>
      </c>
      <c r="H950" s="467">
        <f t="shared" si="85"/>
        <v>215</v>
      </c>
      <c r="I950" s="204"/>
    </row>
    <row r="951" spans="1:9" ht="31.5" x14ac:dyDescent="0.25">
      <c r="A951" s="466" t="s">
        <v>131</v>
      </c>
      <c r="B951" s="460">
        <v>908</v>
      </c>
      <c r="C951" s="469" t="s">
        <v>234</v>
      </c>
      <c r="D951" s="469" t="s">
        <v>213</v>
      </c>
      <c r="E951" s="462" t="s">
        <v>1149</v>
      </c>
      <c r="F951" s="469" t="s">
        <v>132</v>
      </c>
      <c r="G951" s="467">
        <f t="shared" si="85"/>
        <v>204</v>
      </c>
      <c r="H951" s="467">
        <f t="shared" si="85"/>
        <v>215</v>
      </c>
      <c r="I951" s="204"/>
    </row>
    <row r="952" spans="1:9" ht="31.7" customHeight="1" x14ac:dyDescent="0.25">
      <c r="A952" s="466" t="s">
        <v>133</v>
      </c>
      <c r="B952" s="460">
        <v>908</v>
      </c>
      <c r="C952" s="469" t="s">
        <v>234</v>
      </c>
      <c r="D952" s="469" t="s">
        <v>213</v>
      </c>
      <c r="E952" s="462" t="s">
        <v>1149</v>
      </c>
      <c r="F952" s="469" t="s">
        <v>134</v>
      </c>
      <c r="G952" s="467">
        <v>204</v>
      </c>
      <c r="H952" s="467">
        <v>215</v>
      </c>
      <c r="I952" s="204"/>
    </row>
    <row r="953" spans="1:9" ht="15.75" x14ac:dyDescent="0.25">
      <c r="A953" s="464" t="s">
        <v>541</v>
      </c>
      <c r="B953" s="461">
        <v>908</v>
      </c>
      <c r="C953" s="465" t="s">
        <v>234</v>
      </c>
      <c r="D953" s="465" t="s">
        <v>215</v>
      </c>
      <c r="E953" s="465"/>
      <c r="F953" s="465"/>
      <c r="G953" s="463">
        <f>G954+G959+G998</f>
        <v>3810</v>
      </c>
      <c r="H953" s="463">
        <f>H954+H959+H998</f>
        <v>4063</v>
      </c>
      <c r="I953" s="204"/>
    </row>
    <row r="954" spans="1:9" ht="15.75" x14ac:dyDescent="0.25">
      <c r="A954" s="464" t="s">
        <v>141</v>
      </c>
      <c r="B954" s="461">
        <v>908</v>
      </c>
      <c r="C954" s="465" t="s">
        <v>234</v>
      </c>
      <c r="D954" s="465" t="s">
        <v>215</v>
      </c>
      <c r="E954" s="465" t="s">
        <v>866</v>
      </c>
      <c r="F954" s="465"/>
      <c r="G954" s="463">
        <f t="shared" ref="G954:H957" si="86">G955</f>
        <v>1390</v>
      </c>
      <c r="H954" s="463">
        <f t="shared" si="86"/>
        <v>1390</v>
      </c>
      <c r="I954" s="204"/>
    </row>
    <row r="955" spans="1:9" ht="31.5" x14ac:dyDescent="0.25">
      <c r="A955" s="464" t="s">
        <v>870</v>
      </c>
      <c r="B955" s="461">
        <v>908</v>
      </c>
      <c r="C955" s="465" t="s">
        <v>234</v>
      </c>
      <c r="D955" s="465" t="s">
        <v>215</v>
      </c>
      <c r="E955" s="465" t="s">
        <v>865</v>
      </c>
      <c r="F955" s="465"/>
      <c r="G955" s="463">
        <f t="shared" si="86"/>
        <v>1390</v>
      </c>
      <c r="H955" s="463">
        <f t="shared" si="86"/>
        <v>1390</v>
      </c>
      <c r="I955" s="204"/>
    </row>
    <row r="956" spans="1:9" ht="15.75" x14ac:dyDescent="0.25">
      <c r="A956" s="466" t="s">
        <v>564</v>
      </c>
      <c r="B956" s="460">
        <v>908</v>
      </c>
      <c r="C956" s="462" t="s">
        <v>234</v>
      </c>
      <c r="D956" s="462" t="s">
        <v>215</v>
      </c>
      <c r="E956" s="462" t="s">
        <v>1077</v>
      </c>
      <c r="F956" s="462"/>
      <c r="G956" s="467">
        <f t="shared" si="86"/>
        <v>1390</v>
      </c>
      <c r="H956" s="467">
        <f t="shared" si="86"/>
        <v>1390</v>
      </c>
      <c r="I956" s="204"/>
    </row>
    <row r="957" spans="1:9" ht="31.5" x14ac:dyDescent="0.25">
      <c r="A957" s="466" t="s">
        <v>131</v>
      </c>
      <c r="B957" s="460">
        <v>908</v>
      </c>
      <c r="C957" s="462" t="s">
        <v>234</v>
      </c>
      <c r="D957" s="462" t="s">
        <v>215</v>
      </c>
      <c r="E957" s="462" t="s">
        <v>1077</v>
      </c>
      <c r="F957" s="462" t="s">
        <v>132</v>
      </c>
      <c r="G957" s="467">
        <f t="shared" si="86"/>
        <v>1390</v>
      </c>
      <c r="H957" s="467">
        <f t="shared" si="86"/>
        <v>1390</v>
      </c>
      <c r="I957" s="204"/>
    </row>
    <row r="958" spans="1:9" ht="33.4" customHeight="1" x14ac:dyDescent="0.25">
      <c r="A958" s="466" t="s">
        <v>133</v>
      </c>
      <c r="B958" s="460">
        <v>908</v>
      </c>
      <c r="C958" s="462" t="s">
        <v>234</v>
      </c>
      <c r="D958" s="462" t="s">
        <v>215</v>
      </c>
      <c r="E958" s="462" t="s">
        <v>1077</v>
      </c>
      <c r="F958" s="462" t="s">
        <v>134</v>
      </c>
      <c r="G958" s="467">
        <f>390+1000</f>
        <v>1390</v>
      </c>
      <c r="H958" s="467">
        <f t="shared" si="83"/>
        <v>1390</v>
      </c>
      <c r="I958" s="204"/>
    </row>
    <row r="959" spans="1:9" ht="31.5" x14ac:dyDescent="0.25">
      <c r="A959" s="464" t="s">
        <v>1373</v>
      </c>
      <c r="B959" s="461">
        <v>908</v>
      </c>
      <c r="C959" s="465" t="s">
        <v>234</v>
      </c>
      <c r="D959" s="465" t="s">
        <v>215</v>
      </c>
      <c r="E959" s="465" t="s">
        <v>543</v>
      </c>
      <c r="F959" s="465"/>
      <c r="G959" s="463">
        <f>G960+G964+G991</f>
        <v>1920</v>
      </c>
      <c r="H959" s="463">
        <f>H960+H964+H991</f>
        <v>2173</v>
      </c>
      <c r="I959" s="204"/>
    </row>
    <row r="960" spans="1:9" ht="47.25" hidden="1" x14ac:dyDescent="0.25">
      <c r="A960" s="464" t="s">
        <v>1443</v>
      </c>
      <c r="B960" s="461">
        <v>908</v>
      </c>
      <c r="C960" s="465" t="s">
        <v>234</v>
      </c>
      <c r="D960" s="465" t="s">
        <v>215</v>
      </c>
      <c r="E960" s="465" t="s">
        <v>1278</v>
      </c>
      <c r="F960" s="465"/>
      <c r="G960" s="463">
        <f t="shared" ref="G960:H962" si="87">G961</f>
        <v>0</v>
      </c>
      <c r="H960" s="463">
        <f t="shared" si="87"/>
        <v>0</v>
      </c>
      <c r="I960" s="204"/>
    </row>
    <row r="961" spans="1:9" ht="31.5" hidden="1" x14ac:dyDescent="0.25">
      <c r="A961" s="322" t="s">
        <v>1444</v>
      </c>
      <c r="B961" s="460">
        <v>908</v>
      </c>
      <c r="C961" s="462" t="s">
        <v>234</v>
      </c>
      <c r="D961" s="462" t="s">
        <v>215</v>
      </c>
      <c r="E961" s="462" t="s">
        <v>1431</v>
      </c>
      <c r="F961" s="462"/>
      <c r="G961" s="467">
        <f t="shared" si="87"/>
        <v>0</v>
      </c>
      <c r="H961" s="467">
        <f t="shared" si="87"/>
        <v>0</v>
      </c>
      <c r="I961" s="204"/>
    </row>
    <row r="962" spans="1:9" ht="31.5" hidden="1" x14ac:dyDescent="0.25">
      <c r="A962" s="466" t="s">
        <v>131</v>
      </c>
      <c r="B962" s="460">
        <v>908</v>
      </c>
      <c r="C962" s="462" t="s">
        <v>234</v>
      </c>
      <c r="D962" s="462" t="s">
        <v>215</v>
      </c>
      <c r="E962" s="462" t="s">
        <v>1431</v>
      </c>
      <c r="F962" s="462" t="s">
        <v>132</v>
      </c>
      <c r="G962" s="467">
        <f t="shared" si="87"/>
        <v>0</v>
      </c>
      <c r="H962" s="467">
        <f t="shared" si="87"/>
        <v>0</v>
      </c>
      <c r="I962" s="204"/>
    </row>
    <row r="963" spans="1:9" ht="31.5" hidden="1" x14ac:dyDescent="0.25">
      <c r="A963" s="466" t="s">
        <v>133</v>
      </c>
      <c r="B963" s="460">
        <v>908</v>
      </c>
      <c r="C963" s="462" t="s">
        <v>234</v>
      </c>
      <c r="D963" s="462" t="s">
        <v>215</v>
      </c>
      <c r="E963" s="462" t="s">
        <v>1431</v>
      </c>
      <c r="F963" s="462" t="s">
        <v>134</v>
      </c>
      <c r="G963" s="467">
        <v>0</v>
      </c>
      <c r="H963" s="467">
        <v>0</v>
      </c>
      <c r="I963" s="204"/>
    </row>
    <row r="964" spans="1:9" ht="31.5" x14ac:dyDescent="0.25">
      <c r="A964" s="464" t="s">
        <v>1463</v>
      </c>
      <c r="B964" s="461">
        <v>908</v>
      </c>
      <c r="C964" s="465" t="s">
        <v>234</v>
      </c>
      <c r="D964" s="465" t="s">
        <v>215</v>
      </c>
      <c r="E964" s="465" t="s">
        <v>1279</v>
      </c>
      <c r="F964" s="465"/>
      <c r="G964" s="463">
        <f>G965+G968+G974+G977+G980+G985+G988</f>
        <v>1920</v>
      </c>
      <c r="H964" s="463">
        <f>H965+H968+H974+H977+H980+H985+H988</f>
        <v>2173</v>
      </c>
      <c r="I964" s="204"/>
    </row>
    <row r="965" spans="1:9" ht="15.75" x14ac:dyDescent="0.25">
      <c r="A965" s="466" t="s">
        <v>546</v>
      </c>
      <c r="B965" s="460">
        <v>908</v>
      </c>
      <c r="C965" s="462" t="s">
        <v>234</v>
      </c>
      <c r="D965" s="462" t="s">
        <v>215</v>
      </c>
      <c r="E965" s="462" t="s">
        <v>1442</v>
      </c>
      <c r="F965" s="462"/>
      <c r="G965" s="467">
        <f>G966</f>
        <v>365</v>
      </c>
      <c r="H965" s="467">
        <f>H966</f>
        <v>365</v>
      </c>
      <c r="I965" s="204"/>
    </row>
    <row r="966" spans="1:9" ht="31.5" x14ac:dyDescent="0.25">
      <c r="A966" s="466" t="s">
        <v>131</v>
      </c>
      <c r="B966" s="460">
        <v>908</v>
      </c>
      <c r="C966" s="462" t="s">
        <v>234</v>
      </c>
      <c r="D966" s="462" t="s">
        <v>215</v>
      </c>
      <c r="E966" s="462" t="s">
        <v>1442</v>
      </c>
      <c r="F966" s="462" t="s">
        <v>132</v>
      </c>
      <c r="G966" s="467">
        <f>G967</f>
        <v>365</v>
      </c>
      <c r="H966" s="467">
        <f>H967</f>
        <v>365</v>
      </c>
      <c r="I966" s="204"/>
    </row>
    <row r="967" spans="1:9" ht="31.5" x14ac:dyDescent="0.25">
      <c r="A967" s="466" t="s">
        <v>133</v>
      </c>
      <c r="B967" s="460">
        <v>908</v>
      </c>
      <c r="C967" s="462" t="s">
        <v>234</v>
      </c>
      <c r="D967" s="462" t="s">
        <v>215</v>
      </c>
      <c r="E967" s="462" t="s">
        <v>1442</v>
      </c>
      <c r="F967" s="462" t="s">
        <v>134</v>
      </c>
      <c r="G967" s="467">
        <v>365</v>
      </c>
      <c r="H967" s="467">
        <v>365</v>
      </c>
      <c r="I967" s="204"/>
    </row>
    <row r="968" spans="1:9" ht="15.75" x14ac:dyDescent="0.25">
      <c r="A968" s="466" t="s">
        <v>1090</v>
      </c>
      <c r="B968" s="460">
        <v>908</v>
      </c>
      <c r="C968" s="462" t="s">
        <v>234</v>
      </c>
      <c r="D968" s="462" t="s">
        <v>215</v>
      </c>
      <c r="E968" s="462" t="s">
        <v>1430</v>
      </c>
      <c r="F968" s="462"/>
      <c r="G968" s="467">
        <f>G969</f>
        <v>1080</v>
      </c>
      <c r="H968" s="467">
        <f>H969</f>
        <v>1188</v>
      </c>
      <c r="I968" s="204"/>
    </row>
    <row r="969" spans="1:9" ht="31.5" x14ac:dyDescent="0.25">
      <c r="A969" s="466" t="s">
        <v>131</v>
      </c>
      <c r="B969" s="460">
        <v>908</v>
      </c>
      <c r="C969" s="462" t="s">
        <v>234</v>
      </c>
      <c r="D969" s="462" t="s">
        <v>215</v>
      </c>
      <c r="E969" s="462" t="s">
        <v>1430</v>
      </c>
      <c r="F969" s="462" t="s">
        <v>132</v>
      </c>
      <c r="G969" s="467">
        <f>G970</f>
        <v>1080</v>
      </c>
      <c r="H969" s="467">
        <f>H970</f>
        <v>1188</v>
      </c>
      <c r="I969" s="204"/>
    </row>
    <row r="970" spans="1:9" ht="31.5" x14ac:dyDescent="0.25">
      <c r="A970" s="466" t="s">
        <v>133</v>
      </c>
      <c r="B970" s="460">
        <v>908</v>
      </c>
      <c r="C970" s="462" t="s">
        <v>234</v>
      </c>
      <c r="D970" s="462" t="s">
        <v>215</v>
      </c>
      <c r="E970" s="462" t="s">
        <v>1430</v>
      </c>
      <c r="F970" s="462" t="s">
        <v>134</v>
      </c>
      <c r="G970" s="467">
        <v>1080</v>
      </c>
      <c r="H970" s="467">
        <v>1188</v>
      </c>
      <c r="I970" s="204"/>
    </row>
    <row r="971" spans="1:9" ht="15.75" hidden="1" x14ac:dyDescent="0.25">
      <c r="A971" s="466" t="s">
        <v>135</v>
      </c>
      <c r="B971" s="460">
        <v>908</v>
      </c>
      <c r="C971" s="462" t="s">
        <v>234</v>
      </c>
      <c r="D971" s="462" t="s">
        <v>215</v>
      </c>
      <c r="E971" s="462" t="s">
        <v>1430</v>
      </c>
      <c r="F971" s="462" t="s">
        <v>145</v>
      </c>
      <c r="G971" s="467">
        <f>'[1]Пр.5 ведом.21'!G959</f>
        <v>0</v>
      </c>
      <c r="H971" s="467">
        <f t="shared" si="83"/>
        <v>0</v>
      </c>
      <c r="I971" s="204"/>
    </row>
    <row r="972" spans="1:9" ht="47.25" hidden="1" x14ac:dyDescent="0.25">
      <c r="A972" s="466" t="s">
        <v>836</v>
      </c>
      <c r="B972" s="460">
        <v>908</v>
      </c>
      <c r="C972" s="462" t="s">
        <v>234</v>
      </c>
      <c r="D972" s="462" t="s">
        <v>215</v>
      </c>
      <c r="E972" s="462" t="s">
        <v>1430</v>
      </c>
      <c r="F972" s="462" t="s">
        <v>147</v>
      </c>
      <c r="G972" s="467">
        <f>'[1]Пр.5 ведом.21'!G960</f>
        <v>0</v>
      </c>
      <c r="H972" s="467">
        <f t="shared" si="83"/>
        <v>0</v>
      </c>
      <c r="I972" s="204"/>
    </row>
    <row r="973" spans="1:9" ht="15.75" hidden="1" x14ac:dyDescent="0.25">
      <c r="A973" s="466" t="s">
        <v>704</v>
      </c>
      <c r="B973" s="460">
        <v>908</v>
      </c>
      <c r="C973" s="462" t="s">
        <v>234</v>
      </c>
      <c r="D973" s="462" t="s">
        <v>215</v>
      </c>
      <c r="E973" s="462" t="s">
        <v>1430</v>
      </c>
      <c r="F973" s="462" t="s">
        <v>138</v>
      </c>
      <c r="G973" s="467">
        <f>'[1]Пр.5 ведом.21'!G961</f>
        <v>0</v>
      </c>
      <c r="H973" s="467">
        <f t="shared" si="83"/>
        <v>0</v>
      </c>
      <c r="I973" s="204"/>
    </row>
    <row r="974" spans="1:9" ht="15.75" hidden="1" x14ac:dyDescent="0.25">
      <c r="A974" s="466" t="s">
        <v>550</v>
      </c>
      <c r="B974" s="460">
        <v>908</v>
      </c>
      <c r="C974" s="462" t="s">
        <v>234</v>
      </c>
      <c r="D974" s="462" t="s">
        <v>215</v>
      </c>
      <c r="E974" s="462" t="s">
        <v>1303</v>
      </c>
      <c r="F974" s="462"/>
      <c r="G974" s="467">
        <f>G975</f>
        <v>0</v>
      </c>
      <c r="H974" s="467">
        <f>H975</f>
        <v>0</v>
      </c>
      <c r="I974" s="204"/>
    </row>
    <row r="975" spans="1:9" ht="31.5" hidden="1" x14ac:dyDescent="0.25">
      <c r="A975" s="466" t="s">
        <v>131</v>
      </c>
      <c r="B975" s="460">
        <v>908</v>
      </c>
      <c r="C975" s="462" t="s">
        <v>234</v>
      </c>
      <c r="D975" s="462" t="s">
        <v>215</v>
      </c>
      <c r="E975" s="462" t="s">
        <v>1303</v>
      </c>
      <c r="F975" s="462" t="s">
        <v>132</v>
      </c>
      <c r="G975" s="467">
        <f>G976</f>
        <v>0</v>
      </c>
      <c r="H975" s="467">
        <f>H976</f>
        <v>0</v>
      </c>
      <c r="I975" s="204"/>
    </row>
    <row r="976" spans="1:9" ht="31.5" hidden="1" x14ac:dyDescent="0.25">
      <c r="A976" s="466" t="s">
        <v>133</v>
      </c>
      <c r="B976" s="460">
        <v>908</v>
      </c>
      <c r="C976" s="462" t="s">
        <v>234</v>
      </c>
      <c r="D976" s="462" t="s">
        <v>215</v>
      </c>
      <c r="E976" s="462" t="s">
        <v>1303</v>
      </c>
      <c r="F976" s="462" t="s">
        <v>134</v>
      </c>
      <c r="G976" s="467">
        <v>0</v>
      </c>
      <c r="H976" s="467">
        <v>0</v>
      </c>
      <c r="I976" s="204"/>
    </row>
    <row r="977" spans="1:9" ht="15.75" x14ac:dyDescent="0.25">
      <c r="A977" s="466" t="s">
        <v>555</v>
      </c>
      <c r="B977" s="460">
        <v>908</v>
      </c>
      <c r="C977" s="462" t="s">
        <v>234</v>
      </c>
      <c r="D977" s="462" t="s">
        <v>215</v>
      </c>
      <c r="E977" s="462" t="s">
        <v>1280</v>
      </c>
      <c r="F977" s="462"/>
      <c r="G977" s="467">
        <f>G978</f>
        <v>50</v>
      </c>
      <c r="H977" s="467">
        <f>H978</f>
        <v>55</v>
      </c>
      <c r="I977" s="204"/>
    </row>
    <row r="978" spans="1:9" ht="31.5" x14ac:dyDescent="0.25">
      <c r="A978" s="466" t="s">
        <v>131</v>
      </c>
      <c r="B978" s="460">
        <v>908</v>
      </c>
      <c r="C978" s="462" t="s">
        <v>234</v>
      </c>
      <c r="D978" s="462" t="s">
        <v>215</v>
      </c>
      <c r="E978" s="462" t="s">
        <v>1280</v>
      </c>
      <c r="F978" s="462" t="s">
        <v>132</v>
      </c>
      <c r="G978" s="467">
        <f>G979</f>
        <v>50</v>
      </c>
      <c r="H978" s="467">
        <f>H979</f>
        <v>55</v>
      </c>
      <c r="I978" s="204"/>
    </row>
    <row r="979" spans="1:9" ht="31.5" x14ac:dyDescent="0.25">
      <c r="A979" s="466" t="s">
        <v>133</v>
      </c>
      <c r="B979" s="460">
        <v>908</v>
      </c>
      <c r="C979" s="462" t="s">
        <v>234</v>
      </c>
      <c r="D979" s="462" t="s">
        <v>215</v>
      </c>
      <c r="E979" s="462" t="s">
        <v>1280</v>
      </c>
      <c r="F979" s="462" t="s">
        <v>134</v>
      </c>
      <c r="G979" s="467">
        <v>50</v>
      </c>
      <c r="H979" s="467">
        <v>55</v>
      </c>
      <c r="I979" s="204"/>
    </row>
    <row r="980" spans="1:9" ht="31.5" x14ac:dyDescent="0.25">
      <c r="A980" s="320" t="s">
        <v>1445</v>
      </c>
      <c r="B980" s="460">
        <v>908</v>
      </c>
      <c r="C980" s="462" t="s">
        <v>234</v>
      </c>
      <c r="D980" s="462" t="s">
        <v>215</v>
      </c>
      <c r="E980" s="462" t="s">
        <v>1281</v>
      </c>
      <c r="F980" s="462"/>
      <c r="G980" s="467">
        <f>G981+G983</f>
        <v>375</v>
      </c>
      <c r="H980" s="467">
        <f>H981+H983</f>
        <v>375</v>
      </c>
      <c r="I980" s="204"/>
    </row>
    <row r="981" spans="1:9" ht="31.5" x14ac:dyDescent="0.25">
      <c r="A981" s="466" t="s">
        <v>131</v>
      </c>
      <c r="B981" s="460">
        <v>908</v>
      </c>
      <c r="C981" s="462" t="s">
        <v>234</v>
      </c>
      <c r="D981" s="462" t="s">
        <v>215</v>
      </c>
      <c r="E981" s="462" t="s">
        <v>1281</v>
      </c>
      <c r="F981" s="462" t="s">
        <v>132</v>
      </c>
      <c r="G981" s="467">
        <f>G982</f>
        <v>300</v>
      </c>
      <c r="H981" s="467">
        <f>H982</f>
        <v>300</v>
      </c>
      <c r="I981" s="204"/>
    </row>
    <row r="982" spans="1:9" ht="31.5" x14ac:dyDescent="0.25">
      <c r="A982" s="466" t="s">
        <v>133</v>
      </c>
      <c r="B982" s="460">
        <v>908</v>
      </c>
      <c r="C982" s="462" t="s">
        <v>234</v>
      </c>
      <c r="D982" s="462" t="s">
        <v>215</v>
      </c>
      <c r="E982" s="462" t="s">
        <v>1281</v>
      </c>
      <c r="F982" s="462" t="s">
        <v>134</v>
      </c>
      <c r="G982" s="467">
        <f>300</f>
        <v>300</v>
      </c>
      <c r="H982" s="467">
        <v>300</v>
      </c>
      <c r="I982" s="204"/>
    </row>
    <row r="983" spans="1:9" ht="15.75" x14ac:dyDescent="0.25">
      <c r="A983" s="466" t="s">
        <v>135</v>
      </c>
      <c r="B983" s="460">
        <v>908</v>
      </c>
      <c r="C983" s="462" t="s">
        <v>234</v>
      </c>
      <c r="D983" s="462" t="s">
        <v>215</v>
      </c>
      <c r="E983" s="462" t="s">
        <v>1281</v>
      </c>
      <c r="F983" s="462" t="s">
        <v>145</v>
      </c>
      <c r="G983" s="467">
        <f>G984</f>
        <v>75</v>
      </c>
      <c r="H983" s="467">
        <f>H984</f>
        <v>75</v>
      </c>
      <c r="I983" s="204"/>
    </row>
    <row r="984" spans="1:9" ht="15.75" x14ac:dyDescent="0.25">
      <c r="A984" s="466" t="s">
        <v>704</v>
      </c>
      <c r="B984" s="460">
        <v>908</v>
      </c>
      <c r="C984" s="462" t="s">
        <v>234</v>
      </c>
      <c r="D984" s="462" t="s">
        <v>215</v>
      </c>
      <c r="E984" s="462" t="s">
        <v>1281</v>
      </c>
      <c r="F984" s="462" t="s">
        <v>138</v>
      </c>
      <c r="G984" s="467">
        <f>75</f>
        <v>75</v>
      </c>
      <c r="H984" s="467">
        <f t="shared" ref="H984:H1032" si="88">G984</f>
        <v>75</v>
      </c>
      <c r="I984" s="204"/>
    </row>
    <row r="985" spans="1:9" ht="25.5" hidden="1" customHeight="1" x14ac:dyDescent="0.25">
      <c r="A985" s="45" t="s">
        <v>559</v>
      </c>
      <c r="B985" s="460">
        <v>908</v>
      </c>
      <c r="C985" s="462" t="s">
        <v>234</v>
      </c>
      <c r="D985" s="462" t="s">
        <v>215</v>
      </c>
      <c r="E985" s="462" t="s">
        <v>1282</v>
      </c>
      <c r="F985" s="462"/>
      <c r="G985" s="467">
        <f>'[1]Пр.5 ведом.21'!G973</f>
        <v>0</v>
      </c>
      <c r="H985" s="467">
        <f>H986</f>
        <v>130</v>
      </c>
      <c r="I985" s="204"/>
    </row>
    <row r="986" spans="1:9" ht="31.5" hidden="1" x14ac:dyDescent="0.25">
      <c r="A986" s="466" t="s">
        <v>131</v>
      </c>
      <c r="B986" s="460">
        <v>908</v>
      </c>
      <c r="C986" s="462" t="s">
        <v>234</v>
      </c>
      <c r="D986" s="462" t="s">
        <v>215</v>
      </c>
      <c r="E986" s="462" t="s">
        <v>1282</v>
      </c>
      <c r="F986" s="462" t="s">
        <v>132</v>
      </c>
      <c r="G986" s="467">
        <f>'[1]Пр.5 ведом.21'!G974</f>
        <v>0</v>
      </c>
      <c r="H986" s="467">
        <f>H987</f>
        <v>130</v>
      </c>
      <c r="I986" s="204"/>
    </row>
    <row r="987" spans="1:9" ht="31.5" hidden="1" x14ac:dyDescent="0.25">
      <c r="A987" s="466" t="s">
        <v>133</v>
      </c>
      <c r="B987" s="460">
        <v>908</v>
      </c>
      <c r="C987" s="462" t="s">
        <v>234</v>
      </c>
      <c r="D987" s="462" t="s">
        <v>215</v>
      </c>
      <c r="E987" s="462" t="s">
        <v>1282</v>
      </c>
      <c r="F987" s="462" t="s">
        <v>134</v>
      </c>
      <c r="G987" s="467">
        <f>0</f>
        <v>0</v>
      </c>
      <c r="H987" s="467">
        <v>130</v>
      </c>
      <c r="I987" s="204"/>
    </row>
    <row r="988" spans="1:9" ht="31.5" x14ac:dyDescent="0.25">
      <c r="A988" s="228" t="s">
        <v>1092</v>
      </c>
      <c r="B988" s="460">
        <v>908</v>
      </c>
      <c r="C988" s="462" t="s">
        <v>234</v>
      </c>
      <c r="D988" s="462" t="s">
        <v>215</v>
      </c>
      <c r="E988" s="462" t="s">
        <v>1283</v>
      </c>
      <c r="F988" s="462"/>
      <c r="G988" s="467">
        <f>G989</f>
        <v>50</v>
      </c>
      <c r="H988" s="467">
        <f>H989</f>
        <v>60</v>
      </c>
      <c r="I988" s="204"/>
    </row>
    <row r="989" spans="1:9" ht="31.5" x14ac:dyDescent="0.25">
      <c r="A989" s="466" t="s">
        <v>131</v>
      </c>
      <c r="B989" s="460">
        <v>908</v>
      </c>
      <c r="C989" s="462" t="s">
        <v>234</v>
      </c>
      <c r="D989" s="462" t="s">
        <v>215</v>
      </c>
      <c r="E989" s="462" t="s">
        <v>1283</v>
      </c>
      <c r="F989" s="462" t="s">
        <v>132</v>
      </c>
      <c r="G989" s="467">
        <f>G990</f>
        <v>50</v>
      </c>
      <c r="H989" s="467">
        <f>H990</f>
        <v>60</v>
      </c>
      <c r="I989" s="204"/>
    </row>
    <row r="990" spans="1:9" ht="40.15" customHeight="1" x14ac:dyDescent="0.25">
      <c r="A990" s="466" t="s">
        <v>133</v>
      </c>
      <c r="B990" s="460">
        <v>908</v>
      </c>
      <c r="C990" s="462" t="s">
        <v>234</v>
      </c>
      <c r="D990" s="462" t="s">
        <v>215</v>
      </c>
      <c r="E990" s="462" t="s">
        <v>1283</v>
      </c>
      <c r="F990" s="462" t="s">
        <v>134</v>
      </c>
      <c r="G990" s="467">
        <v>50</v>
      </c>
      <c r="H990" s="467">
        <v>60</v>
      </c>
      <c r="I990" s="204"/>
    </row>
    <row r="991" spans="1:9" ht="31.5" hidden="1" x14ac:dyDescent="0.25">
      <c r="A991" s="464" t="s">
        <v>891</v>
      </c>
      <c r="B991" s="461">
        <v>908</v>
      </c>
      <c r="C991" s="465" t="s">
        <v>234</v>
      </c>
      <c r="D991" s="465" t="s">
        <v>215</v>
      </c>
      <c r="E991" s="465" t="s">
        <v>1301</v>
      </c>
      <c r="F991" s="465"/>
      <c r="G991" s="463">
        <f>G992+G995</f>
        <v>0</v>
      </c>
      <c r="H991" s="463">
        <f>H992+H995</f>
        <v>0</v>
      </c>
      <c r="I991" s="204"/>
    </row>
    <row r="992" spans="1:9" ht="31.5" hidden="1" x14ac:dyDescent="0.25">
      <c r="A992" s="466" t="s">
        <v>690</v>
      </c>
      <c r="B992" s="460">
        <v>908</v>
      </c>
      <c r="C992" s="462" t="s">
        <v>234</v>
      </c>
      <c r="D992" s="462" t="s">
        <v>215</v>
      </c>
      <c r="E992" s="462" t="s">
        <v>1334</v>
      </c>
      <c r="F992" s="462"/>
      <c r="G992" s="467">
        <f>'[1]Пр.5 ведом.21'!G980</f>
        <v>0</v>
      </c>
      <c r="H992" s="467">
        <f t="shared" si="88"/>
        <v>0</v>
      </c>
      <c r="I992" s="204"/>
    </row>
    <row r="993" spans="1:9" ht="31.5" hidden="1" x14ac:dyDescent="0.25">
      <c r="A993" s="466" t="s">
        <v>131</v>
      </c>
      <c r="B993" s="460">
        <v>908</v>
      </c>
      <c r="C993" s="462" t="s">
        <v>234</v>
      </c>
      <c r="D993" s="462" t="s">
        <v>215</v>
      </c>
      <c r="E993" s="462" t="s">
        <v>1334</v>
      </c>
      <c r="F993" s="462" t="s">
        <v>132</v>
      </c>
      <c r="G993" s="467">
        <f>'[1]Пр.5 ведом.21'!G981</f>
        <v>0</v>
      </c>
      <c r="H993" s="467">
        <f t="shared" si="88"/>
        <v>0</v>
      </c>
      <c r="I993" s="204"/>
    </row>
    <row r="994" spans="1:9" ht="31.5" hidden="1" x14ac:dyDescent="0.25">
      <c r="A994" s="466" t="s">
        <v>133</v>
      </c>
      <c r="B994" s="460">
        <v>908</v>
      </c>
      <c r="C994" s="462" t="s">
        <v>234</v>
      </c>
      <c r="D994" s="462" t="s">
        <v>215</v>
      </c>
      <c r="E994" s="462" t="s">
        <v>1334</v>
      </c>
      <c r="F994" s="462" t="s">
        <v>134</v>
      </c>
      <c r="G994" s="467">
        <f>'[1]Пр.5 ведом.21'!G982</f>
        <v>0</v>
      </c>
      <c r="H994" s="467">
        <f t="shared" si="88"/>
        <v>0</v>
      </c>
      <c r="I994" s="204"/>
    </row>
    <row r="995" spans="1:9" ht="63" hidden="1" x14ac:dyDescent="0.25">
      <c r="A995" s="466" t="s">
        <v>1073</v>
      </c>
      <c r="B995" s="460">
        <v>908</v>
      </c>
      <c r="C995" s="462" t="s">
        <v>234</v>
      </c>
      <c r="D995" s="462" t="s">
        <v>215</v>
      </c>
      <c r="E995" s="462" t="s">
        <v>1300</v>
      </c>
      <c r="F995" s="462"/>
      <c r="G995" s="467">
        <f>G996</f>
        <v>0</v>
      </c>
      <c r="H995" s="467">
        <f>H996</f>
        <v>0</v>
      </c>
      <c r="I995" s="204"/>
    </row>
    <row r="996" spans="1:9" ht="31.5" hidden="1" x14ac:dyDescent="0.25">
      <c r="A996" s="466" t="s">
        <v>131</v>
      </c>
      <c r="B996" s="460">
        <v>908</v>
      </c>
      <c r="C996" s="462" t="s">
        <v>234</v>
      </c>
      <c r="D996" s="462" t="s">
        <v>215</v>
      </c>
      <c r="E996" s="462" t="s">
        <v>1300</v>
      </c>
      <c r="F996" s="462" t="s">
        <v>132</v>
      </c>
      <c r="G996" s="467">
        <f>G997</f>
        <v>0</v>
      </c>
      <c r="H996" s="467">
        <f>H997</f>
        <v>0</v>
      </c>
      <c r="I996" s="204"/>
    </row>
    <row r="997" spans="1:9" ht="31.5" hidden="1" x14ac:dyDescent="0.25">
      <c r="A997" s="466" t="s">
        <v>133</v>
      </c>
      <c r="B997" s="460">
        <v>908</v>
      </c>
      <c r="C997" s="462" t="s">
        <v>234</v>
      </c>
      <c r="D997" s="462" t="s">
        <v>215</v>
      </c>
      <c r="E997" s="462" t="s">
        <v>1300</v>
      </c>
      <c r="F997" s="462" t="s">
        <v>134</v>
      </c>
      <c r="G997" s="467"/>
      <c r="H997" s="467"/>
      <c r="I997" s="204"/>
    </row>
    <row r="998" spans="1:9" ht="63" x14ac:dyDescent="0.25">
      <c r="A998" s="464" t="s">
        <v>1547</v>
      </c>
      <c r="B998" s="461">
        <v>908</v>
      </c>
      <c r="C998" s="465" t="s">
        <v>234</v>
      </c>
      <c r="D998" s="465" t="s">
        <v>215</v>
      </c>
      <c r="E998" s="465" t="s">
        <v>711</v>
      </c>
      <c r="F998" s="465"/>
      <c r="G998" s="463">
        <f t="shared" ref="G998:H1001" si="89">G999</f>
        <v>500</v>
      </c>
      <c r="H998" s="463">
        <f t="shared" si="89"/>
        <v>500</v>
      </c>
      <c r="I998" s="204"/>
    </row>
    <row r="999" spans="1:9" ht="31.5" x14ac:dyDescent="0.25">
      <c r="A999" s="464" t="s">
        <v>1069</v>
      </c>
      <c r="B999" s="461">
        <v>908</v>
      </c>
      <c r="C999" s="465" t="s">
        <v>234</v>
      </c>
      <c r="D999" s="465" t="s">
        <v>215</v>
      </c>
      <c r="E999" s="465" t="s">
        <v>1091</v>
      </c>
      <c r="F999" s="465"/>
      <c r="G999" s="463">
        <f t="shared" si="89"/>
        <v>500</v>
      </c>
      <c r="H999" s="463">
        <f t="shared" si="89"/>
        <v>500</v>
      </c>
      <c r="I999" s="204"/>
    </row>
    <row r="1000" spans="1:9" ht="47.25" x14ac:dyDescent="0.25">
      <c r="A1000" s="80" t="s">
        <v>693</v>
      </c>
      <c r="B1000" s="460">
        <v>908</v>
      </c>
      <c r="C1000" s="462" t="s">
        <v>234</v>
      </c>
      <c r="D1000" s="462" t="s">
        <v>215</v>
      </c>
      <c r="E1000" s="462" t="s">
        <v>835</v>
      </c>
      <c r="F1000" s="462"/>
      <c r="G1000" s="467">
        <f t="shared" si="89"/>
        <v>500</v>
      </c>
      <c r="H1000" s="467">
        <f t="shared" si="89"/>
        <v>500</v>
      </c>
      <c r="I1000" s="204"/>
    </row>
    <row r="1001" spans="1:9" ht="31.5" x14ac:dyDescent="0.25">
      <c r="A1001" s="466" t="s">
        <v>131</v>
      </c>
      <c r="B1001" s="460">
        <v>908</v>
      </c>
      <c r="C1001" s="462" t="s">
        <v>234</v>
      </c>
      <c r="D1001" s="462" t="s">
        <v>215</v>
      </c>
      <c r="E1001" s="462" t="s">
        <v>835</v>
      </c>
      <c r="F1001" s="462" t="s">
        <v>132</v>
      </c>
      <c r="G1001" s="467">
        <f t="shared" si="89"/>
        <v>500</v>
      </c>
      <c r="H1001" s="467">
        <f t="shared" si="89"/>
        <v>500</v>
      </c>
      <c r="I1001" s="204"/>
    </row>
    <row r="1002" spans="1:9" ht="31.5" x14ac:dyDescent="0.25">
      <c r="A1002" s="466" t="s">
        <v>133</v>
      </c>
      <c r="B1002" s="460">
        <v>908</v>
      </c>
      <c r="C1002" s="462" t="s">
        <v>234</v>
      </c>
      <c r="D1002" s="462" t="s">
        <v>215</v>
      </c>
      <c r="E1002" s="462" t="s">
        <v>835</v>
      </c>
      <c r="F1002" s="462" t="s">
        <v>134</v>
      </c>
      <c r="G1002" s="467">
        <f>500</f>
        <v>500</v>
      </c>
      <c r="H1002" s="467">
        <f t="shared" si="88"/>
        <v>500</v>
      </c>
      <c r="I1002" s="204"/>
    </row>
    <row r="1003" spans="1:9" ht="31.5" x14ac:dyDescent="0.25">
      <c r="A1003" s="464" t="s">
        <v>569</v>
      </c>
      <c r="B1003" s="461">
        <v>908</v>
      </c>
      <c r="C1003" s="465" t="s">
        <v>234</v>
      </c>
      <c r="D1003" s="465" t="s">
        <v>234</v>
      </c>
      <c r="E1003" s="465"/>
      <c r="F1003" s="465"/>
      <c r="G1003" s="463">
        <f>G1004+G1016+G1033</f>
        <v>25304.5</v>
      </c>
      <c r="H1003" s="463">
        <f>H1004+H1016+H1033</f>
        <v>25304.5</v>
      </c>
      <c r="I1003" s="204"/>
    </row>
    <row r="1004" spans="1:9" ht="31.5" x14ac:dyDescent="0.25">
      <c r="A1004" s="464" t="s">
        <v>917</v>
      </c>
      <c r="B1004" s="461">
        <v>908</v>
      </c>
      <c r="C1004" s="465" t="s">
        <v>234</v>
      </c>
      <c r="D1004" s="465" t="s">
        <v>234</v>
      </c>
      <c r="E1004" s="465" t="s">
        <v>858</v>
      </c>
      <c r="F1004" s="465"/>
      <c r="G1004" s="463">
        <f>G1005</f>
        <v>12879.3</v>
      </c>
      <c r="H1004" s="463">
        <f>H1005</f>
        <v>12879.3</v>
      </c>
      <c r="I1004" s="204"/>
    </row>
    <row r="1005" spans="1:9" ht="15.75" x14ac:dyDescent="0.25">
      <c r="A1005" s="464" t="s">
        <v>918</v>
      </c>
      <c r="B1005" s="461">
        <v>908</v>
      </c>
      <c r="C1005" s="465" t="s">
        <v>234</v>
      </c>
      <c r="D1005" s="465" t="s">
        <v>234</v>
      </c>
      <c r="E1005" s="465" t="s">
        <v>859</v>
      </c>
      <c r="F1005" s="465"/>
      <c r="G1005" s="463">
        <f>G1006+G1013</f>
        <v>12879.3</v>
      </c>
      <c r="H1005" s="463">
        <f>H1006+H1013</f>
        <v>12879.3</v>
      </c>
      <c r="I1005" s="204"/>
    </row>
    <row r="1006" spans="1:9" ht="31.5" x14ac:dyDescent="0.25">
      <c r="A1006" s="466" t="s">
        <v>897</v>
      </c>
      <c r="B1006" s="460">
        <v>908</v>
      </c>
      <c r="C1006" s="462" t="s">
        <v>234</v>
      </c>
      <c r="D1006" s="462" t="s">
        <v>234</v>
      </c>
      <c r="E1006" s="462" t="s">
        <v>860</v>
      </c>
      <c r="F1006" s="462"/>
      <c r="G1006" s="467">
        <f>G1007+G1009+G1011</f>
        <v>12511.3</v>
      </c>
      <c r="H1006" s="467">
        <f>H1007+H1009+H1011</f>
        <v>12511.3</v>
      </c>
      <c r="I1006" s="204"/>
    </row>
    <row r="1007" spans="1:9" ht="78.75" x14ac:dyDescent="0.25">
      <c r="A1007" s="466" t="s">
        <v>127</v>
      </c>
      <c r="B1007" s="460">
        <v>908</v>
      </c>
      <c r="C1007" s="462" t="s">
        <v>234</v>
      </c>
      <c r="D1007" s="462" t="s">
        <v>234</v>
      </c>
      <c r="E1007" s="462" t="s">
        <v>860</v>
      </c>
      <c r="F1007" s="462" t="s">
        <v>128</v>
      </c>
      <c r="G1007" s="467">
        <f>G1008</f>
        <v>12439.3</v>
      </c>
      <c r="H1007" s="467">
        <f>H1008</f>
        <v>12439.3</v>
      </c>
      <c r="I1007" s="204"/>
    </row>
    <row r="1008" spans="1:9" ht="31.5" x14ac:dyDescent="0.25">
      <c r="A1008" s="466" t="s">
        <v>129</v>
      </c>
      <c r="B1008" s="460">
        <v>908</v>
      </c>
      <c r="C1008" s="462" t="s">
        <v>234</v>
      </c>
      <c r="D1008" s="462" t="s">
        <v>234</v>
      </c>
      <c r="E1008" s="462" t="s">
        <v>860</v>
      </c>
      <c r="F1008" s="462" t="s">
        <v>130</v>
      </c>
      <c r="G1008" s="467">
        <v>12439.3</v>
      </c>
      <c r="H1008" s="467">
        <f t="shared" si="88"/>
        <v>12439.3</v>
      </c>
      <c r="I1008" s="204"/>
    </row>
    <row r="1009" spans="1:9" ht="31.5" x14ac:dyDescent="0.25">
      <c r="A1009" s="466" t="s">
        <v>131</v>
      </c>
      <c r="B1009" s="460">
        <v>908</v>
      </c>
      <c r="C1009" s="462" t="s">
        <v>234</v>
      </c>
      <c r="D1009" s="462" t="s">
        <v>234</v>
      </c>
      <c r="E1009" s="462" t="s">
        <v>860</v>
      </c>
      <c r="F1009" s="462" t="s">
        <v>132</v>
      </c>
      <c r="G1009" s="467">
        <f>G1010</f>
        <v>25</v>
      </c>
      <c r="H1009" s="467">
        <f>H1010</f>
        <v>25</v>
      </c>
      <c r="I1009" s="204"/>
    </row>
    <row r="1010" spans="1:9" ht="31.5" x14ac:dyDescent="0.25">
      <c r="A1010" s="466" t="s">
        <v>133</v>
      </c>
      <c r="B1010" s="460">
        <v>908</v>
      </c>
      <c r="C1010" s="462" t="s">
        <v>234</v>
      </c>
      <c r="D1010" s="462" t="s">
        <v>234</v>
      </c>
      <c r="E1010" s="462" t="s">
        <v>860</v>
      </c>
      <c r="F1010" s="462" t="s">
        <v>134</v>
      </c>
      <c r="G1010" s="467">
        <f>25</f>
        <v>25</v>
      </c>
      <c r="H1010" s="467">
        <f t="shared" si="88"/>
        <v>25</v>
      </c>
      <c r="I1010" s="204"/>
    </row>
    <row r="1011" spans="1:9" ht="15.75" x14ac:dyDescent="0.25">
      <c r="A1011" s="466" t="s">
        <v>135</v>
      </c>
      <c r="B1011" s="460">
        <v>908</v>
      </c>
      <c r="C1011" s="462" t="s">
        <v>234</v>
      </c>
      <c r="D1011" s="462" t="s">
        <v>234</v>
      </c>
      <c r="E1011" s="462" t="s">
        <v>860</v>
      </c>
      <c r="F1011" s="462" t="s">
        <v>145</v>
      </c>
      <c r="G1011" s="467">
        <f>G1012</f>
        <v>47</v>
      </c>
      <c r="H1011" s="467">
        <f>H1012</f>
        <v>47</v>
      </c>
      <c r="I1011" s="204"/>
    </row>
    <row r="1012" spans="1:9" ht="15.75" x14ac:dyDescent="0.25">
      <c r="A1012" s="466" t="s">
        <v>568</v>
      </c>
      <c r="B1012" s="460">
        <v>908</v>
      </c>
      <c r="C1012" s="462" t="s">
        <v>234</v>
      </c>
      <c r="D1012" s="462" t="s">
        <v>234</v>
      </c>
      <c r="E1012" s="462" t="s">
        <v>860</v>
      </c>
      <c r="F1012" s="462" t="s">
        <v>138</v>
      </c>
      <c r="G1012" s="467">
        <f>47</f>
        <v>47</v>
      </c>
      <c r="H1012" s="467">
        <f t="shared" si="88"/>
        <v>47</v>
      </c>
      <c r="I1012" s="204"/>
    </row>
    <row r="1013" spans="1:9" ht="47.25" x14ac:dyDescent="0.25">
      <c r="A1013" s="466" t="s">
        <v>839</v>
      </c>
      <c r="B1013" s="460">
        <v>908</v>
      </c>
      <c r="C1013" s="462" t="s">
        <v>234</v>
      </c>
      <c r="D1013" s="462" t="s">
        <v>234</v>
      </c>
      <c r="E1013" s="462" t="s">
        <v>862</v>
      </c>
      <c r="F1013" s="462"/>
      <c r="G1013" s="467">
        <f>G1014</f>
        <v>368</v>
      </c>
      <c r="H1013" s="467">
        <f>H1014</f>
        <v>368</v>
      </c>
      <c r="I1013" s="204"/>
    </row>
    <row r="1014" spans="1:9" ht="78.75" x14ac:dyDescent="0.25">
      <c r="A1014" s="466" t="s">
        <v>127</v>
      </c>
      <c r="B1014" s="460">
        <v>908</v>
      </c>
      <c r="C1014" s="462" t="s">
        <v>234</v>
      </c>
      <c r="D1014" s="462" t="s">
        <v>234</v>
      </c>
      <c r="E1014" s="462" t="s">
        <v>862</v>
      </c>
      <c r="F1014" s="462" t="s">
        <v>128</v>
      </c>
      <c r="G1014" s="467">
        <f>G1015</f>
        <v>368</v>
      </c>
      <c r="H1014" s="467">
        <f>H1015</f>
        <v>368</v>
      </c>
      <c r="I1014" s="204"/>
    </row>
    <row r="1015" spans="1:9" ht="31.5" x14ac:dyDescent="0.25">
      <c r="A1015" s="466" t="s">
        <v>129</v>
      </c>
      <c r="B1015" s="460">
        <v>908</v>
      </c>
      <c r="C1015" s="462" t="s">
        <v>234</v>
      </c>
      <c r="D1015" s="462" t="s">
        <v>234</v>
      </c>
      <c r="E1015" s="462" t="s">
        <v>862</v>
      </c>
      <c r="F1015" s="462" t="s">
        <v>130</v>
      </c>
      <c r="G1015" s="467">
        <v>368</v>
      </c>
      <c r="H1015" s="467">
        <f t="shared" si="88"/>
        <v>368</v>
      </c>
      <c r="I1015" s="204"/>
    </row>
    <row r="1016" spans="1:9" ht="15.75" x14ac:dyDescent="0.25">
      <c r="A1016" s="464" t="s">
        <v>141</v>
      </c>
      <c r="B1016" s="461">
        <v>908</v>
      </c>
      <c r="C1016" s="465" t="s">
        <v>234</v>
      </c>
      <c r="D1016" s="465" t="s">
        <v>234</v>
      </c>
      <c r="E1016" s="465" t="s">
        <v>866</v>
      </c>
      <c r="F1016" s="465"/>
      <c r="G1016" s="463">
        <f>G1017+G1024</f>
        <v>12425.2</v>
      </c>
      <c r="H1016" s="463">
        <f>H1017+H1024</f>
        <v>12425.2</v>
      </c>
      <c r="I1016" s="204"/>
    </row>
    <row r="1017" spans="1:9" ht="31.5" x14ac:dyDescent="0.25">
      <c r="A1017" s="464" t="s">
        <v>870</v>
      </c>
      <c r="B1017" s="461">
        <v>908</v>
      </c>
      <c r="C1017" s="465" t="s">
        <v>234</v>
      </c>
      <c r="D1017" s="465" t="s">
        <v>234</v>
      </c>
      <c r="E1017" s="465" t="s">
        <v>865</v>
      </c>
      <c r="F1017" s="465"/>
      <c r="G1017" s="463">
        <f>G1018+G1021</f>
        <v>982</v>
      </c>
      <c r="H1017" s="463">
        <f>H1018+H1021</f>
        <v>982</v>
      </c>
      <c r="I1017" s="204"/>
    </row>
    <row r="1018" spans="1:9" ht="31.5" x14ac:dyDescent="0.25">
      <c r="A1018" s="466" t="s">
        <v>570</v>
      </c>
      <c r="B1018" s="460">
        <v>908</v>
      </c>
      <c r="C1018" s="462" t="s">
        <v>234</v>
      </c>
      <c r="D1018" s="462" t="s">
        <v>234</v>
      </c>
      <c r="E1018" s="462" t="s">
        <v>984</v>
      </c>
      <c r="F1018" s="462"/>
      <c r="G1018" s="467">
        <f>G1019</f>
        <v>982</v>
      </c>
      <c r="H1018" s="467">
        <f>H1019</f>
        <v>982</v>
      </c>
      <c r="I1018" s="204"/>
    </row>
    <row r="1019" spans="1:9" ht="15.75" x14ac:dyDescent="0.25">
      <c r="A1019" s="466" t="s">
        <v>135</v>
      </c>
      <c r="B1019" s="460">
        <v>908</v>
      </c>
      <c r="C1019" s="462" t="s">
        <v>234</v>
      </c>
      <c r="D1019" s="462" t="s">
        <v>234</v>
      </c>
      <c r="E1019" s="462" t="s">
        <v>984</v>
      </c>
      <c r="F1019" s="462" t="s">
        <v>145</v>
      </c>
      <c r="G1019" s="467">
        <f>G1020</f>
        <v>982</v>
      </c>
      <c r="H1019" s="467">
        <f>H1020</f>
        <v>982</v>
      </c>
      <c r="I1019" s="204"/>
    </row>
    <row r="1020" spans="1:9" ht="47.25" x14ac:dyDescent="0.25">
      <c r="A1020" s="466" t="s">
        <v>184</v>
      </c>
      <c r="B1020" s="460">
        <v>908</v>
      </c>
      <c r="C1020" s="462" t="s">
        <v>234</v>
      </c>
      <c r="D1020" s="462" t="s">
        <v>234</v>
      </c>
      <c r="E1020" s="462" t="s">
        <v>984</v>
      </c>
      <c r="F1020" s="462" t="s">
        <v>160</v>
      </c>
      <c r="G1020" s="467">
        <v>982</v>
      </c>
      <c r="H1020" s="467">
        <f t="shared" si="88"/>
        <v>982</v>
      </c>
      <c r="I1020" s="204"/>
    </row>
    <row r="1021" spans="1:9" ht="31.5" hidden="1" x14ac:dyDescent="0.25">
      <c r="A1021" s="466" t="s">
        <v>823</v>
      </c>
      <c r="B1021" s="460">
        <v>908</v>
      </c>
      <c r="C1021" s="462" t="s">
        <v>234</v>
      </c>
      <c r="D1021" s="462" t="s">
        <v>234</v>
      </c>
      <c r="E1021" s="462" t="s">
        <v>1074</v>
      </c>
      <c r="F1021" s="462"/>
      <c r="G1021" s="467">
        <f>'[1]Пр.5 ведом.21'!G1011</f>
        <v>0</v>
      </c>
      <c r="H1021" s="467">
        <f t="shared" si="88"/>
        <v>0</v>
      </c>
      <c r="I1021" s="204"/>
    </row>
    <row r="1022" spans="1:9" ht="15.75" hidden="1" x14ac:dyDescent="0.25">
      <c r="A1022" s="466" t="s">
        <v>135</v>
      </c>
      <c r="B1022" s="460">
        <v>908</v>
      </c>
      <c r="C1022" s="462" t="s">
        <v>234</v>
      </c>
      <c r="D1022" s="462" t="s">
        <v>234</v>
      </c>
      <c r="E1022" s="462" t="s">
        <v>1074</v>
      </c>
      <c r="F1022" s="462" t="s">
        <v>145</v>
      </c>
      <c r="G1022" s="467">
        <f>'[1]Пр.5 ведом.21'!G1012</f>
        <v>0</v>
      </c>
      <c r="H1022" s="467">
        <f t="shared" si="88"/>
        <v>0</v>
      </c>
      <c r="I1022" s="204"/>
    </row>
    <row r="1023" spans="1:9" ht="47.25" hidden="1" x14ac:dyDescent="0.25">
      <c r="A1023" s="466" t="s">
        <v>184</v>
      </c>
      <c r="B1023" s="460">
        <v>908</v>
      </c>
      <c r="C1023" s="462" t="s">
        <v>234</v>
      </c>
      <c r="D1023" s="462" t="s">
        <v>234</v>
      </c>
      <c r="E1023" s="462" t="s">
        <v>1074</v>
      </c>
      <c r="F1023" s="462" t="s">
        <v>160</v>
      </c>
      <c r="G1023" s="467">
        <f>'[1]Пр.5 ведом.21'!G1013</f>
        <v>0</v>
      </c>
      <c r="H1023" s="467">
        <f t="shared" si="88"/>
        <v>0</v>
      </c>
      <c r="I1023" s="204"/>
    </row>
    <row r="1024" spans="1:9" ht="31.5" x14ac:dyDescent="0.25">
      <c r="A1024" s="464" t="s">
        <v>929</v>
      </c>
      <c r="B1024" s="461">
        <v>908</v>
      </c>
      <c r="C1024" s="465" t="s">
        <v>234</v>
      </c>
      <c r="D1024" s="465" t="s">
        <v>234</v>
      </c>
      <c r="E1024" s="465" t="s">
        <v>914</v>
      </c>
      <c r="F1024" s="465"/>
      <c r="G1024" s="44">
        <f>G1025+G1030</f>
        <v>11443.2</v>
      </c>
      <c r="H1024" s="44">
        <f>H1025+H1030</f>
        <v>11443.2</v>
      </c>
      <c r="I1024" s="204"/>
    </row>
    <row r="1025" spans="1:9" ht="31.5" x14ac:dyDescent="0.25">
      <c r="A1025" s="466" t="s">
        <v>903</v>
      </c>
      <c r="B1025" s="460">
        <v>908</v>
      </c>
      <c r="C1025" s="462" t="s">
        <v>234</v>
      </c>
      <c r="D1025" s="462" t="s">
        <v>234</v>
      </c>
      <c r="E1025" s="462" t="s">
        <v>915</v>
      </c>
      <c r="F1025" s="462"/>
      <c r="G1025" s="467">
        <f>G1026+G1028</f>
        <v>10845.2</v>
      </c>
      <c r="H1025" s="467">
        <f>H1026+H1028</f>
        <v>10845.2</v>
      </c>
      <c r="I1025" s="204"/>
    </row>
    <row r="1026" spans="1:9" ht="78.75" x14ac:dyDescent="0.25">
      <c r="A1026" s="466" t="s">
        <v>127</v>
      </c>
      <c r="B1026" s="460">
        <v>908</v>
      </c>
      <c r="C1026" s="462" t="s">
        <v>234</v>
      </c>
      <c r="D1026" s="462" t="s">
        <v>234</v>
      </c>
      <c r="E1026" s="462" t="s">
        <v>915</v>
      </c>
      <c r="F1026" s="462" t="s">
        <v>128</v>
      </c>
      <c r="G1026" s="467">
        <f>G1027</f>
        <v>9193</v>
      </c>
      <c r="H1026" s="467">
        <f>H1027</f>
        <v>9193</v>
      </c>
      <c r="I1026" s="204"/>
    </row>
    <row r="1027" spans="1:9" ht="31.5" x14ac:dyDescent="0.25">
      <c r="A1027" s="466" t="s">
        <v>342</v>
      </c>
      <c r="B1027" s="460">
        <v>908</v>
      </c>
      <c r="C1027" s="462" t="s">
        <v>234</v>
      </c>
      <c r="D1027" s="462" t="s">
        <v>234</v>
      </c>
      <c r="E1027" s="462" t="s">
        <v>915</v>
      </c>
      <c r="F1027" s="462" t="s">
        <v>209</v>
      </c>
      <c r="G1027" s="467">
        <v>9193</v>
      </c>
      <c r="H1027" s="467">
        <f t="shared" si="88"/>
        <v>9193</v>
      </c>
      <c r="I1027" s="204"/>
    </row>
    <row r="1028" spans="1:9" ht="31.5" x14ac:dyDescent="0.25">
      <c r="A1028" s="466" t="s">
        <v>131</v>
      </c>
      <c r="B1028" s="460">
        <v>908</v>
      </c>
      <c r="C1028" s="462" t="s">
        <v>234</v>
      </c>
      <c r="D1028" s="462" t="s">
        <v>234</v>
      </c>
      <c r="E1028" s="462" t="s">
        <v>915</v>
      </c>
      <c r="F1028" s="462" t="s">
        <v>132</v>
      </c>
      <c r="G1028" s="467">
        <f>G1029</f>
        <v>1652.2</v>
      </c>
      <c r="H1028" s="467">
        <f>H1029</f>
        <v>1652.2</v>
      </c>
      <c r="I1028" s="204"/>
    </row>
    <row r="1029" spans="1:9" ht="31.5" x14ac:dyDescent="0.25">
      <c r="A1029" s="466" t="s">
        <v>133</v>
      </c>
      <c r="B1029" s="460">
        <v>908</v>
      </c>
      <c r="C1029" s="462" t="s">
        <v>234</v>
      </c>
      <c r="D1029" s="462" t="s">
        <v>234</v>
      </c>
      <c r="E1029" s="462" t="s">
        <v>915</v>
      </c>
      <c r="F1029" s="462" t="s">
        <v>134</v>
      </c>
      <c r="G1029" s="467">
        <v>1652.2</v>
      </c>
      <c r="H1029" s="467">
        <f t="shared" si="88"/>
        <v>1652.2</v>
      </c>
      <c r="I1029" s="204"/>
    </row>
    <row r="1030" spans="1:9" ht="47.25" x14ac:dyDescent="0.25">
      <c r="A1030" s="466" t="s">
        <v>839</v>
      </c>
      <c r="B1030" s="460">
        <v>908</v>
      </c>
      <c r="C1030" s="462" t="s">
        <v>234</v>
      </c>
      <c r="D1030" s="462" t="s">
        <v>234</v>
      </c>
      <c r="E1030" s="462" t="s">
        <v>916</v>
      </c>
      <c r="F1030" s="462"/>
      <c r="G1030" s="467">
        <f>G1031</f>
        <v>598</v>
      </c>
      <c r="H1030" s="467">
        <f>H1031</f>
        <v>598</v>
      </c>
      <c r="I1030" s="204"/>
    </row>
    <row r="1031" spans="1:9" ht="78.75" x14ac:dyDescent="0.25">
      <c r="A1031" s="466" t="s">
        <v>127</v>
      </c>
      <c r="B1031" s="460">
        <v>908</v>
      </c>
      <c r="C1031" s="462" t="s">
        <v>234</v>
      </c>
      <c r="D1031" s="462" t="s">
        <v>234</v>
      </c>
      <c r="E1031" s="462" t="s">
        <v>916</v>
      </c>
      <c r="F1031" s="462" t="s">
        <v>128</v>
      </c>
      <c r="G1031" s="467">
        <f>G1032</f>
        <v>598</v>
      </c>
      <c r="H1031" s="467">
        <f>H1032</f>
        <v>598</v>
      </c>
      <c r="I1031" s="204"/>
    </row>
    <row r="1032" spans="1:9" ht="23.25" customHeight="1" x14ac:dyDescent="0.25">
      <c r="A1032" s="466" t="s">
        <v>342</v>
      </c>
      <c r="B1032" s="460">
        <v>908</v>
      </c>
      <c r="C1032" s="462" t="s">
        <v>234</v>
      </c>
      <c r="D1032" s="462" t="s">
        <v>234</v>
      </c>
      <c r="E1032" s="462" t="s">
        <v>916</v>
      </c>
      <c r="F1032" s="462" t="s">
        <v>209</v>
      </c>
      <c r="G1032" s="467">
        <v>598</v>
      </c>
      <c r="H1032" s="467">
        <f t="shared" si="88"/>
        <v>598</v>
      </c>
      <c r="I1032" s="204"/>
    </row>
    <row r="1033" spans="1:9" ht="47.25" hidden="1" x14ac:dyDescent="0.25">
      <c r="A1033" s="34" t="s">
        <v>1368</v>
      </c>
      <c r="B1033" s="461">
        <v>908</v>
      </c>
      <c r="C1033" s="465" t="s">
        <v>234</v>
      </c>
      <c r="D1033" s="465" t="s">
        <v>234</v>
      </c>
      <c r="E1033" s="465" t="s">
        <v>324</v>
      </c>
      <c r="F1033" s="465"/>
      <c r="G1033" s="463">
        <f t="shared" ref="G1033:H1036" si="90">G1034</f>
        <v>0</v>
      </c>
      <c r="H1033" s="463">
        <f t="shared" si="90"/>
        <v>0</v>
      </c>
      <c r="I1033" s="204"/>
    </row>
    <row r="1034" spans="1:9" ht="63" hidden="1" x14ac:dyDescent="0.25">
      <c r="A1034" s="34" t="s">
        <v>1009</v>
      </c>
      <c r="B1034" s="461">
        <v>908</v>
      </c>
      <c r="C1034" s="465" t="s">
        <v>234</v>
      </c>
      <c r="D1034" s="465" t="s">
        <v>234</v>
      </c>
      <c r="E1034" s="465" t="s">
        <v>934</v>
      </c>
      <c r="F1034" s="465"/>
      <c r="G1034" s="463">
        <f t="shared" si="90"/>
        <v>0</v>
      </c>
      <c r="H1034" s="463">
        <f t="shared" si="90"/>
        <v>0</v>
      </c>
      <c r="I1034" s="204"/>
    </row>
    <row r="1035" spans="1:9" ht="47.25" hidden="1" x14ac:dyDescent="0.25">
      <c r="A1035" s="31" t="s">
        <v>1083</v>
      </c>
      <c r="B1035" s="460">
        <v>908</v>
      </c>
      <c r="C1035" s="462" t="s">
        <v>234</v>
      </c>
      <c r="D1035" s="462" t="s">
        <v>234</v>
      </c>
      <c r="E1035" s="462" t="s">
        <v>1026</v>
      </c>
      <c r="F1035" s="462"/>
      <c r="G1035" s="467">
        <f t="shared" si="90"/>
        <v>0</v>
      </c>
      <c r="H1035" s="467">
        <f t="shared" si="90"/>
        <v>0</v>
      </c>
      <c r="I1035" s="204"/>
    </row>
    <row r="1036" spans="1:9" ht="31.5" hidden="1" x14ac:dyDescent="0.25">
      <c r="A1036" s="466" t="s">
        <v>131</v>
      </c>
      <c r="B1036" s="460">
        <v>908</v>
      </c>
      <c r="C1036" s="462" t="s">
        <v>234</v>
      </c>
      <c r="D1036" s="462" t="s">
        <v>234</v>
      </c>
      <c r="E1036" s="462" t="s">
        <v>1026</v>
      </c>
      <c r="F1036" s="462" t="s">
        <v>132</v>
      </c>
      <c r="G1036" s="467">
        <f t="shared" si="90"/>
        <v>0</v>
      </c>
      <c r="H1036" s="467">
        <f t="shared" si="90"/>
        <v>0</v>
      </c>
      <c r="I1036" s="204"/>
    </row>
    <row r="1037" spans="1:9" ht="31.5" hidden="1" x14ac:dyDescent="0.25">
      <c r="A1037" s="466" t="s">
        <v>133</v>
      </c>
      <c r="B1037" s="460">
        <v>908</v>
      </c>
      <c r="C1037" s="462" t="s">
        <v>234</v>
      </c>
      <c r="D1037" s="462" t="s">
        <v>234</v>
      </c>
      <c r="E1037" s="462" t="s">
        <v>1026</v>
      </c>
      <c r="F1037" s="462" t="s">
        <v>134</v>
      </c>
      <c r="G1037" s="467">
        <v>0</v>
      </c>
      <c r="H1037" s="467">
        <v>0</v>
      </c>
      <c r="I1037" s="204"/>
    </row>
    <row r="1038" spans="1:9" ht="15.75" x14ac:dyDescent="0.25">
      <c r="A1038" s="464" t="s">
        <v>243</v>
      </c>
      <c r="B1038" s="461">
        <v>908</v>
      </c>
      <c r="C1038" s="465" t="s">
        <v>244</v>
      </c>
      <c r="D1038" s="465"/>
      <c r="E1038" s="465"/>
      <c r="F1038" s="465"/>
      <c r="G1038" s="463">
        <f t="shared" ref="G1038:H1042" si="91">G1039</f>
        <v>87</v>
      </c>
      <c r="H1038" s="463">
        <f t="shared" si="91"/>
        <v>87</v>
      </c>
      <c r="I1038" s="204"/>
    </row>
    <row r="1039" spans="1:9" ht="15.75" x14ac:dyDescent="0.25">
      <c r="A1039" s="464" t="s">
        <v>258</v>
      </c>
      <c r="B1039" s="461">
        <v>908</v>
      </c>
      <c r="C1039" s="465" t="s">
        <v>244</v>
      </c>
      <c r="D1039" s="465" t="s">
        <v>120</v>
      </c>
      <c r="E1039" s="465"/>
      <c r="F1039" s="465"/>
      <c r="G1039" s="463">
        <f t="shared" si="91"/>
        <v>87</v>
      </c>
      <c r="H1039" s="463">
        <f t="shared" si="91"/>
        <v>87</v>
      </c>
      <c r="I1039" s="204"/>
    </row>
    <row r="1040" spans="1:9" ht="15.75" x14ac:dyDescent="0.25">
      <c r="A1040" s="464" t="s">
        <v>141</v>
      </c>
      <c r="B1040" s="461">
        <v>908</v>
      </c>
      <c r="C1040" s="465" t="s">
        <v>244</v>
      </c>
      <c r="D1040" s="465" t="s">
        <v>120</v>
      </c>
      <c r="E1040" s="465" t="s">
        <v>866</v>
      </c>
      <c r="F1040" s="465"/>
      <c r="G1040" s="463">
        <f t="shared" si="91"/>
        <v>87</v>
      </c>
      <c r="H1040" s="463">
        <f t="shared" si="91"/>
        <v>87</v>
      </c>
      <c r="I1040" s="204"/>
    </row>
    <row r="1041" spans="1:9" ht="15.75" x14ac:dyDescent="0.25">
      <c r="A1041" s="464" t="s">
        <v>141</v>
      </c>
      <c r="B1041" s="461">
        <v>908</v>
      </c>
      <c r="C1041" s="465" t="s">
        <v>244</v>
      </c>
      <c r="D1041" s="465" t="s">
        <v>120</v>
      </c>
      <c r="E1041" s="465" t="s">
        <v>865</v>
      </c>
      <c r="F1041" s="465"/>
      <c r="G1041" s="463">
        <f t="shared" si="91"/>
        <v>87</v>
      </c>
      <c r="H1041" s="463">
        <f t="shared" si="91"/>
        <v>87</v>
      </c>
      <c r="I1041" s="204"/>
    </row>
    <row r="1042" spans="1:9" ht="31.5" x14ac:dyDescent="0.25">
      <c r="A1042" s="464" t="s">
        <v>870</v>
      </c>
      <c r="B1042" s="461">
        <v>908</v>
      </c>
      <c r="C1042" s="465" t="s">
        <v>244</v>
      </c>
      <c r="D1042" s="465" t="s">
        <v>120</v>
      </c>
      <c r="E1042" s="465" t="s">
        <v>865</v>
      </c>
      <c r="F1042" s="465"/>
      <c r="G1042" s="463">
        <f t="shared" si="91"/>
        <v>87</v>
      </c>
      <c r="H1042" s="463">
        <f t="shared" si="91"/>
        <v>87</v>
      </c>
      <c r="I1042" s="204"/>
    </row>
    <row r="1043" spans="1:9" ht="15.75" x14ac:dyDescent="0.25">
      <c r="A1043" s="466" t="s">
        <v>572</v>
      </c>
      <c r="B1043" s="460">
        <v>908</v>
      </c>
      <c r="C1043" s="462" t="s">
        <v>244</v>
      </c>
      <c r="D1043" s="462" t="s">
        <v>120</v>
      </c>
      <c r="E1043" s="462" t="s">
        <v>985</v>
      </c>
      <c r="F1043" s="462"/>
      <c r="G1043" s="467">
        <f>G1044</f>
        <v>87</v>
      </c>
      <c r="H1043" s="467">
        <f>H1044</f>
        <v>87</v>
      </c>
      <c r="I1043" s="204"/>
    </row>
    <row r="1044" spans="1:9" ht="31.5" x14ac:dyDescent="0.25">
      <c r="A1044" s="466" t="s">
        <v>131</v>
      </c>
      <c r="B1044" s="460">
        <v>908</v>
      </c>
      <c r="C1044" s="462" t="s">
        <v>244</v>
      </c>
      <c r="D1044" s="462" t="s">
        <v>120</v>
      </c>
      <c r="E1044" s="462" t="s">
        <v>985</v>
      </c>
      <c r="F1044" s="462" t="s">
        <v>132</v>
      </c>
      <c r="G1044" s="467">
        <f>G1045</f>
        <v>87</v>
      </c>
      <c r="H1044" s="467">
        <f>H1045</f>
        <v>87</v>
      </c>
      <c r="I1044" s="204"/>
    </row>
    <row r="1045" spans="1:9" ht="31.5" x14ac:dyDescent="0.25">
      <c r="A1045" s="466" t="s">
        <v>133</v>
      </c>
      <c r="B1045" s="460">
        <v>908</v>
      </c>
      <c r="C1045" s="462" t="s">
        <v>244</v>
      </c>
      <c r="D1045" s="462" t="s">
        <v>120</v>
      </c>
      <c r="E1045" s="462" t="s">
        <v>985</v>
      </c>
      <c r="F1045" s="462" t="s">
        <v>134</v>
      </c>
      <c r="G1045" s="467">
        <f>87</f>
        <v>87</v>
      </c>
      <c r="H1045" s="467">
        <f t="shared" ref="H1045:H1093" si="92">G1045</f>
        <v>87</v>
      </c>
      <c r="I1045" s="204"/>
    </row>
    <row r="1046" spans="1:9" ht="31.5" x14ac:dyDescent="0.25">
      <c r="A1046" s="461" t="s">
        <v>1382</v>
      </c>
      <c r="B1046" s="461">
        <v>910</v>
      </c>
      <c r="C1046" s="47"/>
      <c r="D1046" s="47"/>
      <c r="E1046" s="47"/>
      <c r="F1046" s="47"/>
      <c r="G1046" s="463">
        <f>G1047</f>
        <v>7286.5</v>
      </c>
      <c r="H1046" s="463">
        <f>H1047</f>
        <v>7286.5</v>
      </c>
      <c r="I1046" s="204"/>
    </row>
    <row r="1047" spans="1:9" ht="15.75" x14ac:dyDescent="0.25">
      <c r="A1047" s="464" t="s">
        <v>117</v>
      </c>
      <c r="B1047" s="461">
        <v>910</v>
      </c>
      <c r="C1047" s="465" t="s">
        <v>118</v>
      </c>
      <c r="D1047" s="465"/>
      <c r="E1047" s="465"/>
      <c r="F1047" s="465"/>
      <c r="G1047" s="463">
        <f>G1048+G1067+G1083</f>
        <v>7286.5</v>
      </c>
      <c r="H1047" s="463">
        <f>H1048+H1067+H1083</f>
        <v>7286.5</v>
      </c>
      <c r="I1047" s="204"/>
    </row>
    <row r="1048" spans="1:9" ht="47.25" hidden="1" x14ac:dyDescent="0.25">
      <c r="A1048" s="464" t="s">
        <v>575</v>
      </c>
      <c r="B1048" s="461">
        <v>910</v>
      </c>
      <c r="C1048" s="465" t="s">
        <v>118</v>
      </c>
      <c r="D1048" s="465" t="s">
        <v>213</v>
      </c>
      <c r="E1048" s="465"/>
      <c r="F1048" s="465"/>
      <c r="G1048" s="463">
        <f>G1049+G1059</f>
        <v>0</v>
      </c>
      <c r="H1048" s="463">
        <f>H1049+H1059</f>
        <v>0</v>
      </c>
      <c r="I1048" s="204"/>
    </row>
    <row r="1049" spans="1:9" ht="31.5" hidden="1" x14ac:dyDescent="0.25">
      <c r="A1049" s="464" t="s">
        <v>917</v>
      </c>
      <c r="B1049" s="461">
        <v>910</v>
      </c>
      <c r="C1049" s="465" t="s">
        <v>118</v>
      </c>
      <c r="D1049" s="465" t="s">
        <v>213</v>
      </c>
      <c r="E1049" s="465" t="s">
        <v>858</v>
      </c>
      <c r="F1049" s="465"/>
      <c r="G1049" s="463">
        <f>G1050</f>
        <v>0</v>
      </c>
      <c r="H1049" s="463">
        <f>H1050</f>
        <v>0</v>
      </c>
      <c r="I1049" s="204"/>
    </row>
    <row r="1050" spans="1:9" ht="31.5" hidden="1" x14ac:dyDescent="0.25">
      <c r="A1050" s="464" t="s">
        <v>986</v>
      </c>
      <c r="B1050" s="461">
        <v>910</v>
      </c>
      <c r="C1050" s="465" t="s">
        <v>118</v>
      </c>
      <c r="D1050" s="465" t="s">
        <v>213</v>
      </c>
      <c r="E1050" s="465" t="s">
        <v>987</v>
      </c>
      <c r="F1050" s="465"/>
      <c r="G1050" s="463">
        <f>G1051+G1056</f>
        <v>0</v>
      </c>
      <c r="H1050" s="463">
        <f>H1051+H1056</f>
        <v>0</v>
      </c>
      <c r="I1050" s="204"/>
    </row>
    <row r="1051" spans="1:9" ht="31.5" hidden="1" x14ac:dyDescent="0.25">
      <c r="A1051" s="466" t="s">
        <v>576</v>
      </c>
      <c r="B1051" s="460">
        <v>910</v>
      </c>
      <c r="C1051" s="462" t="s">
        <v>118</v>
      </c>
      <c r="D1051" s="462" t="s">
        <v>213</v>
      </c>
      <c r="E1051" s="462" t="s">
        <v>988</v>
      </c>
      <c r="F1051" s="462"/>
      <c r="G1051" s="467">
        <f>G1052+G1054</f>
        <v>0</v>
      </c>
      <c r="H1051" s="467">
        <f>H1052+H1054</f>
        <v>0</v>
      </c>
      <c r="I1051" s="204"/>
    </row>
    <row r="1052" spans="1:9" ht="78.75" hidden="1" x14ac:dyDescent="0.25">
      <c r="A1052" s="466" t="s">
        <v>127</v>
      </c>
      <c r="B1052" s="460">
        <v>910</v>
      </c>
      <c r="C1052" s="462" t="s">
        <v>118</v>
      </c>
      <c r="D1052" s="462" t="s">
        <v>213</v>
      </c>
      <c r="E1052" s="462" t="s">
        <v>988</v>
      </c>
      <c r="F1052" s="462" t="s">
        <v>128</v>
      </c>
      <c r="G1052" s="467">
        <f>G1053</f>
        <v>0</v>
      </c>
      <c r="H1052" s="467">
        <f>H1053</f>
        <v>0</v>
      </c>
      <c r="I1052" s="204"/>
    </row>
    <row r="1053" spans="1:9" ht="31.5" hidden="1" x14ac:dyDescent="0.25">
      <c r="A1053" s="466" t="s">
        <v>129</v>
      </c>
      <c r="B1053" s="460">
        <v>910</v>
      </c>
      <c r="C1053" s="462" t="s">
        <v>118</v>
      </c>
      <c r="D1053" s="462" t="s">
        <v>213</v>
      </c>
      <c r="E1053" s="462" t="s">
        <v>988</v>
      </c>
      <c r="F1053" s="462" t="s">
        <v>130</v>
      </c>
      <c r="G1053" s="467">
        <v>0</v>
      </c>
      <c r="H1053" s="467">
        <v>0</v>
      </c>
      <c r="I1053" s="204"/>
    </row>
    <row r="1054" spans="1:9" ht="31.5" hidden="1" x14ac:dyDescent="0.25">
      <c r="A1054" s="466" t="s">
        <v>198</v>
      </c>
      <c r="B1054" s="460">
        <v>910</v>
      </c>
      <c r="C1054" s="462" t="s">
        <v>118</v>
      </c>
      <c r="D1054" s="462" t="s">
        <v>213</v>
      </c>
      <c r="E1054" s="462" t="s">
        <v>988</v>
      </c>
      <c r="F1054" s="462" t="s">
        <v>132</v>
      </c>
      <c r="G1054" s="467">
        <f>G1055</f>
        <v>0</v>
      </c>
      <c r="H1054" s="467">
        <f>H1055</f>
        <v>0</v>
      </c>
      <c r="I1054" s="204"/>
    </row>
    <row r="1055" spans="1:9" ht="31.5" hidden="1" x14ac:dyDescent="0.25">
      <c r="A1055" s="466" t="s">
        <v>133</v>
      </c>
      <c r="B1055" s="460">
        <v>910</v>
      </c>
      <c r="C1055" s="462" t="s">
        <v>118</v>
      </c>
      <c r="D1055" s="462" t="s">
        <v>213</v>
      </c>
      <c r="E1055" s="462" t="s">
        <v>988</v>
      </c>
      <c r="F1055" s="462" t="s">
        <v>134</v>
      </c>
      <c r="G1055" s="467">
        <v>0</v>
      </c>
      <c r="H1055" s="467">
        <v>0</v>
      </c>
      <c r="I1055" s="204"/>
    </row>
    <row r="1056" spans="1:9" ht="47.25" hidden="1" x14ac:dyDescent="0.25">
      <c r="A1056" s="466" t="s">
        <v>839</v>
      </c>
      <c r="B1056" s="460">
        <v>910</v>
      </c>
      <c r="C1056" s="462" t="s">
        <v>118</v>
      </c>
      <c r="D1056" s="462" t="s">
        <v>213</v>
      </c>
      <c r="E1056" s="462" t="s">
        <v>989</v>
      </c>
      <c r="F1056" s="462"/>
      <c r="G1056" s="467">
        <f>G1057</f>
        <v>0</v>
      </c>
      <c r="H1056" s="467">
        <f>H1057</f>
        <v>0</v>
      </c>
      <c r="I1056" s="204"/>
    </row>
    <row r="1057" spans="1:9" ht="78.75" hidden="1" x14ac:dyDescent="0.25">
      <c r="A1057" s="466" t="s">
        <v>127</v>
      </c>
      <c r="B1057" s="460">
        <v>910</v>
      </c>
      <c r="C1057" s="462" t="s">
        <v>118</v>
      </c>
      <c r="D1057" s="462" t="s">
        <v>213</v>
      </c>
      <c r="E1057" s="462" t="s">
        <v>989</v>
      </c>
      <c r="F1057" s="462" t="s">
        <v>128</v>
      </c>
      <c r="G1057" s="467">
        <f>G1058</f>
        <v>0</v>
      </c>
      <c r="H1057" s="467">
        <f>H1058</f>
        <v>0</v>
      </c>
      <c r="I1057" s="204"/>
    </row>
    <row r="1058" spans="1:9" ht="31.5" hidden="1" x14ac:dyDescent="0.25">
      <c r="A1058" s="466" t="s">
        <v>129</v>
      </c>
      <c r="B1058" s="460">
        <v>910</v>
      </c>
      <c r="C1058" s="462" t="s">
        <v>118</v>
      </c>
      <c r="D1058" s="462" t="s">
        <v>213</v>
      </c>
      <c r="E1058" s="462" t="s">
        <v>989</v>
      </c>
      <c r="F1058" s="462" t="s">
        <v>130</v>
      </c>
      <c r="G1058" s="467">
        <v>0</v>
      </c>
      <c r="H1058" s="467">
        <v>0</v>
      </c>
      <c r="I1058" s="204"/>
    </row>
    <row r="1059" spans="1:9" ht="47.25" hidden="1" x14ac:dyDescent="0.25">
      <c r="A1059" s="464" t="s">
        <v>1183</v>
      </c>
      <c r="B1059" s="461">
        <v>910</v>
      </c>
      <c r="C1059" s="465" t="s">
        <v>118</v>
      </c>
      <c r="D1059" s="465" t="s">
        <v>213</v>
      </c>
      <c r="E1059" s="465" t="s">
        <v>162</v>
      </c>
      <c r="F1059" s="465"/>
      <c r="G1059" s="463">
        <f>G1060</f>
        <v>0</v>
      </c>
      <c r="H1059" s="463">
        <f>H1060</f>
        <v>0</v>
      </c>
      <c r="I1059" s="204"/>
    </row>
    <row r="1060" spans="1:9" ht="63" hidden="1" x14ac:dyDescent="0.25">
      <c r="A1060" s="219" t="s">
        <v>843</v>
      </c>
      <c r="B1060" s="461">
        <v>910</v>
      </c>
      <c r="C1060" s="465" t="s">
        <v>118</v>
      </c>
      <c r="D1060" s="465" t="s">
        <v>213</v>
      </c>
      <c r="E1060" s="465" t="s">
        <v>850</v>
      </c>
      <c r="F1060" s="465"/>
      <c r="G1060" s="463">
        <f>G1061+G1064</f>
        <v>0</v>
      </c>
      <c r="H1060" s="463">
        <f>H1061+H1064</f>
        <v>0</v>
      </c>
      <c r="I1060" s="204"/>
    </row>
    <row r="1061" spans="1:9" ht="47.25" hidden="1" x14ac:dyDescent="0.25">
      <c r="A1061" s="31" t="s">
        <v>695</v>
      </c>
      <c r="B1061" s="460">
        <v>910</v>
      </c>
      <c r="C1061" s="462" t="s">
        <v>118</v>
      </c>
      <c r="D1061" s="462" t="s">
        <v>213</v>
      </c>
      <c r="E1061" s="469" t="s">
        <v>993</v>
      </c>
      <c r="F1061" s="462"/>
      <c r="G1061" s="467">
        <f>G1062</f>
        <v>0</v>
      </c>
      <c r="H1061" s="467">
        <f>H1062</f>
        <v>0</v>
      </c>
      <c r="I1061" s="204"/>
    </row>
    <row r="1062" spans="1:9" ht="31.5" hidden="1" x14ac:dyDescent="0.25">
      <c r="A1062" s="466" t="s">
        <v>131</v>
      </c>
      <c r="B1062" s="460">
        <v>910</v>
      </c>
      <c r="C1062" s="462" t="s">
        <v>118</v>
      </c>
      <c r="D1062" s="462" t="s">
        <v>213</v>
      </c>
      <c r="E1062" s="469" t="s">
        <v>993</v>
      </c>
      <c r="F1062" s="462" t="s">
        <v>132</v>
      </c>
      <c r="G1062" s="467">
        <f>G1063</f>
        <v>0</v>
      </c>
      <c r="H1062" s="467">
        <f>H1063</f>
        <v>0</v>
      </c>
      <c r="I1062" s="204"/>
    </row>
    <row r="1063" spans="1:9" ht="31.5" hidden="1" x14ac:dyDescent="0.25">
      <c r="A1063" s="466" t="s">
        <v>133</v>
      </c>
      <c r="B1063" s="460">
        <v>910</v>
      </c>
      <c r="C1063" s="462" t="s">
        <v>118</v>
      </c>
      <c r="D1063" s="462" t="s">
        <v>213</v>
      </c>
      <c r="E1063" s="469" t="s">
        <v>696</v>
      </c>
      <c r="F1063" s="462" t="s">
        <v>134</v>
      </c>
      <c r="G1063" s="467">
        <v>0</v>
      </c>
      <c r="H1063" s="467">
        <v>0</v>
      </c>
      <c r="I1063" s="204"/>
    </row>
    <row r="1064" spans="1:9" ht="47.25" hidden="1" x14ac:dyDescent="0.25">
      <c r="A1064" s="31" t="s">
        <v>695</v>
      </c>
      <c r="B1064" s="460">
        <v>910</v>
      </c>
      <c r="C1064" s="462" t="s">
        <v>118</v>
      </c>
      <c r="D1064" s="462" t="s">
        <v>213</v>
      </c>
      <c r="E1064" s="462" t="s">
        <v>992</v>
      </c>
      <c r="F1064" s="462"/>
      <c r="G1064" s="467">
        <f>G1065</f>
        <v>0</v>
      </c>
      <c r="H1064" s="467">
        <f>H1065</f>
        <v>0</v>
      </c>
      <c r="I1064" s="204"/>
    </row>
    <row r="1065" spans="1:9" ht="31.5" hidden="1" x14ac:dyDescent="0.25">
      <c r="A1065" s="466" t="s">
        <v>131</v>
      </c>
      <c r="B1065" s="460">
        <v>910</v>
      </c>
      <c r="C1065" s="462" t="s">
        <v>118</v>
      </c>
      <c r="D1065" s="462" t="s">
        <v>213</v>
      </c>
      <c r="E1065" s="462" t="s">
        <v>992</v>
      </c>
      <c r="F1065" s="462" t="s">
        <v>132</v>
      </c>
      <c r="G1065" s="467">
        <f>G1066</f>
        <v>0</v>
      </c>
      <c r="H1065" s="467">
        <f>H1066</f>
        <v>0</v>
      </c>
      <c r="I1065" s="204"/>
    </row>
    <row r="1066" spans="1:9" ht="31.5" hidden="1" x14ac:dyDescent="0.25">
      <c r="A1066" s="466" t="s">
        <v>133</v>
      </c>
      <c r="B1066" s="460">
        <v>910</v>
      </c>
      <c r="C1066" s="462" t="s">
        <v>118</v>
      </c>
      <c r="D1066" s="462" t="s">
        <v>213</v>
      </c>
      <c r="E1066" s="462" t="s">
        <v>992</v>
      </c>
      <c r="F1066" s="462" t="s">
        <v>134</v>
      </c>
      <c r="G1066" s="467">
        <v>0</v>
      </c>
      <c r="H1066" s="467">
        <v>0</v>
      </c>
      <c r="I1066" s="204"/>
    </row>
    <row r="1067" spans="1:9" ht="63" x14ac:dyDescent="0.25">
      <c r="A1067" s="464" t="s">
        <v>578</v>
      </c>
      <c r="B1067" s="461">
        <v>910</v>
      </c>
      <c r="C1067" s="465" t="s">
        <v>118</v>
      </c>
      <c r="D1067" s="465" t="s">
        <v>215</v>
      </c>
      <c r="E1067" s="465"/>
      <c r="F1067" s="465"/>
      <c r="G1067" s="463">
        <f>G1068</f>
        <v>5488</v>
      </c>
      <c r="H1067" s="463">
        <f>H1068</f>
        <v>5488</v>
      </c>
      <c r="I1067" s="204"/>
    </row>
    <row r="1068" spans="1:9" ht="31.5" x14ac:dyDescent="0.25">
      <c r="A1068" s="464" t="s">
        <v>917</v>
      </c>
      <c r="B1068" s="461">
        <v>910</v>
      </c>
      <c r="C1068" s="465" t="s">
        <v>118</v>
      </c>
      <c r="D1068" s="465" t="s">
        <v>215</v>
      </c>
      <c r="E1068" s="465" t="s">
        <v>858</v>
      </c>
      <c r="F1068" s="465"/>
      <c r="G1068" s="463">
        <f>G1069</f>
        <v>5488</v>
      </c>
      <c r="H1068" s="463">
        <f>H1069</f>
        <v>5488</v>
      </c>
      <c r="I1068" s="204"/>
    </row>
    <row r="1069" spans="1:9" ht="31.5" x14ac:dyDescent="0.25">
      <c r="A1069" s="464" t="s">
        <v>986</v>
      </c>
      <c r="B1069" s="461">
        <v>910</v>
      </c>
      <c r="C1069" s="465" t="s">
        <v>118</v>
      </c>
      <c r="D1069" s="465" t="s">
        <v>215</v>
      </c>
      <c r="E1069" s="465" t="s">
        <v>987</v>
      </c>
      <c r="F1069" s="465"/>
      <c r="G1069" s="463">
        <f>G1075+G1080+G1070</f>
        <v>5488</v>
      </c>
      <c r="H1069" s="463">
        <f>H1075+H1080+H1070</f>
        <v>5488</v>
      </c>
      <c r="I1069" s="204"/>
    </row>
    <row r="1070" spans="1:9" ht="47.25" x14ac:dyDescent="0.25">
      <c r="A1070" s="285" t="s">
        <v>1374</v>
      </c>
      <c r="B1070" s="460">
        <v>910</v>
      </c>
      <c r="C1070" s="462" t="s">
        <v>118</v>
      </c>
      <c r="D1070" s="462" t="s">
        <v>215</v>
      </c>
      <c r="E1070" s="462" t="s">
        <v>1412</v>
      </c>
      <c r="F1070" s="465"/>
      <c r="G1070" s="467">
        <f>G1071+G1073</f>
        <v>4247.6000000000004</v>
      </c>
      <c r="H1070" s="467">
        <f>H1071+H1073</f>
        <v>4247.6000000000004</v>
      </c>
      <c r="I1070" s="204"/>
    </row>
    <row r="1071" spans="1:9" ht="78.75" x14ac:dyDescent="0.25">
      <c r="A1071" s="466" t="s">
        <v>127</v>
      </c>
      <c r="B1071" s="460">
        <v>910</v>
      </c>
      <c r="C1071" s="462" t="s">
        <v>118</v>
      </c>
      <c r="D1071" s="462" t="s">
        <v>215</v>
      </c>
      <c r="E1071" s="462" t="s">
        <v>1412</v>
      </c>
      <c r="F1071" s="462" t="s">
        <v>128</v>
      </c>
      <c r="G1071" s="467">
        <f>G1072</f>
        <v>4154.6000000000004</v>
      </c>
      <c r="H1071" s="467">
        <f>H1072</f>
        <v>4154.6000000000004</v>
      </c>
      <c r="I1071" s="204"/>
    </row>
    <row r="1072" spans="1:9" ht="31.5" x14ac:dyDescent="0.25">
      <c r="A1072" s="466" t="s">
        <v>129</v>
      </c>
      <c r="B1072" s="460">
        <v>910</v>
      </c>
      <c r="C1072" s="462" t="s">
        <v>118</v>
      </c>
      <c r="D1072" s="462" t="s">
        <v>215</v>
      </c>
      <c r="E1072" s="462" t="s">
        <v>1412</v>
      </c>
      <c r="F1072" s="462" t="s">
        <v>130</v>
      </c>
      <c r="G1072" s="467">
        <v>4154.6000000000004</v>
      </c>
      <c r="H1072" s="467">
        <f>G1072</f>
        <v>4154.6000000000004</v>
      </c>
      <c r="I1072" s="204"/>
    </row>
    <row r="1073" spans="1:9" ht="31.5" x14ac:dyDescent="0.25">
      <c r="A1073" s="466" t="s">
        <v>198</v>
      </c>
      <c r="B1073" s="460">
        <v>910</v>
      </c>
      <c r="C1073" s="462" t="s">
        <v>118</v>
      </c>
      <c r="D1073" s="462" t="s">
        <v>215</v>
      </c>
      <c r="E1073" s="462" t="s">
        <v>1412</v>
      </c>
      <c r="F1073" s="462" t="s">
        <v>132</v>
      </c>
      <c r="G1073" s="467">
        <f>G1074</f>
        <v>93</v>
      </c>
      <c r="H1073" s="467">
        <f>H1074</f>
        <v>93</v>
      </c>
      <c r="I1073" s="204"/>
    </row>
    <row r="1074" spans="1:9" ht="31.5" x14ac:dyDescent="0.25">
      <c r="A1074" s="466" t="s">
        <v>133</v>
      </c>
      <c r="B1074" s="460">
        <v>910</v>
      </c>
      <c r="C1074" s="462" t="s">
        <v>118</v>
      </c>
      <c r="D1074" s="462" t="s">
        <v>215</v>
      </c>
      <c r="E1074" s="462" t="s">
        <v>1412</v>
      </c>
      <c r="F1074" s="462" t="s">
        <v>134</v>
      </c>
      <c r="G1074" s="467">
        <v>93</v>
      </c>
      <c r="H1074" s="467">
        <f>G1074</f>
        <v>93</v>
      </c>
      <c r="I1074" s="204"/>
    </row>
    <row r="1075" spans="1:9" ht="31.5" x14ac:dyDescent="0.25">
      <c r="A1075" s="466" t="s">
        <v>990</v>
      </c>
      <c r="B1075" s="460">
        <v>910</v>
      </c>
      <c r="C1075" s="462" t="s">
        <v>118</v>
      </c>
      <c r="D1075" s="462" t="s">
        <v>215</v>
      </c>
      <c r="E1075" s="462" t="s">
        <v>991</v>
      </c>
      <c r="F1075" s="462"/>
      <c r="G1075" s="467">
        <f>G1076+G1078</f>
        <v>1240.4000000000001</v>
      </c>
      <c r="H1075" s="467">
        <f>H1076+H1078</f>
        <v>1240.4000000000001</v>
      </c>
      <c r="I1075" s="204"/>
    </row>
    <row r="1076" spans="1:9" ht="78.75" x14ac:dyDescent="0.25">
      <c r="A1076" s="466" t="s">
        <v>127</v>
      </c>
      <c r="B1076" s="460">
        <v>910</v>
      </c>
      <c r="C1076" s="462" t="s">
        <v>118</v>
      </c>
      <c r="D1076" s="462" t="s">
        <v>215</v>
      </c>
      <c r="E1076" s="462" t="s">
        <v>991</v>
      </c>
      <c r="F1076" s="462" t="s">
        <v>128</v>
      </c>
      <c r="G1076" s="467">
        <f>G1077</f>
        <v>1240.4000000000001</v>
      </c>
      <c r="H1076" s="467">
        <f>H1077</f>
        <v>1240.4000000000001</v>
      </c>
      <c r="I1076" s="204"/>
    </row>
    <row r="1077" spans="1:9" ht="31.5" x14ac:dyDescent="0.25">
      <c r="A1077" s="466" t="s">
        <v>129</v>
      </c>
      <c r="B1077" s="460">
        <v>910</v>
      </c>
      <c r="C1077" s="462" t="s">
        <v>118</v>
      </c>
      <c r="D1077" s="462" t="s">
        <v>215</v>
      </c>
      <c r="E1077" s="462" t="s">
        <v>991</v>
      </c>
      <c r="F1077" s="462" t="s">
        <v>130</v>
      </c>
      <c r="G1077" s="467">
        <v>1240.4000000000001</v>
      </c>
      <c r="H1077" s="467">
        <f t="shared" si="92"/>
        <v>1240.4000000000001</v>
      </c>
      <c r="I1077" s="204"/>
    </row>
    <row r="1078" spans="1:9" ht="31.5" hidden="1" x14ac:dyDescent="0.25">
      <c r="A1078" s="466" t="s">
        <v>198</v>
      </c>
      <c r="B1078" s="460">
        <v>910</v>
      </c>
      <c r="C1078" s="462" t="s">
        <v>118</v>
      </c>
      <c r="D1078" s="462" t="s">
        <v>215</v>
      </c>
      <c r="E1078" s="462" t="s">
        <v>991</v>
      </c>
      <c r="F1078" s="462" t="s">
        <v>132</v>
      </c>
      <c r="G1078" s="467">
        <f>G1079</f>
        <v>0</v>
      </c>
      <c r="H1078" s="467">
        <f>H1079</f>
        <v>0</v>
      </c>
      <c r="I1078" s="204"/>
    </row>
    <row r="1079" spans="1:9" ht="31.5" hidden="1" x14ac:dyDescent="0.25">
      <c r="A1079" s="466" t="s">
        <v>133</v>
      </c>
      <c r="B1079" s="460">
        <v>910</v>
      </c>
      <c r="C1079" s="462" t="s">
        <v>118</v>
      </c>
      <c r="D1079" s="462" t="s">
        <v>215</v>
      </c>
      <c r="E1079" s="462" t="s">
        <v>991</v>
      </c>
      <c r="F1079" s="462" t="s">
        <v>134</v>
      </c>
      <c r="G1079" s="467">
        <v>0</v>
      </c>
      <c r="H1079" s="467">
        <f t="shared" si="92"/>
        <v>0</v>
      </c>
      <c r="I1079" s="204"/>
    </row>
    <row r="1080" spans="1:9" ht="47.25" hidden="1" x14ac:dyDescent="0.25">
      <c r="A1080" s="466" t="s">
        <v>839</v>
      </c>
      <c r="B1080" s="460">
        <v>910</v>
      </c>
      <c r="C1080" s="462" t="s">
        <v>118</v>
      </c>
      <c r="D1080" s="462" t="s">
        <v>215</v>
      </c>
      <c r="E1080" s="462" t="s">
        <v>989</v>
      </c>
      <c r="F1080" s="462"/>
      <c r="G1080" s="467">
        <f>'[1]Пр.5 ведом.21'!G1051</f>
        <v>0</v>
      </c>
      <c r="H1080" s="467">
        <f t="shared" si="92"/>
        <v>0</v>
      </c>
      <c r="I1080" s="204"/>
    </row>
    <row r="1081" spans="1:9" ht="78.75" hidden="1" x14ac:dyDescent="0.25">
      <c r="A1081" s="466" t="s">
        <v>127</v>
      </c>
      <c r="B1081" s="460">
        <v>910</v>
      </c>
      <c r="C1081" s="462" t="s">
        <v>118</v>
      </c>
      <c r="D1081" s="462" t="s">
        <v>215</v>
      </c>
      <c r="E1081" s="462" t="s">
        <v>989</v>
      </c>
      <c r="F1081" s="462" t="s">
        <v>128</v>
      </c>
      <c r="G1081" s="467">
        <f>'[1]Пр.5 ведом.21'!G1052</f>
        <v>0</v>
      </c>
      <c r="H1081" s="467">
        <f t="shared" si="92"/>
        <v>0</v>
      </c>
      <c r="I1081" s="204"/>
    </row>
    <row r="1082" spans="1:9" ht="31.5" hidden="1" x14ac:dyDescent="0.25">
      <c r="A1082" s="466" t="s">
        <v>129</v>
      </c>
      <c r="B1082" s="460">
        <v>910</v>
      </c>
      <c r="C1082" s="462" t="s">
        <v>118</v>
      </c>
      <c r="D1082" s="462" t="s">
        <v>215</v>
      </c>
      <c r="E1082" s="462" t="s">
        <v>989</v>
      </c>
      <c r="F1082" s="462" t="s">
        <v>130</v>
      </c>
      <c r="G1082" s="467">
        <f>'[1]Пр.5 ведом.21'!G1053</f>
        <v>0</v>
      </c>
      <c r="H1082" s="467">
        <f t="shared" si="92"/>
        <v>0</v>
      </c>
      <c r="I1082" s="204"/>
    </row>
    <row r="1083" spans="1:9" ht="47.25" x14ac:dyDescent="0.25">
      <c r="A1083" s="464" t="s">
        <v>119</v>
      </c>
      <c r="B1083" s="461">
        <v>910</v>
      </c>
      <c r="C1083" s="465" t="s">
        <v>118</v>
      </c>
      <c r="D1083" s="465" t="s">
        <v>120</v>
      </c>
      <c r="E1083" s="465"/>
      <c r="F1083" s="465"/>
      <c r="G1083" s="463">
        <f>G1084</f>
        <v>1798.5</v>
      </c>
      <c r="H1083" s="463">
        <f>H1084</f>
        <v>1798.5</v>
      </c>
      <c r="I1083" s="204"/>
    </row>
    <row r="1084" spans="1:9" ht="31.5" x14ac:dyDescent="0.25">
      <c r="A1084" s="464" t="s">
        <v>917</v>
      </c>
      <c r="B1084" s="461">
        <v>910</v>
      </c>
      <c r="C1084" s="465" t="s">
        <v>118</v>
      </c>
      <c r="D1084" s="465" t="s">
        <v>120</v>
      </c>
      <c r="E1084" s="465" t="s">
        <v>858</v>
      </c>
      <c r="F1084" s="465"/>
      <c r="G1084" s="463">
        <f>G1085</f>
        <v>1798.5</v>
      </c>
      <c r="H1084" s="463">
        <f>H1085</f>
        <v>1798.5</v>
      </c>
      <c r="I1084" s="204"/>
    </row>
    <row r="1085" spans="1:9" ht="31.5" x14ac:dyDescent="0.25">
      <c r="A1085" s="464" t="s">
        <v>986</v>
      </c>
      <c r="B1085" s="461">
        <v>910</v>
      </c>
      <c r="C1085" s="465" t="s">
        <v>118</v>
      </c>
      <c r="D1085" s="465" t="s">
        <v>120</v>
      </c>
      <c r="E1085" s="465" t="s">
        <v>987</v>
      </c>
      <c r="F1085" s="465"/>
      <c r="G1085" s="463">
        <f>G1086+G1091</f>
        <v>1798.5</v>
      </c>
      <c r="H1085" s="463">
        <f>H1086+H1091</f>
        <v>1798.5</v>
      </c>
      <c r="I1085" s="204"/>
    </row>
    <row r="1086" spans="1:9" ht="31.5" x14ac:dyDescent="0.25">
      <c r="A1086" s="466" t="s">
        <v>897</v>
      </c>
      <c r="B1086" s="460">
        <v>910</v>
      </c>
      <c r="C1086" s="462" t="s">
        <v>118</v>
      </c>
      <c r="D1086" s="462" t="s">
        <v>120</v>
      </c>
      <c r="E1086" s="462" t="s">
        <v>991</v>
      </c>
      <c r="F1086" s="462"/>
      <c r="G1086" s="467">
        <f>G1087+G1089</f>
        <v>1752.5</v>
      </c>
      <c r="H1086" s="467">
        <f>H1087+H1089</f>
        <v>1752.5</v>
      </c>
      <c r="I1086" s="204"/>
    </row>
    <row r="1087" spans="1:9" ht="78.75" x14ac:dyDescent="0.25">
      <c r="A1087" s="466" t="s">
        <v>127</v>
      </c>
      <c r="B1087" s="460">
        <v>910</v>
      </c>
      <c r="C1087" s="462" t="s">
        <v>118</v>
      </c>
      <c r="D1087" s="462" t="s">
        <v>120</v>
      </c>
      <c r="E1087" s="462" t="s">
        <v>991</v>
      </c>
      <c r="F1087" s="462" t="s">
        <v>128</v>
      </c>
      <c r="G1087" s="467">
        <f>G1088</f>
        <v>1734.5</v>
      </c>
      <c r="H1087" s="467">
        <f>H1088</f>
        <v>1734.5</v>
      </c>
      <c r="I1087" s="204"/>
    </row>
    <row r="1088" spans="1:9" ht="31.5" x14ac:dyDescent="0.25">
      <c r="A1088" s="466" t="s">
        <v>129</v>
      </c>
      <c r="B1088" s="460">
        <v>910</v>
      </c>
      <c r="C1088" s="462" t="s">
        <v>118</v>
      </c>
      <c r="D1088" s="462" t="s">
        <v>120</v>
      </c>
      <c r="E1088" s="462" t="s">
        <v>991</v>
      </c>
      <c r="F1088" s="462" t="s">
        <v>130</v>
      </c>
      <c r="G1088" s="467">
        <v>1734.5</v>
      </c>
      <c r="H1088" s="467">
        <f t="shared" si="92"/>
        <v>1734.5</v>
      </c>
      <c r="I1088" s="204"/>
    </row>
    <row r="1089" spans="1:41" ht="31.5" x14ac:dyDescent="0.25">
      <c r="A1089" s="466" t="s">
        <v>198</v>
      </c>
      <c r="B1089" s="460">
        <v>910</v>
      </c>
      <c r="C1089" s="462" t="s">
        <v>118</v>
      </c>
      <c r="D1089" s="462" t="s">
        <v>120</v>
      </c>
      <c r="E1089" s="462" t="s">
        <v>991</v>
      </c>
      <c r="F1089" s="462" t="s">
        <v>132</v>
      </c>
      <c r="G1089" s="467">
        <f>G1090</f>
        <v>18</v>
      </c>
      <c r="H1089" s="467">
        <f>H1090</f>
        <v>18</v>
      </c>
      <c r="I1089" s="204"/>
    </row>
    <row r="1090" spans="1:41" ht="34.700000000000003" customHeight="1" x14ac:dyDescent="0.25">
      <c r="A1090" s="466" t="s">
        <v>133</v>
      </c>
      <c r="B1090" s="460">
        <v>910</v>
      </c>
      <c r="C1090" s="462" t="s">
        <v>118</v>
      </c>
      <c r="D1090" s="462" t="s">
        <v>120</v>
      </c>
      <c r="E1090" s="462" t="s">
        <v>991</v>
      </c>
      <c r="F1090" s="462" t="s">
        <v>134</v>
      </c>
      <c r="G1090" s="467">
        <f>18</f>
        <v>18</v>
      </c>
      <c r="H1090" s="467">
        <f t="shared" si="92"/>
        <v>18</v>
      </c>
      <c r="I1090" s="204"/>
    </row>
    <row r="1091" spans="1:41" ht="47.25" x14ac:dyDescent="0.25">
      <c r="A1091" s="466" t="s">
        <v>839</v>
      </c>
      <c r="B1091" s="460">
        <v>910</v>
      </c>
      <c r="C1091" s="462" t="s">
        <v>118</v>
      </c>
      <c r="D1091" s="462" t="s">
        <v>120</v>
      </c>
      <c r="E1091" s="462" t="s">
        <v>989</v>
      </c>
      <c r="F1091" s="462"/>
      <c r="G1091" s="467">
        <f>G1092</f>
        <v>46</v>
      </c>
      <c r="H1091" s="467">
        <f>H1092</f>
        <v>46</v>
      </c>
      <c r="I1091" s="204"/>
    </row>
    <row r="1092" spans="1:41" ht="78.75" x14ac:dyDescent="0.25">
      <c r="A1092" s="466" t="s">
        <v>127</v>
      </c>
      <c r="B1092" s="460">
        <v>910</v>
      </c>
      <c r="C1092" s="462" t="s">
        <v>118</v>
      </c>
      <c r="D1092" s="462" t="s">
        <v>120</v>
      </c>
      <c r="E1092" s="462" t="s">
        <v>989</v>
      </c>
      <c r="F1092" s="462" t="s">
        <v>128</v>
      </c>
      <c r="G1092" s="467">
        <f>G1093</f>
        <v>46</v>
      </c>
      <c r="H1092" s="467">
        <f>H1093</f>
        <v>46</v>
      </c>
      <c r="I1092" s="204"/>
    </row>
    <row r="1093" spans="1:41" ht="31.5" x14ac:dyDescent="0.25">
      <c r="A1093" s="466" t="s">
        <v>129</v>
      </c>
      <c r="B1093" s="460">
        <v>910</v>
      </c>
      <c r="C1093" s="462" t="s">
        <v>118</v>
      </c>
      <c r="D1093" s="462" t="s">
        <v>120</v>
      </c>
      <c r="E1093" s="462" t="s">
        <v>989</v>
      </c>
      <c r="F1093" s="462" t="s">
        <v>130</v>
      </c>
      <c r="G1093" s="467">
        <v>46</v>
      </c>
      <c r="H1093" s="467">
        <f t="shared" si="92"/>
        <v>46</v>
      </c>
      <c r="I1093" s="204"/>
    </row>
    <row r="1094" spans="1:41" ht="15.75" x14ac:dyDescent="0.25">
      <c r="A1094" s="48" t="s">
        <v>587</v>
      </c>
      <c r="B1094" s="48"/>
      <c r="C1094" s="465"/>
      <c r="D1094" s="465"/>
      <c r="E1094" s="465"/>
      <c r="F1094" s="465"/>
      <c r="G1094" s="385">
        <f>G1046+G831+G756+G537+G488+G242+G31+G10+G9</f>
        <v>736280.59999999986</v>
      </c>
      <c r="H1094" s="385">
        <f>H1046+H831+H756+H537+H488+H242+H31+H10+H9</f>
        <v>777267.39999999991</v>
      </c>
      <c r="I1094" s="204"/>
      <c r="N1094" s="630" t="s">
        <v>1562</v>
      </c>
      <c r="O1094" s="630"/>
      <c r="P1094" s="630"/>
      <c r="Q1094" s="630"/>
      <c r="R1094" s="630"/>
      <c r="S1094" s="630"/>
      <c r="T1094" s="630"/>
      <c r="U1094" s="630"/>
      <c r="V1094" s="630"/>
      <c r="W1094" s="630"/>
      <c r="X1094" s="630" t="s">
        <v>1563</v>
      </c>
      <c r="Y1094" s="630"/>
      <c r="Z1094" s="630"/>
      <c r="AA1094" s="630"/>
      <c r="AB1094" s="630"/>
      <c r="AC1094" s="630"/>
      <c r="AD1094" s="630"/>
      <c r="AE1094" s="630"/>
      <c r="AF1094" s="630"/>
      <c r="AG1094" s="630"/>
      <c r="AH1094" s="413"/>
      <c r="AI1094" s="413"/>
      <c r="AJ1094" s="413"/>
    </row>
    <row r="1095" spans="1:41" ht="48" x14ac:dyDescent="0.25">
      <c r="A1095" s="50"/>
      <c r="B1095" s="50"/>
      <c r="C1095" s="50"/>
      <c r="D1095" s="50"/>
      <c r="E1095" s="352">
        <f>G1096-G1095</f>
        <v>-5.3905410459265113E-4</v>
      </c>
      <c r="F1095" s="50"/>
      <c r="G1095" s="390">
        <f>'Пр.1.1. дох.22-23 (2)'!C157</f>
        <v>499147.7</v>
      </c>
      <c r="H1095" s="390">
        <f>'Пр.1.1. дох.22-23 (2)'!D157</f>
        <v>509037.5</v>
      </c>
      <c r="L1095" s="229">
        <f>H1096-H1095</f>
        <v>-1.0891090496443212E-3</v>
      </c>
      <c r="M1095" s="204"/>
      <c r="N1095" s="319" t="s">
        <v>1285</v>
      </c>
      <c r="O1095" s="319" t="s">
        <v>1286</v>
      </c>
      <c r="P1095" s="319" t="s">
        <v>1287</v>
      </c>
      <c r="Q1095" s="319" t="s">
        <v>1288</v>
      </c>
      <c r="R1095" s="319" t="s">
        <v>1341</v>
      </c>
      <c r="S1095" s="319" t="s">
        <v>1421</v>
      </c>
      <c r="T1095" s="319" t="s">
        <v>1490</v>
      </c>
      <c r="U1095" s="319" t="s">
        <v>1491</v>
      </c>
      <c r="V1095" s="319" t="s">
        <v>1492</v>
      </c>
      <c r="W1095" s="319" t="s">
        <v>1496</v>
      </c>
      <c r="X1095" s="411" t="s">
        <v>1285</v>
      </c>
      <c r="Y1095" s="411" t="s">
        <v>1286</v>
      </c>
      <c r="Z1095" s="411" t="s">
        <v>1287</v>
      </c>
      <c r="AA1095" s="411" t="s">
        <v>1288</v>
      </c>
      <c r="AB1095" s="411" t="s">
        <v>1341</v>
      </c>
      <c r="AC1095" s="411" t="s">
        <v>1421</v>
      </c>
      <c r="AD1095" s="411" t="s">
        <v>1490</v>
      </c>
      <c r="AE1095" s="411" t="s">
        <v>1491</v>
      </c>
      <c r="AF1095" s="411" t="s">
        <v>1492</v>
      </c>
      <c r="AG1095" s="411" t="s">
        <v>1496</v>
      </c>
    </row>
    <row r="1096" spans="1:41" ht="18.75" x14ac:dyDescent="0.3">
      <c r="A1096" s="50"/>
      <c r="B1096" s="50"/>
      <c r="C1096" s="51"/>
      <c r="D1096" s="51"/>
      <c r="E1096" s="51"/>
      <c r="F1096" s="101" t="s">
        <v>588</v>
      </c>
      <c r="G1096" s="386">
        <f>G1094-G1097</f>
        <v>499147.69946094591</v>
      </c>
      <c r="H1096" s="386">
        <f>H1094-H1097</f>
        <v>509037.49891089095</v>
      </c>
      <c r="L1096" s="204"/>
      <c r="M1096" s="316" t="s">
        <v>588</v>
      </c>
      <c r="N1096" s="318">
        <v>500</v>
      </c>
      <c r="O1096" s="318">
        <v>0</v>
      </c>
      <c r="P1096" s="318">
        <f>300</f>
        <v>300</v>
      </c>
      <c r="Q1096" s="343">
        <f>Q1097*100/90.9-Q1097</f>
        <v>26.809460946094589</v>
      </c>
      <c r="R1096" s="318">
        <v>0</v>
      </c>
      <c r="S1096" s="318">
        <v>222.05</v>
      </c>
      <c r="T1096" s="318"/>
      <c r="U1096" s="414"/>
      <c r="V1096" s="414">
        <v>0</v>
      </c>
      <c r="W1096" s="343">
        <v>71.75</v>
      </c>
      <c r="X1096" s="412">
        <v>500</v>
      </c>
      <c r="Y1096" s="412">
        <v>0</v>
      </c>
      <c r="Z1096" s="412">
        <v>1500</v>
      </c>
      <c r="AA1096" s="415">
        <f>AA1097*100/90.9-AA1097</f>
        <v>26.308910891089056</v>
      </c>
      <c r="AB1096" s="412">
        <v>0</v>
      </c>
      <c r="AC1096" s="415">
        <v>210.85</v>
      </c>
      <c r="AD1096" s="412"/>
      <c r="AE1096" s="416"/>
      <c r="AF1096" s="416"/>
      <c r="AG1096" s="415">
        <v>96</v>
      </c>
    </row>
    <row r="1097" spans="1:41" ht="18.75" x14ac:dyDescent="0.3">
      <c r="A1097" s="50"/>
      <c r="B1097" s="50"/>
      <c r="C1097" s="51"/>
      <c r="D1097" s="51"/>
      <c r="E1097" s="51"/>
      <c r="F1097" s="101" t="s">
        <v>589</v>
      </c>
      <c r="G1097" s="386">
        <f>G70+G198+G207+G236+G317+G378+G449+G517+G555+G615+G697+G726+G789+G991+G998+G902+G110+G1064+G596+G503+G231+G393+G534+G103+G672-N1096-O1096-P1096-Q1096-R1096+G676+G400-S1096+G51+G668+G677-W1096+G723+G663+G659+G655+G589+G390+G282+G248+G228+G215+G195+G107+G46-T1096-U1096-V1096-N1103-O1103-P1103-Q1103-R1103-S1103-T1103-U1103-V1103-W1103-X1103-Y1103-Z1103-AA1103</f>
        <v>237132.90053905392</v>
      </c>
      <c r="H1097" s="386">
        <f>H70+H198+H207+H236+H317+H378+H449+H517+H555+H615+H697+H726+H789+H991+H998+H902+H110+H1064+H596+H503+H231+H393+H534+H103+H672+H676+H400+H51+H668+H677+H723+H663+H659+H655+H589+H390+H282+H248+H228+H215+H195+H107+H46-X1096-Y1096-Z1096-AA1096-AB1096-AC1096-AD1096-AE1096-AF1096-AG1096-AB1103-AC1103-AD1103-AE1103-AF1103-AG1103-AH1103-AI1103-AJ1103-AK1103-AL1103-AM1103-AN1103-AO1103</f>
        <v>268229.90108910896</v>
      </c>
      <c r="I1097" s="209">
        <v>267446.40000000002</v>
      </c>
      <c r="J1097" s="457">
        <v>260319.2</v>
      </c>
      <c r="L1097" s="204"/>
      <c r="M1097" s="317" t="s">
        <v>1495</v>
      </c>
      <c r="N1097" s="318">
        <v>0</v>
      </c>
      <c r="O1097" s="318">
        <v>0</v>
      </c>
      <c r="P1097" s="318">
        <v>0</v>
      </c>
      <c r="Q1097" s="318">
        <f>238.3+29.5</f>
        <v>267.8</v>
      </c>
      <c r="R1097" s="318">
        <v>0</v>
      </c>
      <c r="S1097" s="318">
        <f>4622.3+571.3</f>
        <v>5193.6000000000004</v>
      </c>
      <c r="T1097" s="414"/>
      <c r="U1097" s="414"/>
      <c r="V1097" s="414">
        <v>0</v>
      </c>
      <c r="W1097" s="318">
        <f>1644.1+33.6</f>
        <v>1677.6999999999998</v>
      </c>
      <c r="X1097" s="412">
        <v>0</v>
      </c>
      <c r="Y1097" s="412">
        <v>0</v>
      </c>
      <c r="Z1097" s="412">
        <v>0</v>
      </c>
      <c r="AA1097" s="412">
        <f>233.9+28.9</f>
        <v>262.8</v>
      </c>
      <c r="AB1097" s="412">
        <v>0</v>
      </c>
      <c r="AC1097" s="412">
        <f>4389.1+542.5</f>
        <v>4931.6000000000004</v>
      </c>
      <c r="AD1097" s="416">
        <f>[1]пр.1дох.21!M64</f>
        <v>0</v>
      </c>
      <c r="AE1097" s="416"/>
      <c r="AF1097" s="416"/>
      <c r="AG1097" s="412">
        <f>2200+45</f>
        <v>2245</v>
      </c>
    </row>
    <row r="1098" spans="1:41" ht="15.75" x14ac:dyDescent="0.25">
      <c r="A1098" s="50"/>
      <c r="B1098" s="50"/>
      <c r="C1098" s="51"/>
      <c r="D1098" s="53"/>
      <c r="E1098" s="53"/>
      <c r="F1098" s="53"/>
      <c r="G1098" s="391">
        <f>'Пр.1.1. дох.22-23 (2)'!C156</f>
        <v>237132.89999999997</v>
      </c>
      <c r="H1098" s="391">
        <f>'Пр.1.1. дох.22-23 (2)'!D156</f>
        <v>268229.89999999991</v>
      </c>
      <c r="I1098" s="231">
        <f>I1097-G1097</f>
        <v>30313.499460946099</v>
      </c>
      <c r="J1098" s="231">
        <f>J1097-H1097</f>
        <v>-7910.7010891089449</v>
      </c>
      <c r="L1098" s="229"/>
      <c r="M1098" s="229"/>
      <c r="N1098" s="417" t="s">
        <v>1290</v>
      </c>
      <c r="O1098" s="417" t="s">
        <v>1291</v>
      </c>
      <c r="P1098" s="417" t="s">
        <v>1292</v>
      </c>
      <c r="Q1098" s="417" t="s">
        <v>1293</v>
      </c>
      <c r="R1098" s="417" t="s">
        <v>1292</v>
      </c>
      <c r="S1098" s="417" t="s">
        <v>1420</v>
      </c>
      <c r="T1098" s="417" t="s">
        <v>1420</v>
      </c>
      <c r="U1098" s="342" t="s">
        <v>1420</v>
      </c>
      <c r="V1098" s="417" t="s">
        <v>1493</v>
      </c>
      <c r="W1098" s="417" t="s">
        <v>1420</v>
      </c>
      <c r="X1098" s="417" t="s">
        <v>1290</v>
      </c>
      <c r="Y1098" s="417" t="s">
        <v>1291</v>
      </c>
      <c r="Z1098" s="417" t="s">
        <v>1292</v>
      </c>
      <c r="AA1098" s="417" t="s">
        <v>1293</v>
      </c>
      <c r="AB1098" s="417" t="s">
        <v>1292</v>
      </c>
      <c r="AC1098" s="417" t="s">
        <v>1420</v>
      </c>
      <c r="AD1098" s="417" t="s">
        <v>1420</v>
      </c>
      <c r="AE1098" s="342" t="s">
        <v>1420</v>
      </c>
      <c r="AF1098" s="417" t="s">
        <v>1493</v>
      </c>
      <c r="AG1098" s="417" t="s">
        <v>1420</v>
      </c>
    </row>
    <row r="1099" spans="1:41" ht="15.75" x14ac:dyDescent="0.25">
      <c r="A1099" s="50"/>
      <c r="B1099" s="50"/>
      <c r="C1099" s="51"/>
      <c r="D1099" s="53"/>
      <c r="E1099" s="53"/>
      <c r="F1099" s="53"/>
      <c r="G1099" s="391">
        <f>G1097-G1098</f>
        <v>5.3905395907349885E-4</v>
      </c>
      <c r="H1099" s="391">
        <f>H1097-H1098</f>
        <v>1.0891090496443212E-3</v>
      </c>
    </row>
    <row r="1100" spans="1:41" ht="15.75" x14ac:dyDescent="0.25">
      <c r="A1100" s="50"/>
      <c r="B1100" s="50"/>
      <c r="C1100" s="51"/>
      <c r="D1100" s="53"/>
      <c r="E1100" s="53"/>
      <c r="F1100" s="389" t="s">
        <v>674</v>
      </c>
      <c r="G1100" s="391">
        <f>'Пр.1.1. дох.22-23 (2)'!C155-'пр.4.1. рдпр 22-23 (2)'!D51</f>
        <v>-2.5000000605359674E-3</v>
      </c>
      <c r="H1100" s="391">
        <f>'Пр.1.1. дох.22-23 (2)'!D155-'пр.4.1. рдпр 22-23 (2)'!E51</f>
        <v>0</v>
      </c>
    </row>
    <row r="1101" spans="1:41" ht="15.75" x14ac:dyDescent="0.25">
      <c r="A1101" s="50"/>
      <c r="B1101" s="50"/>
      <c r="C1101" s="51"/>
      <c r="D1101" s="53"/>
      <c r="E1101" s="53"/>
      <c r="F1101" s="53"/>
      <c r="G1101" s="102"/>
      <c r="H1101" s="102"/>
      <c r="M1101" s="204"/>
      <c r="N1101" s="623" t="s">
        <v>1564</v>
      </c>
      <c r="O1101" s="624"/>
      <c r="P1101" s="624"/>
      <c r="Q1101" s="624"/>
      <c r="R1101" s="624"/>
      <c r="S1101" s="624"/>
      <c r="T1101" s="624"/>
      <c r="U1101" s="624"/>
      <c r="V1101" s="624"/>
      <c r="W1101" s="624"/>
      <c r="X1101" s="624"/>
      <c r="Y1101" s="624"/>
      <c r="Z1101" s="624"/>
      <c r="AA1101" s="625"/>
      <c r="AB1101" s="631" t="s">
        <v>1565</v>
      </c>
      <c r="AC1101" s="631"/>
      <c r="AD1101" s="631"/>
      <c r="AE1101" s="631"/>
      <c r="AF1101" s="631"/>
      <c r="AG1101" s="631"/>
      <c r="AH1101" s="631"/>
      <c r="AI1101" s="631"/>
      <c r="AJ1101" s="631"/>
      <c r="AK1101" s="631"/>
      <c r="AL1101" s="631"/>
      <c r="AM1101" s="631"/>
      <c r="AN1101" s="631"/>
      <c r="AO1101" s="631"/>
    </row>
    <row r="1102" spans="1:41" ht="72" x14ac:dyDescent="0.25">
      <c r="A1102" s="50"/>
      <c r="B1102" s="50"/>
      <c r="E1102" s="54">
        <v>1</v>
      </c>
      <c r="F1102" s="53"/>
      <c r="G1102" s="102">
        <f>G10+G32+G243+G489+G538+G832+G1047+G757</f>
        <v>136787.41</v>
      </c>
      <c r="H1102" s="102">
        <f>H10+H32+H243+H489+H538+H832+H1047+H757</f>
        <v>123941.72</v>
      </c>
      <c r="M1102" s="204"/>
      <c r="N1102" s="449" t="s">
        <v>1498</v>
      </c>
      <c r="O1102" s="449" t="s">
        <v>1499</v>
      </c>
      <c r="P1102" s="449" t="s">
        <v>1501</v>
      </c>
      <c r="Q1102" s="449" t="s">
        <v>1502</v>
      </c>
      <c r="R1102" s="449" t="s">
        <v>1503</v>
      </c>
      <c r="S1102" s="449" t="s">
        <v>1504</v>
      </c>
      <c r="T1102" s="449" t="s">
        <v>1507</v>
      </c>
      <c r="U1102" s="449" t="s">
        <v>1509</v>
      </c>
      <c r="V1102" s="449" t="s">
        <v>1513</v>
      </c>
      <c r="W1102" s="449" t="s">
        <v>1514</v>
      </c>
      <c r="X1102" s="449" t="s">
        <v>1520</v>
      </c>
      <c r="Y1102" s="449" t="s">
        <v>1558</v>
      </c>
      <c r="Z1102" s="449" t="s">
        <v>1566</v>
      </c>
      <c r="AA1102" s="449" t="s">
        <v>1567</v>
      </c>
      <c r="AB1102" s="353" t="s">
        <v>1498</v>
      </c>
      <c r="AC1102" s="353" t="s">
        <v>1499</v>
      </c>
      <c r="AD1102" s="353" t="s">
        <v>1501</v>
      </c>
      <c r="AE1102" s="353" t="s">
        <v>1502</v>
      </c>
      <c r="AF1102" s="353" t="s">
        <v>1503</v>
      </c>
      <c r="AG1102" s="353" t="s">
        <v>1504</v>
      </c>
      <c r="AH1102" s="353" t="s">
        <v>1507</v>
      </c>
      <c r="AI1102" s="353" t="s">
        <v>1509</v>
      </c>
      <c r="AJ1102" s="353" t="s">
        <v>1513</v>
      </c>
      <c r="AK1102" s="353" t="s">
        <v>1514</v>
      </c>
      <c r="AL1102" s="353" t="s">
        <v>1520</v>
      </c>
      <c r="AM1102" s="353" t="s">
        <v>1558</v>
      </c>
      <c r="AN1102" s="353" t="s">
        <v>1566</v>
      </c>
      <c r="AO1102" s="353" t="s">
        <v>1567</v>
      </c>
    </row>
    <row r="1103" spans="1:41" ht="15.75" x14ac:dyDescent="0.25">
      <c r="A1103" s="50"/>
      <c r="B1103" s="50"/>
      <c r="E1103" s="54" t="s">
        <v>588</v>
      </c>
      <c r="F1103" s="53"/>
      <c r="G1103" s="102">
        <f>G1102-G1104</f>
        <v>133416.51</v>
      </c>
      <c r="H1103" s="102">
        <f>H1102-H1104</f>
        <v>120786.32</v>
      </c>
      <c r="M1103" s="314" t="s">
        <v>588</v>
      </c>
      <c r="N1103" s="348">
        <v>3.5</v>
      </c>
      <c r="O1103" s="348">
        <v>3584</v>
      </c>
      <c r="P1103" s="348">
        <v>2200</v>
      </c>
      <c r="Q1103" s="348">
        <v>0</v>
      </c>
      <c r="R1103" s="348">
        <v>868</v>
      </c>
      <c r="S1103" s="348">
        <v>124.4</v>
      </c>
      <c r="T1103" s="348">
        <v>0</v>
      </c>
      <c r="U1103" s="348">
        <v>678</v>
      </c>
      <c r="V1103" s="348">
        <v>19</v>
      </c>
      <c r="W1103" s="348">
        <v>1</v>
      </c>
      <c r="X1103" s="348">
        <v>60</v>
      </c>
      <c r="Y1103" s="348">
        <v>10</v>
      </c>
      <c r="Z1103" s="348">
        <v>150</v>
      </c>
      <c r="AA1103" s="348">
        <v>200</v>
      </c>
      <c r="AB1103" s="354">
        <v>3.5</v>
      </c>
      <c r="AC1103" s="354">
        <v>3584</v>
      </c>
      <c r="AD1103" s="354">
        <v>2200</v>
      </c>
      <c r="AE1103" s="354">
        <v>0</v>
      </c>
      <c r="AF1103" s="354">
        <v>868</v>
      </c>
      <c r="AG1103" s="354">
        <v>124.4</v>
      </c>
      <c r="AH1103" s="354">
        <v>0</v>
      </c>
      <c r="AI1103" s="354">
        <v>678</v>
      </c>
      <c r="AJ1103" s="354">
        <v>19</v>
      </c>
      <c r="AK1103" s="354">
        <v>1</v>
      </c>
      <c r="AL1103" s="354">
        <v>60</v>
      </c>
      <c r="AM1103" s="354">
        <v>10</v>
      </c>
      <c r="AN1103" s="354">
        <v>150</v>
      </c>
      <c r="AO1103" s="354">
        <v>500</v>
      </c>
    </row>
    <row r="1104" spans="1:41" ht="15.75" x14ac:dyDescent="0.25">
      <c r="A1104" s="50"/>
      <c r="B1104" s="50"/>
      <c r="E1104" s="54" t="s">
        <v>589</v>
      </c>
      <c r="F1104" s="53"/>
      <c r="G1104" s="102">
        <f>G1064+G517+G110+G70+G503-O1096+G105+G51-AA1103-W1103+G248+G107+G46</f>
        <v>3370.9</v>
      </c>
      <c r="H1104" s="102">
        <f>H1064+H517+H110+H70+H503-Y1096+H105+H51-AK1103-AO1103+H248+H107+H46</f>
        <v>3155.4</v>
      </c>
      <c r="M1104" s="315" t="s">
        <v>589</v>
      </c>
      <c r="N1104" s="348">
        <v>65.2</v>
      </c>
      <c r="O1104" s="348">
        <v>2161.1</v>
      </c>
      <c r="P1104" s="348">
        <v>1731.8</v>
      </c>
      <c r="Q1104" s="348">
        <v>0</v>
      </c>
      <c r="R1104" s="348">
        <v>516.6</v>
      </c>
      <c r="S1104" s="348">
        <v>173.3</v>
      </c>
      <c r="T1104" s="348">
        <v>1666.6</v>
      </c>
      <c r="U1104" s="348">
        <v>77.8</v>
      </c>
      <c r="V1104" s="348">
        <v>255</v>
      </c>
      <c r="W1104" s="348">
        <v>40</v>
      </c>
      <c r="X1104" s="348">
        <v>200</v>
      </c>
      <c r="Y1104" s="348">
        <v>0</v>
      </c>
      <c r="Z1104" s="348">
        <v>0</v>
      </c>
      <c r="AA1104" s="348">
        <v>0</v>
      </c>
      <c r="AB1104" s="354">
        <v>65.2</v>
      </c>
      <c r="AC1104" s="354">
        <v>2161.1</v>
      </c>
      <c r="AD1104" s="354">
        <v>1665.2</v>
      </c>
      <c r="AE1104" s="354">
        <v>0</v>
      </c>
      <c r="AF1104" s="354">
        <v>516.6</v>
      </c>
      <c r="AG1104" s="354">
        <v>173.3</v>
      </c>
      <c r="AH1104" s="354">
        <v>915</v>
      </c>
      <c r="AI1104" s="354">
        <v>81</v>
      </c>
      <c r="AJ1104" s="354">
        <v>255</v>
      </c>
      <c r="AK1104" s="354">
        <v>40</v>
      </c>
      <c r="AL1104" s="354">
        <v>200</v>
      </c>
      <c r="AM1104" s="354">
        <v>0</v>
      </c>
      <c r="AN1104" s="354">
        <v>0</v>
      </c>
      <c r="AO1104" s="354">
        <v>0</v>
      </c>
    </row>
    <row r="1105" spans="1:41" ht="15.75" x14ac:dyDescent="0.25">
      <c r="A1105" s="50"/>
      <c r="B1105" s="50"/>
      <c r="E1105" s="54">
        <v>2</v>
      </c>
      <c r="F1105" s="53"/>
      <c r="G1105" s="102">
        <f>G165</f>
        <v>0</v>
      </c>
      <c r="H1105" s="102">
        <f>H165</f>
        <v>0</v>
      </c>
      <c r="M1105" s="229"/>
      <c r="N1105" s="417" t="s">
        <v>1292</v>
      </c>
      <c r="O1105" s="417" t="s">
        <v>1500</v>
      </c>
      <c r="P1105" s="417" t="s">
        <v>1420</v>
      </c>
      <c r="Q1105" s="417" t="s">
        <v>1420</v>
      </c>
      <c r="R1105" s="417" t="s">
        <v>1420</v>
      </c>
      <c r="S1105" s="417" t="s">
        <v>1505</v>
      </c>
      <c r="T1105" s="417" t="s">
        <v>1508</v>
      </c>
      <c r="U1105" s="417" t="s">
        <v>1420</v>
      </c>
      <c r="V1105" s="417" t="s">
        <v>1515</v>
      </c>
      <c r="W1105" s="417" t="s">
        <v>1516</v>
      </c>
      <c r="X1105" s="417" t="s">
        <v>1519</v>
      </c>
      <c r="Y1105" s="417" t="s">
        <v>1293</v>
      </c>
      <c r="Z1105" s="417" t="s">
        <v>1519</v>
      </c>
      <c r="AA1105" s="417" t="s">
        <v>1291</v>
      </c>
      <c r="AB1105" s="537" t="s">
        <v>1292</v>
      </c>
      <c r="AC1105" s="417" t="s">
        <v>1500</v>
      </c>
      <c r="AD1105" s="417" t="s">
        <v>1420</v>
      </c>
      <c r="AE1105" s="537" t="s">
        <v>1420</v>
      </c>
      <c r="AF1105" s="537" t="s">
        <v>1420</v>
      </c>
      <c r="AG1105" s="417" t="s">
        <v>1505</v>
      </c>
      <c r="AH1105" s="537" t="s">
        <v>1505</v>
      </c>
      <c r="AI1105" s="537" t="s">
        <v>1420</v>
      </c>
      <c r="AJ1105" s="537" t="s">
        <v>1515</v>
      </c>
      <c r="AK1105" s="537" t="s">
        <v>1516</v>
      </c>
      <c r="AL1105" s="537" t="s">
        <v>1519</v>
      </c>
      <c r="AM1105" s="417" t="s">
        <v>1293</v>
      </c>
      <c r="AN1105" s="417" t="s">
        <v>1519</v>
      </c>
      <c r="AO1105" s="417" t="s">
        <v>1291</v>
      </c>
    </row>
    <row r="1106" spans="1:41" ht="15.75" x14ac:dyDescent="0.25">
      <c r="A1106" s="50"/>
      <c r="B1106" s="50"/>
      <c r="E1106" s="54">
        <v>3</v>
      </c>
      <c r="F1106" s="53"/>
      <c r="G1106" s="102">
        <f>G846+G172</f>
        <v>8197.1</v>
      </c>
      <c r="H1106" s="102">
        <f>H846+H172</f>
        <v>8197.1</v>
      </c>
    </row>
    <row r="1107" spans="1:41" ht="15.75" x14ac:dyDescent="0.25">
      <c r="A1107" s="50"/>
      <c r="B1107" s="50"/>
      <c r="E1107" s="54">
        <v>4</v>
      </c>
      <c r="F1107" s="53"/>
      <c r="G1107" s="102">
        <f>G191+G853+G273</f>
        <v>6525.2</v>
      </c>
      <c r="H1107" s="102">
        <f>H191+H853+H273</f>
        <v>6535.8</v>
      </c>
    </row>
    <row r="1108" spans="1:41" ht="15.75" x14ac:dyDescent="0.25">
      <c r="A1108" s="50"/>
      <c r="B1108" s="50"/>
      <c r="E1108" s="54" t="s">
        <v>588</v>
      </c>
      <c r="F1108" s="53"/>
      <c r="G1108" s="102">
        <f>G1107-G1109</f>
        <v>5806</v>
      </c>
      <c r="H1108" s="102">
        <f>H1107-H1109</f>
        <v>5806</v>
      </c>
    </row>
    <row r="1109" spans="1:41" ht="15.75" x14ac:dyDescent="0.25">
      <c r="A1109" s="50"/>
      <c r="B1109" s="50"/>
      <c r="E1109" s="54" t="s">
        <v>589</v>
      </c>
      <c r="F1109" s="53"/>
      <c r="G1109" s="102">
        <f>G207+G198-Z1103-X1103-V1103+G282+G215+G195</f>
        <v>719.2</v>
      </c>
      <c r="H1109" s="102">
        <f>H207+H198-AJ1103-AL1103-AN1103+H282+H215+H195</f>
        <v>729.8</v>
      </c>
    </row>
    <row r="1110" spans="1:41" ht="15.75" x14ac:dyDescent="0.25">
      <c r="A1110" s="50"/>
      <c r="B1110" s="50"/>
      <c r="E1110" s="54">
        <v>5</v>
      </c>
      <c r="F1110" s="53"/>
      <c r="G1110" s="102">
        <f>G874+G521</f>
        <v>41786.1</v>
      </c>
      <c r="H1110" s="102">
        <f>H874+H521</f>
        <v>49898.450000000004</v>
      </c>
    </row>
    <row r="1111" spans="1:41" ht="15.75" x14ac:dyDescent="0.25">
      <c r="A1111" s="50"/>
      <c r="B1111" s="50"/>
      <c r="E1111" s="54" t="s">
        <v>588</v>
      </c>
      <c r="F1111" s="53"/>
      <c r="G1111" s="102">
        <f>G1110-G1112</f>
        <v>41786.1</v>
      </c>
      <c r="H1111" s="102">
        <f>H1110-H1112</f>
        <v>49898.450000000004</v>
      </c>
    </row>
    <row r="1112" spans="1:41" ht="15.75" x14ac:dyDescent="0.25">
      <c r="A1112" s="50"/>
      <c r="B1112" s="50"/>
      <c r="E1112" s="54" t="s">
        <v>589</v>
      </c>
      <c r="F1112" s="53"/>
      <c r="G1112" s="102">
        <f>G902+G991+G1000+G880-N1096</f>
        <v>0</v>
      </c>
      <c r="H1112" s="102">
        <f>H902+H991+H1000+H880-X1096</f>
        <v>0</v>
      </c>
    </row>
    <row r="1113" spans="1:41" ht="15.75" x14ac:dyDescent="0.25">
      <c r="A1113" s="50"/>
      <c r="B1113" s="50"/>
      <c r="E1113" s="54">
        <v>7</v>
      </c>
      <c r="F1113" s="53"/>
      <c r="G1113" s="102">
        <f>G548+G293</f>
        <v>366206.80999999994</v>
      </c>
      <c r="H1113" s="102">
        <f>H548+H293</f>
        <v>389340.16000000003</v>
      </c>
    </row>
    <row r="1114" spans="1:41" ht="15.75" x14ac:dyDescent="0.25">
      <c r="A1114" s="50"/>
      <c r="B1114" s="50"/>
      <c r="E1114" s="54" t="s">
        <v>588</v>
      </c>
      <c r="F1114" s="53"/>
      <c r="G1114" s="102">
        <f>G1113-G1115</f>
        <v>142872.00999999992</v>
      </c>
      <c r="H1114" s="102">
        <f>H1113-H1115</f>
        <v>142988.55999999997</v>
      </c>
    </row>
    <row r="1115" spans="1:41" ht="15.75" x14ac:dyDescent="0.25">
      <c r="A1115" s="50"/>
      <c r="B1115" s="50"/>
      <c r="E1115" s="54" t="s">
        <v>589</v>
      </c>
      <c r="F1115" s="53"/>
      <c r="G1115" s="102">
        <f>G726+G697+G615+G555+G317+G596+G672+G676-S1096+G668-W1096+G680-T1096-U1096-O1103-P1103-Q1103-R1103-S1103-T1103-U1103+G723+G663+G659+G655+G589</f>
        <v>223334.80000000002</v>
      </c>
      <c r="H1115" s="102">
        <f>H726+H697+H615+H555+H317+H596+H672+H676-AC1096+H668-AG1096+H680-AD1096-AE1096-AC1103-AD1103-AE1103-AF1103-AG1103-AH1103-AI1103+H723+H663+H659+H655+H589</f>
        <v>246351.60000000006</v>
      </c>
    </row>
    <row r="1116" spans="1:41" ht="15.75" x14ac:dyDescent="0.25">
      <c r="A1116" s="50"/>
      <c r="B1116" s="50"/>
      <c r="E1116" s="54">
        <v>8</v>
      </c>
      <c r="F1116" s="53"/>
      <c r="G1116" s="102">
        <f>G357</f>
        <v>76411.28</v>
      </c>
      <c r="H1116" s="102">
        <f>H357</f>
        <v>77665.48</v>
      </c>
    </row>
    <row r="1117" spans="1:41" ht="15.75" x14ac:dyDescent="0.25">
      <c r="A1117" s="50"/>
      <c r="B1117" s="50"/>
      <c r="E1117" s="54" t="s">
        <v>588</v>
      </c>
      <c r="F1117" s="53"/>
      <c r="G1117" s="102">
        <f>G1116-G1118</f>
        <v>73904.08</v>
      </c>
      <c r="H1117" s="102">
        <f>H1116-H1118</f>
        <v>75158.28</v>
      </c>
    </row>
    <row r="1118" spans="1:41" ht="15.75" x14ac:dyDescent="0.25">
      <c r="A1118" s="50"/>
      <c r="B1118" s="50"/>
      <c r="E1118" s="54" t="s">
        <v>589</v>
      </c>
      <c r="F1118" s="53"/>
      <c r="G1118" s="102">
        <f>G378+G393+G400-P1096-R1096-N1103+G390</f>
        <v>2507.1999999999998</v>
      </c>
      <c r="H1118" s="102">
        <f>H378+H393+H400-Z1096-AB1096-AB1103+H390</f>
        <v>2507.1999999999998</v>
      </c>
    </row>
    <row r="1119" spans="1:41" ht="15.75" x14ac:dyDescent="0.25">
      <c r="A1119" s="50"/>
      <c r="B1119" s="50"/>
      <c r="E1119" s="54">
        <v>10</v>
      </c>
      <c r="F1119" s="53"/>
      <c r="G1119" s="102">
        <f>G1038+G445+G218+G531</f>
        <v>18033.41</v>
      </c>
      <c r="H1119" s="102">
        <f>H1038+H445+H218+H531</f>
        <v>26348.010000000002</v>
      </c>
    </row>
    <row r="1120" spans="1:41" ht="15.75" x14ac:dyDescent="0.25">
      <c r="A1120" s="50"/>
      <c r="B1120" s="50"/>
      <c r="E1120" s="54" t="s">
        <v>588</v>
      </c>
      <c r="F1120" s="53"/>
      <c r="G1120" s="102">
        <f>G1119-G1121</f>
        <v>11646.109460946094</v>
      </c>
      <c r="H1120" s="102">
        <f>H1119-H1121</f>
        <v>11675.608910891089</v>
      </c>
    </row>
    <row r="1121" spans="1:13" ht="15.75" x14ac:dyDescent="0.25">
      <c r="A1121" s="50"/>
      <c r="B1121" s="50"/>
      <c r="E1121" s="54" t="s">
        <v>589</v>
      </c>
      <c r="F1121" s="53"/>
      <c r="G1121" s="102">
        <f>G236+G450+G231-Q1096+G536-Y1103+G228</f>
        <v>6387.3005390539056</v>
      </c>
      <c r="H1121" s="102">
        <f>H236+H450+H231-AA1096+H536-AM1103+H228</f>
        <v>14672.401089108913</v>
      </c>
    </row>
    <row r="1122" spans="1:13" ht="15.75" x14ac:dyDescent="0.25">
      <c r="A1122" s="50"/>
      <c r="B1122" s="50"/>
      <c r="E1122" s="54">
        <v>11</v>
      </c>
      <c r="F1122" s="53"/>
      <c r="G1122" s="102">
        <f>G764</f>
        <v>63981.399999999994</v>
      </c>
      <c r="H1122" s="102">
        <f>H764</f>
        <v>64012.600000000006</v>
      </c>
    </row>
    <row r="1123" spans="1:13" ht="15.75" x14ac:dyDescent="0.25">
      <c r="A1123" s="50"/>
      <c r="B1123" s="50"/>
      <c r="E1123" s="54" t="s">
        <v>588</v>
      </c>
      <c r="F1123" s="53"/>
      <c r="G1123" s="102">
        <f>G1122-G1124</f>
        <v>63167.899999999994</v>
      </c>
      <c r="H1123" s="102">
        <f>H1122-H1124</f>
        <v>63199.100000000006</v>
      </c>
    </row>
    <row r="1124" spans="1:13" ht="15.75" x14ac:dyDescent="0.25">
      <c r="A1124" s="50"/>
      <c r="B1124" s="50"/>
      <c r="E1124" s="54" t="s">
        <v>589</v>
      </c>
      <c r="F1124" s="53"/>
      <c r="G1124" s="102">
        <f>G789</f>
        <v>813.5</v>
      </c>
      <c r="H1124" s="102">
        <f>H789</f>
        <v>813.5</v>
      </c>
    </row>
    <row r="1125" spans="1:13" ht="15.75" x14ac:dyDescent="0.25">
      <c r="A1125" s="50"/>
      <c r="B1125" s="50"/>
      <c r="E1125" s="54">
        <v>12</v>
      </c>
      <c r="F1125" s="53"/>
      <c r="G1125" s="102">
        <f>G468</f>
        <v>5873.2</v>
      </c>
      <c r="H1125" s="102">
        <f>H468</f>
        <v>5876.2</v>
      </c>
    </row>
    <row r="1126" spans="1:13" ht="15.75" x14ac:dyDescent="0.25">
      <c r="A1126" s="50"/>
      <c r="B1126" s="50"/>
      <c r="C1126" s="457"/>
      <c r="D1126" s="457"/>
      <c r="E1126" s="54" t="s">
        <v>1425</v>
      </c>
      <c r="F1126" s="53"/>
      <c r="G1126" s="102">
        <f>G9</f>
        <v>12478.69</v>
      </c>
      <c r="H1126" s="102">
        <f>H9</f>
        <v>25451.88</v>
      </c>
    </row>
    <row r="1127" spans="1:13" ht="15.75" x14ac:dyDescent="0.25">
      <c r="A1127" s="50"/>
      <c r="B1127" s="50"/>
      <c r="E1127" s="55"/>
      <c r="F1127" s="53"/>
      <c r="G1127" s="387">
        <f>G1102+G1105+G1106+G1107+G1110+G1113+G1116+G1119+G1122+G1125+G1126</f>
        <v>736280.6</v>
      </c>
      <c r="H1127" s="387">
        <f>H1102+H1105+H1106+H1107+H1110+H1113+H1116+H1119+H1122+H1125+H1126</f>
        <v>777267.39999999991</v>
      </c>
    </row>
    <row r="1128" spans="1:13" ht="15.75" x14ac:dyDescent="0.25">
      <c r="A1128" s="50"/>
      <c r="B1128" s="50"/>
      <c r="E1128" s="54" t="s">
        <v>588</v>
      </c>
      <c r="F1128" s="53"/>
      <c r="G1128" s="387">
        <f>G1103+G1105+G1106+G1108+G1111+G1114+G1117+G1120+G1123+G1125+G1126</f>
        <v>499147.69946094614</v>
      </c>
      <c r="H1128" s="387">
        <f>H1103+H1105+H1106+H1108+H1111+H1114+H1117+H1120+H1123+H1125+H1126</f>
        <v>509037.49891089107</v>
      </c>
      <c r="L1128" s="224">
        <f>G1128-G1096</f>
        <v>0</v>
      </c>
      <c r="M1128" s="224">
        <f>H1128-H1096</f>
        <v>0</v>
      </c>
    </row>
    <row r="1129" spans="1:13" ht="15.75" x14ac:dyDescent="0.25">
      <c r="A1129" s="50"/>
      <c r="B1129" s="50"/>
      <c r="E1129" s="54" t="s">
        <v>589</v>
      </c>
      <c r="F1129" s="53"/>
      <c r="G1129" s="387">
        <f>G1127-G1128</f>
        <v>237132.90053905384</v>
      </c>
      <c r="H1129" s="387">
        <f>H1127-H1128</f>
        <v>268229.90108910884</v>
      </c>
    </row>
    <row r="1130" spans="1:13" x14ac:dyDescent="0.25">
      <c r="G1130" s="115">
        <f>G1127-G1094</f>
        <v>0</v>
      </c>
      <c r="H1130" s="115">
        <f>H1127-H1094</f>
        <v>0</v>
      </c>
      <c r="L1130" s="281">
        <f>H1130-G1130</f>
        <v>0</v>
      </c>
    </row>
    <row r="1131" spans="1:13" x14ac:dyDescent="0.25">
      <c r="D1131" s="204" t="s">
        <v>590</v>
      </c>
      <c r="E1131" s="204">
        <v>50</v>
      </c>
      <c r="G1131" s="115">
        <f>G861</f>
        <v>2319</v>
      </c>
      <c r="H1131" s="115">
        <f>H861</f>
        <v>2319</v>
      </c>
    </row>
    <row r="1132" spans="1:13" x14ac:dyDescent="0.25">
      <c r="E1132" s="204">
        <v>51</v>
      </c>
      <c r="G1132" s="115">
        <f>G245+G275+G338+G434+G447</f>
        <v>3481.61</v>
      </c>
      <c r="H1132" s="115">
        <f>H245+H275+H338+H434+H447</f>
        <v>3896.11</v>
      </c>
    </row>
    <row r="1133" spans="1:13" x14ac:dyDescent="0.25">
      <c r="E1133" s="204">
        <v>52</v>
      </c>
      <c r="G1133" s="115">
        <f>G550+G610+G692+G721</f>
        <v>324504.29999999993</v>
      </c>
      <c r="H1133" s="115">
        <f>H550+H610+H692+H721</f>
        <v>347534.15</v>
      </c>
    </row>
    <row r="1134" spans="1:13" x14ac:dyDescent="0.25">
      <c r="E1134" s="204">
        <v>53</v>
      </c>
      <c r="G1134" s="115">
        <f>G213</f>
        <v>150</v>
      </c>
      <c r="H1134" s="115">
        <f>H213</f>
        <v>150</v>
      </c>
    </row>
    <row r="1135" spans="1:13" x14ac:dyDescent="0.25">
      <c r="E1135" s="204">
        <v>54</v>
      </c>
      <c r="G1135" s="115">
        <f>G1059+G89+G44</f>
        <v>724</v>
      </c>
      <c r="H1135" s="115">
        <f>H1059+H89+H44</f>
        <v>724</v>
      </c>
    </row>
    <row r="1136" spans="1:13" x14ac:dyDescent="0.25">
      <c r="E1136" s="204">
        <v>55</v>
      </c>
      <c r="G1136" s="115">
        <f>G226</f>
        <v>10</v>
      </c>
      <c r="H1136" s="115">
        <f>H226</f>
        <v>10</v>
      </c>
    </row>
    <row r="1137" spans="5:8" x14ac:dyDescent="0.25">
      <c r="E1137" s="204">
        <v>56</v>
      </c>
    </row>
    <row r="1138" spans="5:8" x14ac:dyDescent="0.25">
      <c r="E1138" s="204">
        <v>57</v>
      </c>
      <c r="G1138" s="115">
        <f>G766+G824</f>
        <v>52873.1</v>
      </c>
      <c r="H1138" s="115">
        <f>H766+H824</f>
        <v>52873.1</v>
      </c>
    </row>
    <row r="1139" spans="5:8" x14ac:dyDescent="0.25">
      <c r="E1139" s="204">
        <v>58</v>
      </c>
      <c r="G1139" s="115">
        <f>G295+G359+G470</f>
        <v>81484.89</v>
      </c>
      <c r="H1139" s="115">
        <f>H295+H359+H470</f>
        <v>82684.89</v>
      </c>
    </row>
    <row r="1140" spans="5:8" x14ac:dyDescent="0.25">
      <c r="E1140" s="204">
        <v>59</v>
      </c>
      <c r="G1140" s="115">
        <f>G599+G681+G1033+G401+G440+G327+G141+G793</f>
        <v>168</v>
      </c>
      <c r="H1140" s="115">
        <f>H599+H681+H1033+H401+H440+H327+H141+H793</f>
        <v>147</v>
      </c>
    </row>
    <row r="1141" spans="5:8" x14ac:dyDescent="0.25">
      <c r="E1141" s="204">
        <v>60</v>
      </c>
      <c r="G1141" s="115">
        <f>G959</f>
        <v>1920</v>
      </c>
      <c r="H1141" s="115">
        <f>H959</f>
        <v>2173</v>
      </c>
    </row>
    <row r="1142" spans="5:8" x14ac:dyDescent="0.25">
      <c r="E1142" s="204">
        <v>61</v>
      </c>
      <c r="G1142" s="115">
        <f>G193</f>
        <v>274</v>
      </c>
      <c r="H1142" s="115">
        <f>H193</f>
        <v>274</v>
      </c>
    </row>
    <row r="1143" spans="5:8" x14ac:dyDescent="0.25">
      <c r="E1143" s="204">
        <v>62</v>
      </c>
      <c r="G1143" s="115">
        <f>G919</f>
        <v>700</v>
      </c>
      <c r="H1143" s="115">
        <f>H919</f>
        <v>700</v>
      </c>
    </row>
    <row r="1144" spans="5:8" x14ac:dyDescent="0.25">
      <c r="E1144" s="204">
        <v>63</v>
      </c>
      <c r="G1144" s="115">
        <f>G251+G540+G759</f>
        <v>120</v>
      </c>
      <c r="H1144" s="115">
        <f>H251+H540+H759</f>
        <v>120</v>
      </c>
    </row>
    <row r="1145" spans="5:8" x14ac:dyDescent="0.25">
      <c r="E1145" s="204">
        <v>64</v>
      </c>
      <c r="G1145" s="115">
        <f>G146+G332+G406+G604+G686+G715+G798+G268+G483</f>
        <v>3815</v>
      </c>
      <c r="H1145" s="115">
        <f>H146+H332+H406+H604+H686+H715+H798+H268+H483</f>
        <v>3965.9</v>
      </c>
    </row>
    <row r="1146" spans="5:8" x14ac:dyDescent="0.25">
      <c r="E1146" s="204">
        <v>65</v>
      </c>
      <c r="G1146" s="115">
        <f>G998</f>
        <v>500</v>
      </c>
      <c r="H1146" s="115">
        <f>H998</f>
        <v>500</v>
      </c>
    </row>
    <row r="1147" spans="5:8" x14ac:dyDescent="0.25">
      <c r="E1147" s="204">
        <v>66</v>
      </c>
      <c r="G1147" s="115">
        <f>G516</f>
        <v>0</v>
      </c>
      <c r="H1147" s="115">
        <f>H516</f>
        <v>0</v>
      </c>
    </row>
    <row r="1148" spans="5:8" x14ac:dyDescent="0.25">
      <c r="E1148" s="204">
        <v>67</v>
      </c>
      <c r="G1148" s="115">
        <f>G155</f>
        <v>45</v>
      </c>
      <c r="H1148" s="115">
        <f>H155</f>
        <v>50</v>
      </c>
    </row>
    <row r="1149" spans="5:8" x14ac:dyDescent="0.25">
      <c r="E1149" s="204">
        <v>69</v>
      </c>
      <c r="G1149" s="115">
        <f>G160</f>
        <v>80</v>
      </c>
      <c r="H1149" s="115">
        <f>H160</f>
        <v>90</v>
      </c>
    </row>
    <row r="1150" spans="5:8" x14ac:dyDescent="0.25">
      <c r="E1150" s="204">
        <v>70</v>
      </c>
      <c r="G1150" s="115">
        <f>G948</f>
        <v>204</v>
      </c>
      <c r="H1150" s="115">
        <f>H948</f>
        <v>215</v>
      </c>
    </row>
    <row r="1151" spans="5:8" x14ac:dyDescent="0.25">
      <c r="G1151" s="115">
        <f>SUM(G1131:G1150)</f>
        <v>473372.89999999991</v>
      </c>
      <c r="H1151" s="115">
        <f>SUM(H1131:H1150)</f>
        <v>498426.15</v>
      </c>
    </row>
  </sheetData>
  <mergeCells count="9">
    <mergeCell ref="N1094:W1094"/>
    <mergeCell ref="X1094:AG1094"/>
    <mergeCell ref="N1101:AA1101"/>
    <mergeCell ref="AB1101:AO1101"/>
    <mergeCell ref="G1:H1"/>
    <mergeCell ref="G2:H2"/>
    <mergeCell ref="G3:H3"/>
    <mergeCell ref="A4:F4"/>
    <mergeCell ref="A5:H5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8"/>
  <sheetViews>
    <sheetView zoomScaleNormal="100" zoomScaleSheetLayoutView="100" workbookViewId="0">
      <selection activeCell="F1" sqref="F1:G3"/>
    </sheetView>
  </sheetViews>
  <sheetFormatPr defaultRowHeight="15" x14ac:dyDescent="0.25"/>
  <cols>
    <col min="1" max="1" width="56.28515625" style="204" customWidth="1"/>
    <col min="2" max="2" width="17.42578125" style="204" customWidth="1"/>
    <col min="3" max="3" width="8.28515625" style="204" customWidth="1"/>
    <col min="4" max="4" width="7.28515625" style="204" customWidth="1"/>
    <col min="5" max="5" width="8.7109375" style="204" customWidth="1"/>
    <col min="6" max="6" width="9.140625" style="204"/>
    <col min="7" max="7" width="15.85546875" style="115" customWidth="1"/>
    <col min="8" max="8" width="13.140625" style="204" hidden="1" customWidth="1"/>
    <col min="9" max="9" width="0" hidden="1" customWidth="1"/>
    <col min="10" max="10" width="10.7109375" hidden="1" customWidth="1"/>
    <col min="11" max="13" width="0" hidden="1" customWidth="1"/>
    <col min="14" max="14" width="11.5703125" customWidth="1"/>
  </cols>
  <sheetData>
    <row r="1" spans="1:8" ht="15.75" x14ac:dyDescent="0.25">
      <c r="F1" s="640" t="s">
        <v>108</v>
      </c>
      <c r="G1" s="640"/>
    </row>
    <row r="2" spans="1:8" ht="15.75" x14ac:dyDescent="0.25">
      <c r="F2" s="640" t="s">
        <v>591</v>
      </c>
      <c r="G2" s="640"/>
    </row>
    <row r="3" spans="1:8" ht="15.75" x14ac:dyDescent="0.25">
      <c r="F3" s="635" t="s">
        <v>1810</v>
      </c>
      <c r="G3" s="635"/>
    </row>
    <row r="4" spans="1:8" s="203" customFormat="1" ht="15.75" x14ac:dyDescent="0.25">
      <c r="A4" s="204"/>
      <c r="B4" s="204"/>
      <c r="C4" s="204"/>
      <c r="D4" s="204"/>
      <c r="E4" s="204"/>
      <c r="F4" s="62"/>
      <c r="G4" s="575"/>
      <c r="H4" s="204"/>
    </row>
    <row r="5" spans="1:8" ht="38.25" customHeight="1" x14ac:dyDescent="0.25">
      <c r="A5" s="619" t="s">
        <v>1321</v>
      </c>
      <c r="B5" s="619"/>
      <c r="C5" s="619"/>
      <c r="D5" s="619"/>
      <c r="E5" s="619"/>
      <c r="F5" s="619"/>
      <c r="G5" s="619"/>
    </row>
    <row r="6" spans="1:8" ht="16.5" x14ac:dyDescent="0.25">
      <c r="A6" s="577"/>
      <c r="B6" s="577"/>
      <c r="C6" s="577"/>
      <c r="D6" s="577"/>
      <c r="E6" s="577"/>
      <c r="F6" s="577"/>
    </row>
    <row r="7" spans="1:8" ht="15.75" x14ac:dyDescent="0.25">
      <c r="A7" s="62"/>
      <c r="B7" s="62"/>
      <c r="C7" s="62"/>
      <c r="D7" s="62"/>
      <c r="E7" s="64"/>
      <c r="F7" s="64"/>
      <c r="G7" s="270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383" t="s">
        <v>1028</v>
      </c>
    </row>
    <row r="9" spans="1:8" ht="47.25" x14ac:dyDescent="0.25">
      <c r="A9" s="58" t="s">
        <v>1405</v>
      </c>
      <c r="B9" s="7" t="s">
        <v>510</v>
      </c>
      <c r="C9" s="7"/>
      <c r="D9" s="7"/>
      <c r="E9" s="7"/>
      <c r="F9" s="7"/>
      <c r="G9" s="458">
        <f>G10+G17</f>
        <v>4844.5</v>
      </c>
      <c r="H9" s="204">
        <v>4766.6000000000004</v>
      </c>
    </row>
    <row r="10" spans="1:8" s="203" customFormat="1" ht="31.5" hidden="1" x14ac:dyDescent="0.25">
      <c r="A10" s="34" t="s">
        <v>999</v>
      </c>
      <c r="B10" s="7" t="s">
        <v>958</v>
      </c>
      <c r="C10" s="469"/>
      <c r="D10" s="469"/>
      <c r="E10" s="469"/>
      <c r="F10" s="469"/>
      <c r="G10" s="459">
        <f>G13</f>
        <v>0</v>
      </c>
      <c r="H10" s="204"/>
    </row>
    <row r="11" spans="1:8" ht="15.75" hidden="1" x14ac:dyDescent="0.25">
      <c r="A11" s="29" t="s">
        <v>232</v>
      </c>
      <c r="B11" s="469" t="s">
        <v>958</v>
      </c>
      <c r="C11" s="469" t="s">
        <v>150</v>
      </c>
      <c r="D11" s="469"/>
      <c r="E11" s="469"/>
      <c r="F11" s="469"/>
      <c r="G11" s="459">
        <f t="shared" ref="G11" si="0">G12</f>
        <v>0</v>
      </c>
    </row>
    <row r="12" spans="1:8" ht="15.75" hidden="1" x14ac:dyDescent="0.25">
      <c r="A12" s="29" t="s">
        <v>508</v>
      </c>
      <c r="B12" s="469" t="s">
        <v>958</v>
      </c>
      <c r="C12" s="469" t="s">
        <v>150</v>
      </c>
      <c r="D12" s="469" t="s">
        <v>219</v>
      </c>
      <c r="E12" s="469"/>
      <c r="F12" s="469"/>
      <c r="G12" s="459">
        <f>G13</f>
        <v>0</v>
      </c>
    </row>
    <row r="13" spans="1:8" s="203" customFormat="1" ht="15.75" hidden="1" x14ac:dyDescent="0.25">
      <c r="A13" s="29" t="s">
        <v>1001</v>
      </c>
      <c r="B13" s="469" t="s">
        <v>1000</v>
      </c>
      <c r="C13" s="469" t="s">
        <v>150</v>
      </c>
      <c r="D13" s="469" t="s">
        <v>219</v>
      </c>
      <c r="E13" s="469"/>
      <c r="F13" s="469"/>
      <c r="G13" s="459">
        <f>G14</f>
        <v>0</v>
      </c>
      <c r="H13" s="204"/>
    </row>
    <row r="14" spans="1:8" s="203" customFormat="1" ht="31.5" hidden="1" x14ac:dyDescent="0.25">
      <c r="A14" s="466" t="s">
        <v>131</v>
      </c>
      <c r="B14" s="469" t="s">
        <v>1000</v>
      </c>
      <c r="C14" s="469" t="s">
        <v>150</v>
      </c>
      <c r="D14" s="469" t="s">
        <v>219</v>
      </c>
      <c r="E14" s="469" t="s">
        <v>132</v>
      </c>
      <c r="F14" s="469"/>
      <c r="G14" s="459">
        <f>G15</f>
        <v>0</v>
      </c>
      <c r="H14" s="204"/>
    </row>
    <row r="15" spans="1:8" s="203" customFormat="1" ht="31.5" hidden="1" x14ac:dyDescent="0.25">
      <c r="A15" s="466" t="s">
        <v>133</v>
      </c>
      <c r="B15" s="469" t="s">
        <v>1000</v>
      </c>
      <c r="C15" s="469" t="s">
        <v>150</v>
      </c>
      <c r="D15" s="469" t="s">
        <v>219</v>
      </c>
      <c r="E15" s="469" t="s">
        <v>134</v>
      </c>
      <c r="F15" s="469"/>
      <c r="G15" s="459">
        <f>'Пр.4 ведом.21'!G998</f>
        <v>0</v>
      </c>
      <c r="H15" s="204"/>
    </row>
    <row r="16" spans="1:8" s="203" customFormat="1" ht="40.700000000000003" hidden="1" customHeight="1" x14ac:dyDescent="0.25">
      <c r="A16" s="45" t="s">
        <v>623</v>
      </c>
      <c r="B16" s="469" t="s">
        <v>1000</v>
      </c>
      <c r="C16" s="469" t="s">
        <v>150</v>
      </c>
      <c r="D16" s="469" t="s">
        <v>219</v>
      </c>
      <c r="E16" s="469" t="s">
        <v>134</v>
      </c>
      <c r="F16" s="469" t="s">
        <v>624</v>
      </c>
      <c r="G16" s="459">
        <f>G15</f>
        <v>0</v>
      </c>
      <c r="H16" s="204"/>
    </row>
    <row r="17" spans="1:9" s="203" customFormat="1" ht="31.5" x14ac:dyDescent="0.25">
      <c r="A17" s="34" t="s">
        <v>1063</v>
      </c>
      <c r="B17" s="465" t="s">
        <v>959</v>
      </c>
      <c r="C17" s="469"/>
      <c r="D17" s="469"/>
      <c r="E17" s="469"/>
      <c r="F17" s="469"/>
      <c r="G17" s="458">
        <f>G18</f>
        <v>4844.5</v>
      </c>
      <c r="H17" s="204"/>
    </row>
    <row r="18" spans="1:9" s="203" customFormat="1" ht="15.75" x14ac:dyDescent="0.25">
      <c r="A18" s="29" t="s">
        <v>232</v>
      </c>
      <c r="B18" s="469" t="s">
        <v>959</v>
      </c>
      <c r="C18" s="469" t="s">
        <v>150</v>
      </c>
      <c r="D18" s="469"/>
      <c r="E18" s="469"/>
      <c r="F18" s="469"/>
      <c r="G18" s="459">
        <f>G19</f>
        <v>4844.5</v>
      </c>
      <c r="H18" s="204"/>
    </row>
    <row r="19" spans="1:9" s="203" customFormat="1" ht="15.75" x14ac:dyDescent="0.25">
      <c r="A19" s="29" t="s">
        <v>508</v>
      </c>
      <c r="B19" s="469" t="s">
        <v>959</v>
      </c>
      <c r="C19" s="469" t="s">
        <v>150</v>
      </c>
      <c r="D19" s="469" t="s">
        <v>219</v>
      </c>
      <c r="E19" s="469"/>
      <c r="F19" s="469"/>
      <c r="G19" s="459">
        <f>G20</f>
        <v>4844.5</v>
      </c>
      <c r="H19" s="204"/>
    </row>
    <row r="20" spans="1:9" ht="15.75" x14ac:dyDescent="0.25">
      <c r="A20" s="29" t="s">
        <v>511</v>
      </c>
      <c r="B20" s="469" t="s">
        <v>1002</v>
      </c>
      <c r="C20" s="469" t="s">
        <v>150</v>
      </c>
      <c r="D20" s="469" t="s">
        <v>219</v>
      </c>
      <c r="E20" s="469"/>
      <c r="F20" s="469"/>
      <c r="G20" s="459">
        <f>G24+G27+G22</f>
        <v>4844.5</v>
      </c>
    </row>
    <row r="21" spans="1:9" s="203" customFormat="1" ht="78.75" x14ac:dyDescent="0.25">
      <c r="A21" s="466" t="s">
        <v>127</v>
      </c>
      <c r="B21" s="469" t="s">
        <v>1002</v>
      </c>
      <c r="C21" s="469" t="s">
        <v>150</v>
      </c>
      <c r="D21" s="469" t="s">
        <v>219</v>
      </c>
      <c r="E21" s="469" t="s">
        <v>128</v>
      </c>
      <c r="F21" s="469"/>
      <c r="G21" s="459">
        <f>G22</f>
        <v>2367.8000000000002</v>
      </c>
      <c r="H21" s="204"/>
    </row>
    <row r="22" spans="1:9" s="203" customFormat="1" ht="15.75" x14ac:dyDescent="0.25">
      <c r="A22" s="466" t="s">
        <v>342</v>
      </c>
      <c r="B22" s="469" t="s">
        <v>1002</v>
      </c>
      <c r="C22" s="469" t="s">
        <v>150</v>
      </c>
      <c r="D22" s="469" t="s">
        <v>219</v>
      </c>
      <c r="E22" s="469" t="s">
        <v>209</v>
      </c>
      <c r="F22" s="469"/>
      <c r="G22" s="459">
        <f>'Пр.4 ведом.21'!G1002</f>
        <v>2367.8000000000002</v>
      </c>
      <c r="H22" s="204"/>
    </row>
    <row r="23" spans="1:9" s="203" customFormat="1" ht="31.5" x14ac:dyDescent="0.25">
      <c r="A23" s="45" t="s">
        <v>623</v>
      </c>
      <c r="B23" s="469" t="s">
        <v>1002</v>
      </c>
      <c r="C23" s="469" t="s">
        <v>150</v>
      </c>
      <c r="D23" s="469" t="s">
        <v>219</v>
      </c>
      <c r="E23" s="469" t="s">
        <v>209</v>
      </c>
      <c r="F23" s="469" t="s">
        <v>624</v>
      </c>
      <c r="G23" s="459">
        <f>G22</f>
        <v>2367.8000000000002</v>
      </c>
      <c r="H23" s="204"/>
    </row>
    <row r="24" spans="1:9" ht="31.5" x14ac:dyDescent="0.25">
      <c r="A24" s="29" t="s">
        <v>131</v>
      </c>
      <c r="B24" s="469" t="s">
        <v>1002</v>
      </c>
      <c r="C24" s="469" t="s">
        <v>150</v>
      </c>
      <c r="D24" s="469" t="s">
        <v>219</v>
      </c>
      <c r="E24" s="469" t="s">
        <v>132</v>
      </c>
      <c r="F24" s="469"/>
      <c r="G24" s="459">
        <f t="shared" ref="G24" si="1">G25</f>
        <v>2476.7000000000003</v>
      </c>
    </row>
    <row r="25" spans="1:9" ht="31.5" x14ac:dyDescent="0.25">
      <c r="A25" s="29" t="s">
        <v>133</v>
      </c>
      <c r="B25" s="469" t="s">
        <v>1002</v>
      </c>
      <c r="C25" s="469" t="s">
        <v>150</v>
      </c>
      <c r="D25" s="469" t="s">
        <v>219</v>
      </c>
      <c r="E25" s="469" t="s">
        <v>134</v>
      </c>
      <c r="F25" s="469"/>
      <c r="G25" s="459">
        <f>'Пр.4 ведом.21'!G1004</f>
        <v>2476.7000000000003</v>
      </c>
    </row>
    <row r="26" spans="1:9" s="203" customFormat="1" ht="31.5" x14ac:dyDescent="0.25">
      <c r="A26" s="45" t="s">
        <v>623</v>
      </c>
      <c r="B26" s="469" t="s">
        <v>1002</v>
      </c>
      <c r="C26" s="469" t="s">
        <v>150</v>
      </c>
      <c r="D26" s="469" t="s">
        <v>219</v>
      </c>
      <c r="E26" s="469" t="s">
        <v>134</v>
      </c>
      <c r="F26" s="469" t="s">
        <v>624</v>
      </c>
      <c r="G26" s="459">
        <f>G25</f>
        <v>2476.7000000000003</v>
      </c>
      <c r="H26" s="204"/>
    </row>
    <row r="27" spans="1:9" ht="15.75" hidden="1" x14ac:dyDescent="0.25">
      <c r="A27" s="466" t="s">
        <v>135</v>
      </c>
      <c r="B27" s="469" t="s">
        <v>1002</v>
      </c>
      <c r="C27" s="469" t="s">
        <v>150</v>
      </c>
      <c r="D27" s="469" t="s">
        <v>219</v>
      </c>
      <c r="E27" s="469" t="s">
        <v>145</v>
      </c>
      <c r="F27" s="469"/>
      <c r="G27" s="459">
        <f t="shared" ref="G27" si="2">G28</f>
        <v>0</v>
      </c>
    </row>
    <row r="28" spans="1:9" ht="15.75" hidden="1" x14ac:dyDescent="0.25">
      <c r="A28" s="466" t="s">
        <v>137</v>
      </c>
      <c r="B28" s="469" t="s">
        <v>1002</v>
      </c>
      <c r="C28" s="469" t="s">
        <v>150</v>
      </c>
      <c r="D28" s="469" t="s">
        <v>219</v>
      </c>
      <c r="E28" s="469" t="s">
        <v>138</v>
      </c>
      <c r="F28" s="469"/>
      <c r="G28" s="459">
        <f>'Пр.4 ведом.21'!G1006</f>
        <v>0</v>
      </c>
    </row>
    <row r="29" spans="1:9" ht="31.5" hidden="1" x14ac:dyDescent="0.25">
      <c r="A29" s="45" t="s">
        <v>623</v>
      </c>
      <c r="B29" s="469" t="s">
        <v>1002</v>
      </c>
      <c r="C29" s="469" t="s">
        <v>150</v>
      </c>
      <c r="D29" s="469" t="s">
        <v>219</v>
      </c>
      <c r="E29" s="469" t="s">
        <v>138</v>
      </c>
      <c r="F29" s="469" t="s">
        <v>624</v>
      </c>
      <c r="G29" s="459">
        <f>G28</f>
        <v>0</v>
      </c>
    </row>
    <row r="30" spans="1:9" ht="47.25" x14ac:dyDescent="0.25">
      <c r="A30" s="58" t="s">
        <v>1406</v>
      </c>
      <c r="B30" s="7" t="s">
        <v>344</v>
      </c>
      <c r="C30" s="7"/>
      <c r="D30" s="7"/>
      <c r="E30" s="7"/>
      <c r="F30" s="7"/>
      <c r="G30" s="59">
        <f>G31+G64+G72+G101+G113</f>
        <v>3324.3500000000004</v>
      </c>
      <c r="H30" s="204">
        <v>4043</v>
      </c>
      <c r="I30" s="22">
        <f>H30-G30</f>
        <v>718.64999999999964</v>
      </c>
    </row>
    <row r="31" spans="1:9" ht="31.5" x14ac:dyDescent="0.25">
      <c r="A31" s="58" t="s">
        <v>625</v>
      </c>
      <c r="B31" s="7" t="s">
        <v>346</v>
      </c>
      <c r="C31" s="7"/>
      <c r="D31" s="7"/>
      <c r="E31" s="7"/>
      <c r="F31" s="7"/>
      <c r="G31" s="59">
        <f>G33+G43+G57</f>
        <v>1052.55</v>
      </c>
    </row>
    <row r="32" spans="1:9" s="203" customFormat="1" ht="47.25" x14ac:dyDescent="0.25">
      <c r="A32" s="210" t="s">
        <v>1031</v>
      </c>
      <c r="B32" s="465" t="s">
        <v>892</v>
      </c>
      <c r="C32" s="7"/>
      <c r="D32" s="7"/>
      <c r="E32" s="469"/>
      <c r="F32" s="469"/>
      <c r="G32" s="59">
        <f>G33</f>
        <v>267.3</v>
      </c>
      <c r="H32" s="204"/>
    </row>
    <row r="33" spans="1:8" ht="15.75" x14ac:dyDescent="0.25">
      <c r="A33" s="45" t="s">
        <v>263</v>
      </c>
      <c r="B33" s="469" t="s">
        <v>892</v>
      </c>
      <c r="C33" s="469" t="s">
        <v>264</v>
      </c>
      <c r="D33" s="469"/>
      <c r="E33" s="469"/>
      <c r="F33" s="469"/>
      <c r="G33" s="10">
        <f t="shared" ref="G33" si="3">G34</f>
        <v>267.3</v>
      </c>
    </row>
    <row r="34" spans="1:8" ht="15.75" x14ac:dyDescent="0.25">
      <c r="A34" s="45" t="s">
        <v>466</v>
      </c>
      <c r="B34" s="469" t="s">
        <v>892</v>
      </c>
      <c r="C34" s="469" t="s">
        <v>264</v>
      </c>
      <c r="D34" s="469" t="s">
        <v>264</v>
      </c>
      <c r="E34" s="469"/>
      <c r="F34" s="469"/>
      <c r="G34" s="10">
        <f>G35+G39</f>
        <v>267.3</v>
      </c>
    </row>
    <row r="35" spans="1:8" s="203" customFormat="1" ht="31.5" x14ac:dyDescent="0.25">
      <c r="A35" s="98" t="s">
        <v>1037</v>
      </c>
      <c r="B35" s="462" t="s">
        <v>893</v>
      </c>
      <c r="C35" s="469" t="s">
        <v>264</v>
      </c>
      <c r="D35" s="469" t="s">
        <v>264</v>
      </c>
      <c r="E35" s="469"/>
      <c r="F35" s="469"/>
      <c r="G35" s="10">
        <f>G36</f>
        <v>267.3</v>
      </c>
      <c r="H35" s="204"/>
    </row>
    <row r="36" spans="1:8" s="203" customFormat="1" ht="78.75" x14ac:dyDescent="0.25">
      <c r="A36" s="466" t="s">
        <v>127</v>
      </c>
      <c r="B36" s="462" t="s">
        <v>893</v>
      </c>
      <c r="C36" s="469" t="s">
        <v>264</v>
      </c>
      <c r="D36" s="469" t="s">
        <v>264</v>
      </c>
      <c r="E36" s="469" t="s">
        <v>128</v>
      </c>
      <c r="F36" s="469"/>
      <c r="G36" s="10">
        <f>G37</f>
        <v>267.3</v>
      </c>
      <c r="H36" s="204"/>
    </row>
    <row r="37" spans="1:8" s="203" customFormat="1" ht="15.75" x14ac:dyDescent="0.25">
      <c r="A37" s="466" t="s">
        <v>342</v>
      </c>
      <c r="B37" s="462" t="s">
        <v>893</v>
      </c>
      <c r="C37" s="469" t="s">
        <v>264</v>
      </c>
      <c r="D37" s="469" t="s">
        <v>264</v>
      </c>
      <c r="E37" s="469" t="s">
        <v>209</v>
      </c>
      <c r="F37" s="469"/>
      <c r="G37" s="10">
        <f>'Пр.4 ведом.21'!G374</f>
        <v>267.3</v>
      </c>
      <c r="H37" s="204"/>
    </row>
    <row r="38" spans="1:8" s="203" customFormat="1" ht="47.25" x14ac:dyDescent="0.25">
      <c r="A38" s="45" t="s">
        <v>261</v>
      </c>
      <c r="B38" s="462" t="s">
        <v>893</v>
      </c>
      <c r="C38" s="469" t="s">
        <v>264</v>
      </c>
      <c r="D38" s="469" t="s">
        <v>264</v>
      </c>
      <c r="E38" s="469" t="s">
        <v>209</v>
      </c>
      <c r="F38" s="469" t="s">
        <v>627</v>
      </c>
      <c r="G38" s="459">
        <f>G37</f>
        <v>267.3</v>
      </c>
      <c r="H38" s="204"/>
    </row>
    <row r="39" spans="1:8" s="203" customFormat="1" ht="15.75" hidden="1" x14ac:dyDescent="0.25">
      <c r="A39" s="466" t="s">
        <v>1032</v>
      </c>
      <c r="B39" s="462" t="s">
        <v>1049</v>
      </c>
      <c r="C39" s="469" t="s">
        <v>264</v>
      </c>
      <c r="D39" s="469" t="s">
        <v>264</v>
      </c>
      <c r="E39" s="469"/>
      <c r="F39" s="469"/>
      <c r="G39" s="10">
        <f>G40</f>
        <v>0</v>
      </c>
      <c r="H39" s="204"/>
    </row>
    <row r="40" spans="1:8" s="203" customFormat="1" ht="31.5" hidden="1" x14ac:dyDescent="0.25">
      <c r="A40" s="466" t="s">
        <v>131</v>
      </c>
      <c r="B40" s="462" t="s">
        <v>1049</v>
      </c>
      <c r="C40" s="469" t="s">
        <v>264</v>
      </c>
      <c r="D40" s="469" t="s">
        <v>264</v>
      </c>
      <c r="E40" s="469" t="s">
        <v>132</v>
      </c>
      <c r="F40" s="469"/>
      <c r="G40" s="10">
        <f>G41</f>
        <v>0</v>
      </c>
      <c r="H40" s="204"/>
    </row>
    <row r="41" spans="1:8" s="203" customFormat="1" ht="31.5" hidden="1" x14ac:dyDescent="0.25">
      <c r="A41" s="466" t="s">
        <v>133</v>
      </c>
      <c r="B41" s="462" t="s">
        <v>1049</v>
      </c>
      <c r="C41" s="469" t="s">
        <v>264</v>
      </c>
      <c r="D41" s="469" t="s">
        <v>264</v>
      </c>
      <c r="E41" s="469" t="s">
        <v>134</v>
      </c>
      <c r="F41" s="469"/>
      <c r="G41" s="10">
        <f>'Пр.3 Рд,пр, ЦС,ВР 21'!F798</f>
        <v>0</v>
      </c>
      <c r="H41" s="204"/>
    </row>
    <row r="42" spans="1:8" s="203" customFormat="1" ht="47.25" hidden="1" x14ac:dyDescent="0.25">
      <c r="A42" s="45" t="s">
        <v>261</v>
      </c>
      <c r="B42" s="462" t="s">
        <v>1049</v>
      </c>
      <c r="C42" s="469" t="s">
        <v>264</v>
      </c>
      <c r="D42" s="469" t="s">
        <v>264</v>
      </c>
      <c r="E42" s="469" t="s">
        <v>134</v>
      </c>
      <c r="F42" s="469" t="s">
        <v>627</v>
      </c>
      <c r="G42" s="459">
        <f>G41</f>
        <v>0</v>
      </c>
      <c r="H42" s="204"/>
    </row>
    <row r="43" spans="1:8" s="203" customFormat="1" ht="63" x14ac:dyDescent="0.25">
      <c r="A43" s="464" t="s">
        <v>1033</v>
      </c>
      <c r="B43" s="465" t="s">
        <v>894</v>
      </c>
      <c r="C43" s="469"/>
      <c r="D43" s="469"/>
      <c r="E43" s="469"/>
      <c r="F43" s="469"/>
      <c r="G43" s="59">
        <f>G44</f>
        <v>760.25</v>
      </c>
      <c r="H43" s="204"/>
    </row>
    <row r="44" spans="1:8" s="203" customFormat="1" ht="15.75" x14ac:dyDescent="0.25">
      <c r="A44" s="45" t="s">
        <v>263</v>
      </c>
      <c r="B44" s="469" t="s">
        <v>894</v>
      </c>
      <c r="C44" s="469" t="s">
        <v>264</v>
      </c>
      <c r="D44" s="469"/>
      <c r="E44" s="469"/>
      <c r="F44" s="469"/>
      <c r="G44" s="10">
        <f>G45</f>
        <v>760.25</v>
      </c>
      <c r="H44" s="204"/>
    </row>
    <row r="45" spans="1:8" s="203" customFormat="1" ht="15.75" x14ac:dyDescent="0.25">
      <c r="A45" s="45" t="s">
        <v>466</v>
      </c>
      <c r="B45" s="469" t="s">
        <v>894</v>
      </c>
      <c r="C45" s="469" t="s">
        <v>264</v>
      </c>
      <c r="D45" s="469" t="s">
        <v>264</v>
      </c>
      <c r="E45" s="469"/>
      <c r="F45" s="469"/>
      <c r="G45" s="10">
        <f>G46+G50+G53</f>
        <v>760.25</v>
      </c>
      <c r="H45" s="204"/>
    </row>
    <row r="46" spans="1:8" ht="15.75" x14ac:dyDescent="0.25">
      <c r="A46" s="466" t="s">
        <v>1034</v>
      </c>
      <c r="B46" s="462" t="s">
        <v>901</v>
      </c>
      <c r="C46" s="469" t="s">
        <v>264</v>
      </c>
      <c r="D46" s="469" t="s">
        <v>264</v>
      </c>
      <c r="E46" s="469"/>
      <c r="F46" s="469"/>
      <c r="G46" s="10">
        <f>G47</f>
        <v>18.623000000000001</v>
      </c>
    </row>
    <row r="47" spans="1:8" ht="78.75" x14ac:dyDescent="0.25">
      <c r="A47" s="466" t="s">
        <v>127</v>
      </c>
      <c r="B47" s="462" t="s">
        <v>901</v>
      </c>
      <c r="C47" s="469" t="s">
        <v>264</v>
      </c>
      <c r="D47" s="469" t="s">
        <v>264</v>
      </c>
      <c r="E47" s="469" t="s">
        <v>128</v>
      </c>
      <c r="F47" s="469"/>
      <c r="G47" s="10">
        <f t="shared" ref="G47" si="4">G48</f>
        <v>18.623000000000001</v>
      </c>
    </row>
    <row r="48" spans="1:8" ht="15.75" x14ac:dyDescent="0.25">
      <c r="A48" s="466" t="s">
        <v>342</v>
      </c>
      <c r="B48" s="462" t="s">
        <v>901</v>
      </c>
      <c r="C48" s="469" t="s">
        <v>264</v>
      </c>
      <c r="D48" s="469" t="s">
        <v>264</v>
      </c>
      <c r="E48" s="469" t="s">
        <v>209</v>
      </c>
      <c r="F48" s="469"/>
      <c r="G48" s="10">
        <f>'Пр.4 ведом.21'!G381</f>
        <v>18.623000000000001</v>
      </c>
    </row>
    <row r="49" spans="1:8" s="203" customFormat="1" ht="47.25" x14ac:dyDescent="0.25">
      <c r="A49" s="45" t="s">
        <v>261</v>
      </c>
      <c r="B49" s="462" t="s">
        <v>901</v>
      </c>
      <c r="C49" s="469" t="s">
        <v>264</v>
      </c>
      <c r="D49" s="469" t="s">
        <v>264</v>
      </c>
      <c r="E49" s="469" t="s">
        <v>209</v>
      </c>
      <c r="F49" s="469" t="s">
        <v>627</v>
      </c>
      <c r="G49" s="459">
        <f>G48</f>
        <v>18.623000000000001</v>
      </c>
      <c r="H49" s="204"/>
    </row>
    <row r="50" spans="1:8" ht="31.5" x14ac:dyDescent="0.25">
      <c r="A50" s="466" t="s">
        <v>131</v>
      </c>
      <c r="B50" s="462" t="s">
        <v>901</v>
      </c>
      <c r="C50" s="469" t="s">
        <v>264</v>
      </c>
      <c r="D50" s="469" t="s">
        <v>264</v>
      </c>
      <c r="E50" s="469" t="s">
        <v>132</v>
      </c>
      <c r="F50" s="469"/>
      <c r="G50" s="10">
        <f t="shared" ref="G50" si="5">G51</f>
        <v>443.4</v>
      </c>
    </row>
    <row r="51" spans="1:8" ht="31.5" x14ac:dyDescent="0.25">
      <c r="A51" s="466" t="s">
        <v>133</v>
      </c>
      <c r="B51" s="462" t="s">
        <v>901</v>
      </c>
      <c r="C51" s="469" t="s">
        <v>264</v>
      </c>
      <c r="D51" s="469" t="s">
        <v>264</v>
      </c>
      <c r="E51" s="469" t="s">
        <v>134</v>
      </c>
      <c r="F51" s="469"/>
      <c r="G51" s="459">
        <f>'Пр.4 ведом.21'!G383</f>
        <v>443.4</v>
      </c>
    </row>
    <row r="52" spans="1:8" s="203" customFormat="1" ht="47.25" x14ac:dyDescent="0.25">
      <c r="A52" s="45" t="s">
        <v>261</v>
      </c>
      <c r="B52" s="462" t="s">
        <v>901</v>
      </c>
      <c r="C52" s="469" t="s">
        <v>264</v>
      </c>
      <c r="D52" s="469" t="s">
        <v>264</v>
      </c>
      <c r="E52" s="469" t="s">
        <v>134</v>
      </c>
      <c r="F52" s="469" t="s">
        <v>627</v>
      </c>
      <c r="G52" s="459">
        <f>G51</f>
        <v>443.4</v>
      </c>
      <c r="H52" s="204"/>
    </row>
    <row r="53" spans="1:8" s="457" customFormat="1" ht="15.75" x14ac:dyDescent="0.25">
      <c r="A53" s="466" t="s">
        <v>1767</v>
      </c>
      <c r="B53" s="462" t="s">
        <v>1768</v>
      </c>
      <c r="C53" s="469" t="s">
        <v>264</v>
      </c>
      <c r="D53" s="469" t="s">
        <v>264</v>
      </c>
      <c r="E53" s="469"/>
      <c r="F53" s="469"/>
      <c r="G53" s="459">
        <f>G54</f>
        <v>298.22699999999998</v>
      </c>
      <c r="H53" s="204"/>
    </row>
    <row r="54" spans="1:8" s="457" customFormat="1" ht="31.5" x14ac:dyDescent="0.25">
      <c r="A54" s="466" t="s">
        <v>131</v>
      </c>
      <c r="B54" s="462" t="s">
        <v>1768</v>
      </c>
      <c r="C54" s="469" t="s">
        <v>264</v>
      </c>
      <c r="D54" s="469" t="s">
        <v>264</v>
      </c>
      <c r="E54" s="469" t="s">
        <v>132</v>
      </c>
      <c r="F54" s="469"/>
      <c r="G54" s="459">
        <f>G55</f>
        <v>298.22699999999998</v>
      </c>
      <c r="H54" s="204"/>
    </row>
    <row r="55" spans="1:8" s="457" customFormat="1" ht="31.5" x14ac:dyDescent="0.25">
      <c r="A55" s="466" t="s">
        <v>133</v>
      </c>
      <c r="B55" s="462" t="s">
        <v>1768</v>
      </c>
      <c r="C55" s="469" t="s">
        <v>264</v>
      </c>
      <c r="D55" s="469" t="s">
        <v>264</v>
      </c>
      <c r="E55" s="469" t="s">
        <v>134</v>
      </c>
      <c r="F55" s="469"/>
      <c r="G55" s="459">
        <f>'Пр.4 ведом.21'!G386</f>
        <v>298.22699999999998</v>
      </c>
      <c r="H55" s="204"/>
    </row>
    <row r="56" spans="1:8" s="457" customFormat="1" ht="47.25" x14ac:dyDescent="0.25">
      <c r="A56" s="45" t="s">
        <v>261</v>
      </c>
      <c r="B56" s="462" t="s">
        <v>1768</v>
      </c>
      <c r="C56" s="469" t="s">
        <v>264</v>
      </c>
      <c r="D56" s="469" t="s">
        <v>264</v>
      </c>
      <c r="E56" s="469" t="s">
        <v>134</v>
      </c>
      <c r="F56" s="469" t="s">
        <v>627</v>
      </c>
      <c r="G56" s="459">
        <f>G55</f>
        <v>298.22699999999998</v>
      </c>
      <c r="H56" s="204"/>
    </row>
    <row r="57" spans="1:8" ht="33" customHeight="1" x14ac:dyDescent="0.25">
      <c r="A57" s="464" t="s">
        <v>1039</v>
      </c>
      <c r="B57" s="465" t="s">
        <v>1035</v>
      </c>
      <c r="C57" s="469"/>
      <c r="D57" s="469"/>
      <c r="E57" s="469"/>
      <c r="F57" s="469"/>
      <c r="G57" s="458">
        <f>G60</f>
        <v>25</v>
      </c>
    </row>
    <row r="58" spans="1:8" s="203" customFormat="1" ht="16.5" customHeight="1" x14ac:dyDescent="0.25">
      <c r="A58" s="45" t="s">
        <v>263</v>
      </c>
      <c r="B58" s="469" t="s">
        <v>1035</v>
      </c>
      <c r="C58" s="469" t="s">
        <v>264</v>
      </c>
      <c r="D58" s="469"/>
      <c r="E58" s="469"/>
      <c r="F58" s="469"/>
      <c r="G58" s="10">
        <f>G59</f>
        <v>25</v>
      </c>
      <c r="H58" s="204"/>
    </row>
    <row r="59" spans="1:8" s="203" customFormat="1" ht="18.75" customHeight="1" x14ac:dyDescent="0.25">
      <c r="A59" s="45" t="s">
        <v>466</v>
      </c>
      <c r="B59" s="469" t="s">
        <v>1035</v>
      </c>
      <c r="C59" s="469" t="s">
        <v>264</v>
      </c>
      <c r="D59" s="469" t="s">
        <v>264</v>
      </c>
      <c r="E59" s="469"/>
      <c r="F59" s="469"/>
      <c r="G59" s="10">
        <f>G60</f>
        <v>25</v>
      </c>
      <c r="H59" s="204"/>
    </row>
    <row r="60" spans="1:8" ht="47.25" x14ac:dyDescent="0.25">
      <c r="A60" s="230" t="s">
        <v>1036</v>
      </c>
      <c r="B60" s="462" t="s">
        <v>1050</v>
      </c>
      <c r="C60" s="469" t="s">
        <v>264</v>
      </c>
      <c r="D60" s="469" t="s">
        <v>264</v>
      </c>
      <c r="E60" s="462"/>
      <c r="F60" s="469"/>
      <c r="G60" s="459">
        <f t="shared" ref="G60" si="6">G61</f>
        <v>25</v>
      </c>
    </row>
    <row r="61" spans="1:8" ht="15.75" x14ac:dyDescent="0.25">
      <c r="A61" s="466" t="s">
        <v>248</v>
      </c>
      <c r="B61" s="462" t="s">
        <v>1050</v>
      </c>
      <c r="C61" s="469" t="s">
        <v>264</v>
      </c>
      <c r="D61" s="469" t="s">
        <v>264</v>
      </c>
      <c r="E61" s="462" t="s">
        <v>249</v>
      </c>
      <c r="F61" s="469"/>
      <c r="G61" s="459">
        <f>G62</f>
        <v>25</v>
      </c>
    </row>
    <row r="62" spans="1:8" ht="32.25" customHeight="1" x14ac:dyDescent="0.25">
      <c r="A62" s="466" t="s">
        <v>1201</v>
      </c>
      <c r="B62" s="462" t="s">
        <v>1050</v>
      </c>
      <c r="C62" s="469" t="s">
        <v>264</v>
      </c>
      <c r="D62" s="469" t="s">
        <v>264</v>
      </c>
      <c r="E62" s="462" t="s">
        <v>1200</v>
      </c>
      <c r="F62" s="469"/>
      <c r="G62" s="10">
        <f>'Пр.4 ведом.21'!G390</f>
        <v>25</v>
      </c>
    </row>
    <row r="63" spans="1:8" s="203" customFormat="1" ht="47.25" x14ac:dyDescent="0.25">
      <c r="A63" s="45" t="s">
        <v>261</v>
      </c>
      <c r="B63" s="462" t="s">
        <v>1050</v>
      </c>
      <c r="C63" s="469" t="s">
        <v>264</v>
      </c>
      <c r="D63" s="469" t="s">
        <v>264</v>
      </c>
      <c r="E63" s="469" t="s">
        <v>1200</v>
      </c>
      <c r="F63" s="469" t="s">
        <v>627</v>
      </c>
      <c r="G63" s="459">
        <f>G62</f>
        <v>25</v>
      </c>
      <c r="H63" s="204"/>
    </row>
    <row r="64" spans="1:8" ht="31.5" hidden="1" x14ac:dyDescent="0.25">
      <c r="A64" s="58" t="s">
        <v>1407</v>
      </c>
      <c r="B64" s="7" t="s">
        <v>353</v>
      </c>
      <c r="C64" s="7"/>
      <c r="D64" s="7"/>
      <c r="E64" s="7"/>
      <c r="F64" s="7"/>
      <c r="G64" s="59">
        <f>G65</f>
        <v>0</v>
      </c>
    </row>
    <row r="65" spans="1:8" s="203" customFormat="1" ht="31.5" hidden="1" x14ac:dyDescent="0.25">
      <c r="A65" s="464" t="s">
        <v>905</v>
      </c>
      <c r="B65" s="465" t="s">
        <v>904</v>
      </c>
      <c r="C65" s="7"/>
      <c r="D65" s="7"/>
      <c r="E65" s="7"/>
      <c r="F65" s="7"/>
      <c r="G65" s="59">
        <f>G66</f>
        <v>0</v>
      </c>
      <c r="H65" s="204"/>
    </row>
    <row r="66" spans="1:8" ht="15.75" hidden="1" x14ac:dyDescent="0.25">
      <c r="A66" s="45" t="s">
        <v>243</v>
      </c>
      <c r="B66" s="469" t="s">
        <v>904</v>
      </c>
      <c r="C66" s="469" t="s">
        <v>244</v>
      </c>
      <c r="D66" s="469"/>
      <c r="E66" s="469"/>
      <c r="F66" s="469"/>
      <c r="G66" s="10">
        <f t="shared" ref="G66:G69" si="7">G67</f>
        <v>0</v>
      </c>
    </row>
    <row r="67" spans="1:8" ht="15.75" hidden="1" x14ac:dyDescent="0.25">
      <c r="A67" s="45" t="s">
        <v>252</v>
      </c>
      <c r="B67" s="469" t="s">
        <v>904</v>
      </c>
      <c r="C67" s="469" t="s">
        <v>244</v>
      </c>
      <c r="D67" s="469" t="s">
        <v>215</v>
      </c>
      <c r="E67" s="469"/>
      <c r="F67" s="469"/>
      <c r="G67" s="10">
        <f>G68</f>
        <v>0</v>
      </c>
    </row>
    <row r="68" spans="1:8" ht="31.5" hidden="1" x14ac:dyDescent="0.25">
      <c r="A68" s="466" t="s">
        <v>824</v>
      </c>
      <c r="B68" s="462" t="s">
        <v>906</v>
      </c>
      <c r="C68" s="469" t="s">
        <v>244</v>
      </c>
      <c r="D68" s="469" t="s">
        <v>215</v>
      </c>
      <c r="E68" s="469"/>
      <c r="F68" s="469"/>
      <c r="G68" s="10">
        <f t="shared" si="7"/>
        <v>0</v>
      </c>
    </row>
    <row r="69" spans="1:8" ht="15.75" hidden="1" x14ac:dyDescent="0.25">
      <c r="A69" s="29" t="s">
        <v>248</v>
      </c>
      <c r="B69" s="462" t="s">
        <v>906</v>
      </c>
      <c r="C69" s="469" t="s">
        <v>244</v>
      </c>
      <c r="D69" s="469" t="s">
        <v>215</v>
      </c>
      <c r="E69" s="469" t="s">
        <v>249</v>
      </c>
      <c r="F69" s="469"/>
      <c r="G69" s="10">
        <f t="shared" si="7"/>
        <v>0</v>
      </c>
    </row>
    <row r="70" spans="1:8" ht="31.5" hidden="1" x14ac:dyDescent="0.25">
      <c r="A70" s="29" t="s">
        <v>250</v>
      </c>
      <c r="B70" s="462" t="s">
        <v>906</v>
      </c>
      <c r="C70" s="469" t="s">
        <v>244</v>
      </c>
      <c r="D70" s="469" t="s">
        <v>215</v>
      </c>
      <c r="E70" s="469" t="s">
        <v>251</v>
      </c>
      <c r="F70" s="469"/>
      <c r="G70" s="10">
        <f>'Пр.4 ведом.21'!G510</f>
        <v>0</v>
      </c>
    </row>
    <row r="71" spans="1:8" ht="47.25" hidden="1" x14ac:dyDescent="0.25">
      <c r="A71" s="45" t="s">
        <v>261</v>
      </c>
      <c r="B71" s="462" t="s">
        <v>906</v>
      </c>
      <c r="C71" s="469" t="s">
        <v>244</v>
      </c>
      <c r="D71" s="469" t="s">
        <v>215</v>
      </c>
      <c r="E71" s="469" t="s">
        <v>251</v>
      </c>
      <c r="F71" s="469" t="s">
        <v>627</v>
      </c>
      <c r="G71" s="10">
        <f t="shared" ref="G71" si="8">G64</f>
        <v>0</v>
      </c>
    </row>
    <row r="72" spans="1:8" s="203" customFormat="1" ht="54" hidden="1" customHeight="1" x14ac:dyDescent="0.25">
      <c r="A72" s="470" t="s">
        <v>1408</v>
      </c>
      <c r="B72" s="7" t="s">
        <v>356</v>
      </c>
      <c r="C72" s="7"/>
      <c r="D72" s="7"/>
      <c r="E72" s="7"/>
      <c r="F72" s="7"/>
      <c r="G72" s="59">
        <f>G73+G80+G87+G94</f>
        <v>0</v>
      </c>
      <c r="H72" s="204"/>
    </row>
    <row r="73" spans="1:8" s="203" customFormat="1" ht="47.25" hidden="1" x14ac:dyDescent="0.25">
      <c r="A73" s="214" t="s">
        <v>1045</v>
      </c>
      <c r="B73" s="465" t="s">
        <v>907</v>
      </c>
      <c r="C73" s="7"/>
      <c r="D73" s="7"/>
      <c r="E73" s="7"/>
      <c r="F73" s="7"/>
      <c r="G73" s="59">
        <f>G74</f>
        <v>0</v>
      </c>
      <c r="H73" s="204"/>
    </row>
    <row r="74" spans="1:8" s="203" customFormat="1" ht="15.75" hidden="1" x14ac:dyDescent="0.25">
      <c r="A74" s="45" t="s">
        <v>232</v>
      </c>
      <c r="B74" s="469" t="s">
        <v>907</v>
      </c>
      <c r="C74" s="469" t="s">
        <v>150</v>
      </c>
      <c r="D74" s="469"/>
      <c r="E74" s="469"/>
      <c r="F74" s="469"/>
      <c r="G74" s="10">
        <f>G75</f>
        <v>0</v>
      </c>
      <c r="H74" s="204"/>
    </row>
    <row r="75" spans="1:8" s="203" customFormat="1" ht="15.75" hidden="1" x14ac:dyDescent="0.25">
      <c r="A75" s="45" t="s">
        <v>237</v>
      </c>
      <c r="B75" s="469" t="s">
        <v>907</v>
      </c>
      <c r="C75" s="469" t="s">
        <v>150</v>
      </c>
      <c r="D75" s="469" t="s">
        <v>238</v>
      </c>
      <c r="E75" s="469"/>
      <c r="F75" s="469"/>
      <c r="G75" s="10">
        <f>G76</f>
        <v>0</v>
      </c>
      <c r="H75" s="204"/>
    </row>
    <row r="76" spans="1:8" s="203" customFormat="1" ht="47.25" hidden="1" x14ac:dyDescent="0.25">
      <c r="A76" s="466" t="s">
        <v>375</v>
      </c>
      <c r="B76" s="462" t="s">
        <v>1323</v>
      </c>
      <c r="C76" s="469" t="s">
        <v>150</v>
      </c>
      <c r="D76" s="469" t="s">
        <v>238</v>
      </c>
      <c r="E76" s="469"/>
      <c r="F76" s="469"/>
      <c r="G76" s="10">
        <f>G77</f>
        <v>0</v>
      </c>
      <c r="H76" s="204"/>
    </row>
    <row r="77" spans="1:8" s="203" customFormat="1" ht="15.75" hidden="1" x14ac:dyDescent="0.25">
      <c r="A77" s="466" t="s">
        <v>248</v>
      </c>
      <c r="B77" s="462" t="s">
        <v>1323</v>
      </c>
      <c r="C77" s="469" t="s">
        <v>150</v>
      </c>
      <c r="D77" s="469" t="s">
        <v>238</v>
      </c>
      <c r="E77" s="469" t="s">
        <v>249</v>
      </c>
      <c r="F77" s="469"/>
      <c r="G77" s="10">
        <f>G78</f>
        <v>0</v>
      </c>
      <c r="H77" s="204"/>
    </row>
    <row r="78" spans="1:8" s="203" customFormat="1" ht="31.5" hidden="1" x14ac:dyDescent="0.25">
      <c r="A78" s="466" t="s">
        <v>250</v>
      </c>
      <c r="B78" s="462" t="s">
        <v>1323</v>
      </c>
      <c r="C78" s="469" t="s">
        <v>150</v>
      </c>
      <c r="D78" s="469" t="s">
        <v>238</v>
      </c>
      <c r="E78" s="469" t="s">
        <v>251</v>
      </c>
      <c r="F78" s="469"/>
      <c r="G78" s="10">
        <f>'Пр.4 ведом.21'!G305</f>
        <v>0</v>
      </c>
      <c r="H78" s="204"/>
    </row>
    <row r="79" spans="1:8" s="203" customFormat="1" ht="47.25" hidden="1" x14ac:dyDescent="0.25">
      <c r="A79" s="45" t="s">
        <v>261</v>
      </c>
      <c r="B79" s="462" t="s">
        <v>1323</v>
      </c>
      <c r="C79" s="469" t="s">
        <v>150</v>
      </c>
      <c r="D79" s="469" t="s">
        <v>238</v>
      </c>
      <c r="E79" s="469" t="s">
        <v>251</v>
      </c>
      <c r="F79" s="469" t="s">
        <v>627</v>
      </c>
      <c r="G79" s="10">
        <f>G78</f>
        <v>0</v>
      </c>
      <c r="H79" s="204"/>
    </row>
    <row r="80" spans="1:8" s="203" customFormat="1" ht="31.5" hidden="1" x14ac:dyDescent="0.25">
      <c r="A80" s="464" t="s">
        <v>1043</v>
      </c>
      <c r="B80" s="7" t="s">
        <v>1204</v>
      </c>
      <c r="C80" s="7"/>
      <c r="D80" s="7"/>
      <c r="E80" s="7"/>
      <c r="F80" s="7"/>
      <c r="G80" s="59">
        <f>G81</f>
        <v>0</v>
      </c>
      <c r="H80" s="204"/>
    </row>
    <row r="81" spans="1:8" s="203" customFormat="1" ht="15.75" hidden="1" x14ac:dyDescent="0.25">
      <c r="A81" s="45" t="s">
        <v>232</v>
      </c>
      <c r="B81" s="469" t="s">
        <v>1204</v>
      </c>
      <c r="C81" s="469" t="s">
        <v>150</v>
      </c>
      <c r="D81" s="469"/>
      <c r="E81" s="469"/>
      <c r="F81" s="469"/>
      <c r="G81" s="10">
        <f>G82</f>
        <v>0</v>
      </c>
      <c r="H81" s="204"/>
    </row>
    <row r="82" spans="1:8" s="203" customFormat="1" ht="15.75" hidden="1" x14ac:dyDescent="0.25">
      <c r="A82" s="45" t="s">
        <v>237</v>
      </c>
      <c r="B82" s="469" t="s">
        <v>1204</v>
      </c>
      <c r="C82" s="469" t="s">
        <v>150</v>
      </c>
      <c r="D82" s="469" t="s">
        <v>238</v>
      </c>
      <c r="E82" s="469"/>
      <c r="F82" s="469"/>
      <c r="G82" s="10">
        <f>G83</f>
        <v>0</v>
      </c>
      <c r="H82" s="204"/>
    </row>
    <row r="83" spans="1:8" s="203" customFormat="1" ht="110.25" hidden="1" x14ac:dyDescent="0.25">
      <c r="A83" s="466" t="s">
        <v>1517</v>
      </c>
      <c r="B83" s="462" t="s">
        <v>1205</v>
      </c>
      <c r="C83" s="469" t="s">
        <v>150</v>
      </c>
      <c r="D83" s="469" t="s">
        <v>238</v>
      </c>
      <c r="E83" s="469"/>
      <c r="F83" s="469"/>
      <c r="G83" s="10">
        <f>G84</f>
        <v>0</v>
      </c>
      <c r="H83" s="204"/>
    </row>
    <row r="84" spans="1:8" s="203" customFormat="1" ht="31.5" hidden="1" x14ac:dyDescent="0.25">
      <c r="A84" s="466" t="s">
        <v>272</v>
      </c>
      <c r="B84" s="462" t="s">
        <v>1205</v>
      </c>
      <c r="C84" s="469" t="s">
        <v>150</v>
      </c>
      <c r="D84" s="469" t="s">
        <v>238</v>
      </c>
      <c r="E84" s="469" t="s">
        <v>273</v>
      </c>
      <c r="F84" s="469"/>
      <c r="G84" s="10">
        <f>G85</f>
        <v>0</v>
      </c>
      <c r="H84" s="204"/>
    </row>
    <row r="85" spans="1:8" s="203" customFormat="1" ht="63" hidden="1" x14ac:dyDescent="0.25">
      <c r="A85" s="466" t="s">
        <v>1093</v>
      </c>
      <c r="B85" s="462" t="s">
        <v>1205</v>
      </c>
      <c r="C85" s="469" t="s">
        <v>150</v>
      </c>
      <c r="D85" s="469" t="s">
        <v>238</v>
      </c>
      <c r="E85" s="469" t="s">
        <v>372</v>
      </c>
      <c r="F85" s="469"/>
      <c r="G85" s="10">
        <f>'Пр.4 ведом.21'!G309</f>
        <v>0</v>
      </c>
      <c r="H85" s="204"/>
    </row>
    <row r="86" spans="1:8" s="203" customFormat="1" ht="47.25" hidden="1" x14ac:dyDescent="0.25">
      <c r="A86" s="45" t="s">
        <v>261</v>
      </c>
      <c r="B86" s="462" t="s">
        <v>1205</v>
      </c>
      <c r="C86" s="469" t="s">
        <v>150</v>
      </c>
      <c r="D86" s="469" t="s">
        <v>238</v>
      </c>
      <c r="E86" s="469" t="s">
        <v>372</v>
      </c>
      <c r="F86" s="469" t="s">
        <v>627</v>
      </c>
      <c r="G86" s="10">
        <f>G85</f>
        <v>0</v>
      </c>
      <c r="H86" s="204"/>
    </row>
    <row r="87" spans="1:8" s="203" customFormat="1" ht="31.5" hidden="1" x14ac:dyDescent="0.25">
      <c r="A87" s="464" t="s">
        <v>995</v>
      </c>
      <c r="B87" s="465" t="s">
        <v>1315</v>
      </c>
      <c r="C87" s="7"/>
      <c r="D87" s="7"/>
      <c r="E87" s="7"/>
      <c r="F87" s="7"/>
      <c r="G87" s="59">
        <f>G88</f>
        <v>0</v>
      </c>
      <c r="H87" s="204"/>
    </row>
    <row r="88" spans="1:8" s="203" customFormat="1" ht="15.75" hidden="1" x14ac:dyDescent="0.25">
      <c r="A88" s="45" t="s">
        <v>232</v>
      </c>
      <c r="B88" s="469" t="s">
        <v>1315</v>
      </c>
      <c r="C88" s="469" t="s">
        <v>150</v>
      </c>
      <c r="D88" s="469"/>
      <c r="E88" s="469"/>
      <c r="F88" s="469"/>
      <c r="G88" s="10">
        <f>G89</f>
        <v>0</v>
      </c>
      <c r="H88" s="204"/>
    </row>
    <row r="89" spans="1:8" s="203" customFormat="1" ht="15.75" hidden="1" x14ac:dyDescent="0.25">
      <c r="A89" s="45" t="s">
        <v>237</v>
      </c>
      <c r="B89" s="469" t="s">
        <v>1315</v>
      </c>
      <c r="C89" s="469" t="s">
        <v>150</v>
      </c>
      <c r="D89" s="469" t="s">
        <v>238</v>
      </c>
      <c r="E89" s="469"/>
      <c r="F89" s="469"/>
      <c r="G89" s="10">
        <f>G90</f>
        <v>0</v>
      </c>
      <c r="H89" s="204"/>
    </row>
    <row r="90" spans="1:8" s="203" customFormat="1" ht="31.5" hidden="1" x14ac:dyDescent="0.25">
      <c r="A90" s="249" t="s">
        <v>1046</v>
      </c>
      <c r="B90" s="462" t="s">
        <v>1316</v>
      </c>
      <c r="C90" s="469" t="s">
        <v>150</v>
      </c>
      <c r="D90" s="469" t="s">
        <v>238</v>
      </c>
      <c r="E90" s="469"/>
      <c r="F90" s="469"/>
      <c r="G90" s="10">
        <f>G91</f>
        <v>0</v>
      </c>
      <c r="H90" s="204"/>
    </row>
    <row r="91" spans="1:8" s="203" customFormat="1" ht="31.5" hidden="1" x14ac:dyDescent="0.25">
      <c r="A91" s="466" t="s">
        <v>131</v>
      </c>
      <c r="B91" s="462" t="s">
        <v>1316</v>
      </c>
      <c r="C91" s="469" t="s">
        <v>150</v>
      </c>
      <c r="D91" s="469" t="s">
        <v>238</v>
      </c>
      <c r="E91" s="469" t="s">
        <v>132</v>
      </c>
      <c r="F91" s="469"/>
      <c r="G91" s="10">
        <f>G92</f>
        <v>0</v>
      </c>
      <c r="H91" s="204"/>
    </row>
    <row r="92" spans="1:8" s="203" customFormat="1" ht="31.5" hidden="1" x14ac:dyDescent="0.25">
      <c r="A92" s="466" t="s">
        <v>133</v>
      </c>
      <c r="B92" s="462" t="s">
        <v>1316</v>
      </c>
      <c r="C92" s="469" t="s">
        <v>150</v>
      </c>
      <c r="D92" s="469" t="s">
        <v>238</v>
      </c>
      <c r="E92" s="469" t="s">
        <v>134</v>
      </c>
      <c r="F92" s="469"/>
      <c r="G92" s="10">
        <f>'Пр.4 ведом.21'!G313</f>
        <v>0</v>
      </c>
      <c r="H92" s="204"/>
    </row>
    <row r="93" spans="1:8" s="203" customFormat="1" ht="47.25" hidden="1" x14ac:dyDescent="0.25">
      <c r="A93" s="45" t="s">
        <v>261</v>
      </c>
      <c r="B93" s="462" t="s">
        <v>1316</v>
      </c>
      <c r="C93" s="469" t="s">
        <v>150</v>
      </c>
      <c r="D93" s="469" t="s">
        <v>238</v>
      </c>
      <c r="E93" s="469" t="s">
        <v>134</v>
      </c>
      <c r="F93" s="9" t="s">
        <v>627</v>
      </c>
      <c r="G93" s="10">
        <f>G92</f>
        <v>0</v>
      </c>
      <c r="H93" s="204"/>
    </row>
    <row r="94" spans="1:8" s="203" customFormat="1" ht="31.5" hidden="1" x14ac:dyDescent="0.25">
      <c r="A94" s="473" t="s">
        <v>1106</v>
      </c>
      <c r="B94" s="465" t="s">
        <v>1206</v>
      </c>
      <c r="C94" s="7"/>
      <c r="D94" s="7"/>
      <c r="E94" s="7"/>
      <c r="F94" s="7"/>
      <c r="G94" s="59">
        <f>G95</f>
        <v>0</v>
      </c>
      <c r="H94" s="204"/>
    </row>
    <row r="95" spans="1:8" s="203" customFormat="1" ht="15.75" hidden="1" x14ac:dyDescent="0.25">
      <c r="A95" s="45" t="s">
        <v>232</v>
      </c>
      <c r="B95" s="469" t="s">
        <v>1206</v>
      </c>
      <c r="C95" s="469" t="s">
        <v>150</v>
      </c>
      <c r="D95" s="469"/>
      <c r="E95" s="469"/>
      <c r="F95" s="469"/>
      <c r="G95" s="10">
        <f>G96</f>
        <v>0</v>
      </c>
      <c r="H95" s="204"/>
    </row>
    <row r="96" spans="1:8" s="203" customFormat="1" ht="15.75" hidden="1" x14ac:dyDescent="0.25">
      <c r="A96" s="45" t="s">
        <v>237</v>
      </c>
      <c r="B96" s="469" t="s">
        <v>1206</v>
      </c>
      <c r="C96" s="469" t="s">
        <v>150</v>
      </c>
      <c r="D96" s="469" t="s">
        <v>238</v>
      </c>
      <c r="E96" s="469"/>
      <c r="F96" s="469"/>
      <c r="G96" s="10">
        <f>G97</f>
        <v>0</v>
      </c>
      <c r="H96" s="204"/>
    </row>
    <row r="97" spans="1:8" s="203" customFormat="1" ht="31.5" hidden="1" x14ac:dyDescent="0.25">
      <c r="A97" s="230" t="s">
        <v>1409</v>
      </c>
      <c r="B97" s="462" t="s">
        <v>1207</v>
      </c>
      <c r="C97" s="469" t="s">
        <v>150</v>
      </c>
      <c r="D97" s="469" t="s">
        <v>238</v>
      </c>
      <c r="E97" s="469"/>
      <c r="F97" s="469"/>
      <c r="G97" s="10">
        <f>G98</f>
        <v>0</v>
      </c>
      <c r="H97" s="204"/>
    </row>
    <row r="98" spans="1:8" s="203" customFormat="1" ht="31.5" hidden="1" x14ac:dyDescent="0.25">
      <c r="A98" s="466" t="s">
        <v>131</v>
      </c>
      <c r="B98" s="462" t="s">
        <v>1207</v>
      </c>
      <c r="C98" s="469" t="s">
        <v>150</v>
      </c>
      <c r="D98" s="469" t="s">
        <v>238</v>
      </c>
      <c r="E98" s="469" t="s">
        <v>132</v>
      </c>
      <c r="F98" s="469"/>
      <c r="G98" s="10">
        <f>G99</f>
        <v>0</v>
      </c>
      <c r="H98" s="204"/>
    </row>
    <row r="99" spans="1:8" s="203" customFormat="1" ht="31.5" hidden="1" x14ac:dyDescent="0.25">
      <c r="A99" s="466" t="s">
        <v>133</v>
      </c>
      <c r="B99" s="462" t="s">
        <v>1207</v>
      </c>
      <c r="C99" s="469" t="s">
        <v>150</v>
      </c>
      <c r="D99" s="469" t="s">
        <v>238</v>
      </c>
      <c r="E99" s="469" t="s">
        <v>134</v>
      </c>
      <c r="F99" s="469"/>
      <c r="G99" s="10">
        <f>'Пр.4 ведом.21'!G317</f>
        <v>0</v>
      </c>
      <c r="H99" s="204"/>
    </row>
    <row r="100" spans="1:8" s="203" customFormat="1" ht="47.25" hidden="1" x14ac:dyDescent="0.25">
      <c r="A100" s="45" t="s">
        <v>261</v>
      </c>
      <c r="B100" s="462" t="s">
        <v>1207</v>
      </c>
      <c r="C100" s="469" t="s">
        <v>150</v>
      </c>
      <c r="D100" s="469" t="s">
        <v>238</v>
      </c>
      <c r="E100" s="469" t="s">
        <v>134</v>
      </c>
      <c r="F100" s="9" t="s">
        <v>627</v>
      </c>
      <c r="G100" s="10">
        <f>G99</f>
        <v>0</v>
      </c>
      <c r="H100" s="204"/>
    </row>
    <row r="101" spans="1:8" s="203" customFormat="1" ht="78.75" x14ac:dyDescent="0.25">
      <c r="A101" s="470" t="s">
        <v>1359</v>
      </c>
      <c r="B101" s="7" t="s">
        <v>359</v>
      </c>
      <c r="C101" s="7"/>
      <c r="D101" s="7"/>
      <c r="E101" s="7"/>
      <c r="F101" s="8"/>
      <c r="G101" s="59">
        <f>G102</f>
        <v>641.6</v>
      </c>
      <c r="H101" s="204"/>
    </row>
    <row r="102" spans="1:8" s="203" customFormat="1" ht="47.25" x14ac:dyDescent="0.25">
      <c r="A102" s="247" t="s">
        <v>1047</v>
      </c>
      <c r="B102" s="7" t="s">
        <v>909</v>
      </c>
      <c r="C102" s="7"/>
      <c r="D102" s="7"/>
      <c r="E102" s="7"/>
      <c r="F102" s="8"/>
      <c r="G102" s="59">
        <f>G103</f>
        <v>641.6</v>
      </c>
      <c r="H102" s="204"/>
    </row>
    <row r="103" spans="1:8" s="203" customFormat="1" ht="15.75" x14ac:dyDescent="0.25">
      <c r="A103" s="45" t="s">
        <v>117</v>
      </c>
      <c r="B103" s="469" t="s">
        <v>909</v>
      </c>
      <c r="C103" s="469" t="s">
        <v>118</v>
      </c>
      <c r="D103" s="469"/>
      <c r="E103" s="469"/>
      <c r="F103" s="9"/>
      <c r="G103" s="10">
        <f t="shared" ref="G103:G106" si="9">G104</f>
        <v>641.6</v>
      </c>
      <c r="H103" s="204"/>
    </row>
    <row r="104" spans="1:8" s="203" customFormat="1" ht="15.75" x14ac:dyDescent="0.25">
      <c r="A104" s="45" t="s">
        <v>139</v>
      </c>
      <c r="B104" s="469" t="s">
        <v>909</v>
      </c>
      <c r="C104" s="469" t="s">
        <v>118</v>
      </c>
      <c r="D104" s="469" t="s">
        <v>140</v>
      </c>
      <c r="E104" s="469"/>
      <c r="F104" s="9"/>
      <c r="G104" s="10">
        <f>G105+G109</f>
        <v>641.6</v>
      </c>
      <c r="H104" s="204"/>
    </row>
    <row r="105" spans="1:8" s="203" customFormat="1" ht="31.5" x14ac:dyDescent="0.25">
      <c r="A105" s="98" t="s">
        <v>1099</v>
      </c>
      <c r="B105" s="469" t="s">
        <v>1203</v>
      </c>
      <c r="C105" s="469" t="s">
        <v>118</v>
      </c>
      <c r="D105" s="469" t="s">
        <v>140</v>
      </c>
      <c r="E105" s="469"/>
      <c r="F105" s="9"/>
      <c r="G105" s="10">
        <f t="shared" si="9"/>
        <v>451</v>
      </c>
      <c r="H105" s="204"/>
    </row>
    <row r="106" spans="1:8" s="203" customFormat="1" ht="31.5" x14ac:dyDescent="0.25">
      <c r="A106" s="29" t="s">
        <v>131</v>
      </c>
      <c r="B106" s="469" t="s">
        <v>1203</v>
      </c>
      <c r="C106" s="469" t="s">
        <v>118</v>
      </c>
      <c r="D106" s="469" t="s">
        <v>140</v>
      </c>
      <c r="E106" s="469" t="s">
        <v>132</v>
      </c>
      <c r="F106" s="9"/>
      <c r="G106" s="10">
        <f t="shared" si="9"/>
        <v>451</v>
      </c>
      <c r="H106" s="204"/>
    </row>
    <row r="107" spans="1:8" s="203" customFormat="1" ht="31.5" x14ac:dyDescent="0.25">
      <c r="A107" s="29" t="s">
        <v>133</v>
      </c>
      <c r="B107" s="469" t="s">
        <v>1203</v>
      </c>
      <c r="C107" s="469" t="s">
        <v>118</v>
      </c>
      <c r="D107" s="469" t="s">
        <v>140</v>
      </c>
      <c r="E107" s="469" t="s">
        <v>134</v>
      </c>
      <c r="F107" s="9"/>
      <c r="G107" s="10">
        <f>'Пр.4 ведом.21'!G267</f>
        <v>451</v>
      </c>
      <c r="H107" s="204"/>
    </row>
    <row r="108" spans="1:8" s="203" customFormat="1" ht="47.25" x14ac:dyDescent="0.25">
      <c r="A108" s="45" t="s">
        <v>261</v>
      </c>
      <c r="B108" s="469" t="s">
        <v>1203</v>
      </c>
      <c r="C108" s="469" t="s">
        <v>118</v>
      </c>
      <c r="D108" s="469" t="s">
        <v>140</v>
      </c>
      <c r="E108" s="469" t="s">
        <v>134</v>
      </c>
      <c r="F108" s="9" t="s">
        <v>627</v>
      </c>
      <c r="G108" s="10">
        <f>G107</f>
        <v>451</v>
      </c>
      <c r="H108" s="204"/>
    </row>
    <row r="109" spans="1:8" s="434" customFormat="1" ht="31.5" x14ac:dyDescent="0.25">
      <c r="A109" s="45" t="s">
        <v>1638</v>
      </c>
      <c r="B109" s="469" t="s">
        <v>1678</v>
      </c>
      <c r="C109" s="469" t="s">
        <v>118</v>
      </c>
      <c r="D109" s="469" t="s">
        <v>140</v>
      </c>
      <c r="E109" s="469"/>
      <c r="F109" s="9"/>
      <c r="G109" s="10">
        <f>G110</f>
        <v>190.6</v>
      </c>
      <c r="H109" s="204"/>
    </row>
    <row r="110" spans="1:8" s="434" customFormat="1" ht="31.5" x14ac:dyDescent="0.25">
      <c r="A110" s="29" t="s">
        <v>131</v>
      </c>
      <c r="B110" s="469" t="s">
        <v>1678</v>
      </c>
      <c r="C110" s="469" t="s">
        <v>118</v>
      </c>
      <c r="D110" s="469" t="s">
        <v>140</v>
      </c>
      <c r="E110" s="469" t="s">
        <v>132</v>
      </c>
      <c r="F110" s="9"/>
      <c r="G110" s="10">
        <f>G111</f>
        <v>190.6</v>
      </c>
      <c r="H110" s="204"/>
    </row>
    <row r="111" spans="1:8" s="434" customFormat="1" ht="31.5" x14ac:dyDescent="0.25">
      <c r="A111" s="29" t="s">
        <v>133</v>
      </c>
      <c r="B111" s="469" t="s">
        <v>1678</v>
      </c>
      <c r="C111" s="469" t="s">
        <v>118</v>
      </c>
      <c r="D111" s="469" t="s">
        <v>140</v>
      </c>
      <c r="E111" s="469" t="s">
        <v>134</v>
      </c>
      <c r="F111" s="9"/>
      <c r="G111" s="10">
        <f>'Пр.4 ведом.21'!G270</f>
        <v>190.6</v>
      </c>
      <c r="H111" s="204"/>
    </row>
    <row r="112" spans="1:8" s="434" customFormat="1" ht="47.25" x14ac:dyDescent="0.25">
      <c r="A112" s="45" t="s">
        <v>261</v>
      </c>
      <c r="B112" s="469" t="s">
        <v>1678</v>
      </c>
      <c r="C112" s="469" t="s">
        <v>118</v>
      </c>
      <c r="D112" s="469" t="s">
        <v>140</v>
      </c>
      <c r="E112" s="469" t="s">
        <v>134</v>
      </c>
      <c r="F112" s="9" t="s">
        <v>627</v>
      </c>
      <c r="G112" s="10">
        <f>G111</f>
        <v>190.6</v>
      </c>
      <c r="H112" s="204"/>
    </row>
    <row r="113" spans="1:8" ht="39.200000000000003" customHeight="1" x14ac:dyDescent="0.25">
      <c r="A113" s="58" t="s">
        <v>629</v>
      </c>
      <c r="B113" s="7" t="s">
        <v>362</v>
      </c>
      <c r="C113" s="7"/>
      <c r="D113" s="7"/>
      <c r="E113" s="7"/>
      <c r="F113" s="7"/>
      <c r="G113" s="59">
        <f>G114+G124+G134</f>
        <v>1630.2</v>
      </c>
    </row>
    <row r="114" spans="1:8" s="203" customFormat="1" ht="31.5" x14ac:dyDescent="0.25">
      <c r="A114" s="464" t="s">
        <v>1040</v>
      </c>
      <c r="B114" s="465" t="s">
        <v>913</v>
      </c>
      <c r="C114" s="469"/>
      <c r="D114" s="469"/>
      <c r="E114" s="469"/>
      <c r="F114" s="469"/>
      <c r="G114" s="59">
        <f>G115</f>
        <v>1027.2</v>
      </c>
      <c r="H114" s="204"/>
    </row>
    <row r="115" spans="1:8" ht="15.75" x14ac:dyDescent="0.25">
      <c r="A115" s="45" t="s">
        <v>243</v>
      </c>
      <c r="B115" s="469" t="s">
        <v>913</v>
      </c>
      <c r="C115" s="469" t="s">
        <v>244</v>
      </c>
      <c r="D115" s="469"/>
      <c r="E115" s="469"/>
      <c r="F115" s="469"/>
      <c r="G115" s="10">
        <f t="shared" ref="G115:G121" si="10">G116</f>
        <v>1027.2</v>
      </c>
    </row>
    <row r="116" spans="1:8" ht="15.75" x14ac:dyDescent="0.25">
      <c r="A116" s="45" t="s">
        <v>252</v>
      </c>
      <c r="B116" s="469" t="s">
        <v>913</v>
      </c>
      <c r="C116" s="469" t="s">
        <v>244</v>
      </c>
      <c r="D116" s="469" t="s">
        <v>215</v>
      </c>
      <c r="E116" s="469"/>
      <c r="F116" s="469"/>
      <c r="G116" s="10">
        <f>G117</f>
        <v>1027.2</v>
      </c>
    </row>
    <row r="117" spans="1:8" ht="47.25" x14ac:dyDescent="0.25">
      <c r="A117" s="98" t="s">
        <v>1041</v>
      </c>
      <c r="B117" s="462" t="s">
        <v>1229</v>
      </c>
      <c r="C117" s="469" t="s">
        <v>244</v>
      </c>
      <c r="D117" s="469" t="s">
        <v>215</v>
      </c>
      <c r="E117" s="469"/>
      <c r="F117" s="469"/>
      <c r="G117" s="10">
        <f>G121+G118</f>
        <v>1027.2</v>
      </c>
    </row>
    <row r="118" spans="1:8" s="203" customFormat="1" ht="31.5" x14ac:dyDescent="0.25">
      <c r="A118" s="29" t="s">
        <v>131</v>
      </c>
      <c r="B118" s="462" t="s">
        <v>1229</v>
      </c>
      <c r="C118" s="469" t="s">
        <v>244</v>
      </c>
      <c r="D118" s="469" t="s">
        <v>215</v>
      </c>
      <c r="E118" s="469" t="s">
        <v>132</v>
      </c>
      <c r="F118" s="469"/>
      <c r="G118" s="10">
        <f>G119</f>
        <v>529.20000000000005</v>
      </c>
      <c r="H118" s="204"/>
    </row>
    <row r="119" spans="1:8" s="203" customFormat="1" ht="31.5" x14ac:dyDescent="0.25">
      <c r="A119" s="29" t="s">
        <v>133</v>
      </c>
      <c r="B119" s="462" t="s">
        <v>1229</v>
      </c>
      <c r="C119" s="469" t="s">
        <v>244</v>
      </c>
      <c r="D119" s="469" t="s">
        <v>215</v>
      </c>
      <c r="E119" s="469" t="s">
        <v>134</v>
      </c>
      <c r="F119" s="469"/>
      <c r="G119" s="10">
        <f>'Пр.4 ведом.21'!G515</f>
        <v>529.20000000000005</v>
      </c>
      <c r="H119" s="204"/>
    </row>
    <row r="120" spans="1:8" s="203" customFormat="1" ht="47.25" x14ac:dyDescent="0.25">
      <c r="A120" s="45" t="s">
        <v>261</v>
      </c>
      <c r="B120" s="462" t="s">
        <v>1229</v>
      </c>
      <c r="C120" s="469" t="s">
        <v>244</v>
      </c>
      <c r="D120" s="469" t="s">
        <v>215</v>
      </c>
      <c r="E120" s="469" t="s">
        <v>134</v>
      </c>
      <c r="F120" s="469" t="s">
        <v>627</v>
      </c>
      <c r="G120" s="10">
        <f>G119</f>
        <v>529.20000000000005</v>
      </c>
      <c r="H120" s="204"/>
    </row>
    <row r="121" spans="1:8" ht="15.75" x14ac:dyDescent="0.25">
      <c r="A121" s="466" t="s">
        <v>248</v>
      </c>
      <c r="B121" s="462" t="s">
        <v>1229</v>
      </c>
      <c r="C121" s="469" t="s">
        <v>244</v>
      </c>
      <c r="D121" s="469" t="s">
        <v>215</v>
      </c>
      <c r="E121" s="469" t="s">
        <v>249</v>
      </c>
      <c r="F121" s="469"/>
      <c r="G121" s="10">
        <f t="shared" si="10"/>
        <v>497.99999999999994</v>
      </c>
    </row>
    <row r="122" spans="1:8" ht="31.5" x14ac:dyDescent="0.25">
      <c r="A122" s="466" t="s">
        <v>348</v>
      </c>
      <c r="B122" s="462" t="s">
        <v>1229</v>
      </c>
      <c r="C122" s="469" t="s">
        <v>244</v>
      </c>
      <c r="D122" s="469" t="s">
        <v>215</v>
      </c>
      <c r="E122" s="469" t="s">
        <v>349</v>
      </c>
      <c r="F122" s="469"/>
      <c r="G122" s="10">
        <f>'Пр.4 ведом.21'!G517</f>
        <v>497.99999999999994</v>
      </c>
    </row>
    <row r="123" spans="1:8" ht="47.25" x14ac:dyDescent="0.25">
      <c r="A123" s="45" t="s">
        <v>261</v>
      </c>
      <c r="B123" s="462" t="s">
        <v>1229</v>
      </c>
      <c r="C123" s="469" t="s">
        <v>244</v>
      </c>
      <c r="D123" s="469" t="s">
        <v>215</v>
      </c>
      <c r="E123" s="469" t="s">
        <v>349</v>
      </c>
      <c r="F123" s="469" t="s">
        <v>627</v>
      </c>
      <c r="G123" s="10">
        <f>G122</f>
        <v>497.99999999999994</v>
      </c>
    </row>
    <row r="124" spans="1:8" s="203" customFormat="1" ht="31.5" x14ac:dyDescent="0.25">
      <c r="A124" s="464" t="s">
        <v>1410</v>
      </c>
      <c r="B124" s="465" t="s">
        <v>1231</v>
      </c>
      <c r="C124" s="7"/>
      <c r="D124" s="7"/>
      <c r="E124" s="7"/>
      <c r="F124" s="7"/>
      <c r="G124" s="59">
        <f>G125</f>
        <v>205</v>
      </c>
      <c r="H124" s="204"/>
    </row>
    <row r="125" spans="1:8" s="203" customFormat="1" ht="15.75" x14ac:dyDescent="0.25">
      <c r="A125" s="45" t="s">
        <v>243</v>
      </c>
      <c r="B125" s="469" t="s">
        <v>1231</v>
      </c>
      <c r="C125" s="469" t="s">
        <v>244</v>
      </c>
      <c r="D125" s="469"/>
      <c r="E125" s="469"/>
      <c r="F125" s="469"/>
      <c r="G125" s="10">
        <f t="shared" ref="G125" si="11">G126</f>
        <v>205</v>
      </c>
      <c r="H125" s="204"/>
    </row>
    <row r="126" spans="1:8" s="203" customFormat="1" ht="15.75" x14ac:dyDescent="0.25">
      <c r="A126" s="45" t="s">
        <v>252</v>
      </c>
      <c r="B126" s="469" t="s">
        <v>1231</v>
      </c>
      <c r="C126" s="469" t="s">
        <v>244</v>
      </c>
      <c r="D126" s="469" t="s">
        <v>215</v>
      </c>
      <c r="E126" s="469"/>
      <c r="F126" s="469"/>
      <c r="G126" s="10">
        <f>G127</f>
        <v>205</v>
      </c>
      <c r="H126" s="204"/>
    </row>
    <row r="127" spans="1:8" s="203" customFormat="1" ht="31.5" x14ac:dyDescent="0.25">
      <c r="A127" s="466" t="s">
        <v>1230</v>
      </c>
      <c r="B127" s="462" t="s">
        <v>1232</v>
      </c>
      <c r="C127" s="469" t="s">
        <v>244</v>
      </c>
      <c r="D127" s="469" t="s">
        <v>215</v>
      </c>
      <c r="E127" s="469"/>
      <c r="F127" s="469"/>
      <c r="G127" s="10">
        <f>G128+G131</f>
        <v>205</v>
      </c>
      <c r="H127" s="204"/>
    </row>
    <row r="128" spans="1:8" s="203" customFormat="1" ht="31.5" hidden="1" x14ac:dyDescent="0.25">
      <c r="A128" s="466" t="s">
        <v>131</v>
      </c>
      <c r="B128" s="462" t="s">
        <v>1232</v>
      </c>
      <c r="C128" s="469" t="s">
        <v>244</v>
      </c>
      <c r="D128" s="469" t="s">
        <v>215</v>
      </c>
      <c r="E128" s="469" t="s">
        <v>132</v>
      </c>
      <c r="F128" s="469"/>
      <c r="G128" s="10">
        <f>G129</f>
        <v>0</v>
      </c>
      <c r="H128" s="204"/>
    </row>
    <row r="129" spans="1:8" s="203" customFormat="1" ht="31.5" hidden="1" x14ac:dyDescent="0.25">
      <c r="A129" s="466" t="s">
        <v>133</v>
      </c>
      <c r="B129" s="462" t="s">
        <v>1232</v>
      </c>
      <c r="C129" s="469" t="s">
        <v>244</v>
      </c>
      <c r="D129" s="469" t="s">
        <v>215</v>
      </c>
      <c r="E129" s="469" t="s">
        <v>134</v>
      </c>
      <c r="F129" s="469"/>
      <c r="G129" s="10">
        <f>'Пр.4 ведом.21'!G521</f>
        <v>0</v>
      </c>
      <c r="H129" s="204"/>
    </row>
    <row r="130" spans="1:8" s="203" customFormat="1" ht="47.25" hidden="1" x14ac:dyDescent="0.25">
      <c r="A130" s="45" t="s">
        <v>261</v>
      </c>
      <c r="B130" s="462" t="s">
        <v>1232</v>
      </c>
      <c r="C130" s="469" t="s">
        <v>244</v>
      </c>
      <c r="D130" s="469" t="s">
        <v>215</v>
      </c>
      <c r="E130" s="469" t="s">
        <v>134</v>
      </c>
      <c r="F130" s="469" t="s">
        <v>627</v>
      </c>
      <c r="G130" s="10">
        <f>G129</f>
        <v>0</v>
      </c>
      <c r="H130" s="204"/>
    </row>
    <row r="131" spans="1:8" s="203" customFormat="1" ht="15.75" x14ac:dyDescent="0.25">
      <c r="A131" s="466" t="s">
        <v>248</v>
      </c>
      <c r="B131" s="462" t="s">
        <v>1232</v>
      </c>
      <c r="C131" s="469" t="s">
        <v>244</v>
      </c>
      <c r="D131" s="469" t="s">
        <v>215</v>
      </c>
      <c r="E131" s="469" t="s">
        <v>249</v>
      </c>
      <c r="F131" s="469"/>
      <c r="G131" s="10">
        <f>G132</f>
        <v>205</v>
      </c>
      <c r="H131" s="204"/>
    </row>
    <row r="132" spans="1:8" s="203" customFormat="1" ht="31.5" x14ac:dyDescent="0.25">
      <c r="A132" s="466" t="s">
        <v>348</v>
      </c>
      <c r="B132" s="462" t="s">
        <v>1232</v>
      </c>
      <c r="C132" s="469" t="s">
        <v>244</v>
      </c>
      <c r="D132" s="469" t="s">
        <v>215</v>
      </c>
      <c r="E132" s="469" t="s">
        <v>349</v>
      </c>
      <c r="F132" s="469"/>
      <c r="G132" s="10">
        <f>'Пр.4 ведом.21'!G523</f>
        <v>205</v>
      </c>
      <c r="H132" s="204"/>
    </row>
    <row r="133" spans="1:8" s="203" customFormat="1" ht="47.25" x14ac:dyDescent="0.25">
      <c r="A133" s="45" t="s">
        <v>261</v>
      </c>
      <c r="B133" s="462" t="s">
        <v>1232</v>
      </c>
      <c r="C133" s="469" t="s">
        <v>244</v>
      </c>
      <c r="D133" s="469" t="s">
        <v>215</v>
      </c>
      <c r="E133" s="469" t="s">
        <v>349</v>
      </c>
      <c r="F133" s="469" t="s">
        <v>627</v>
      </c>
      <c r="G133" s="10">
        <f>G132</f>
        <v>205</v>
      </c>
      <c r="H133" s="204"/>
    </row>
    <row r="134" spans="1:8" s="203" customFormat="1" ht="31.5" x14ac:dyDescent="0.25">
      <c r="A134" s="464" t="s">
        <v>997</v>
      </c>
      <c r="B134" s="465" t="s">
        <v>1226</v>
      </c>
      <c r="C134" s="7"/>
      <c r="D134" s="7"/>
      <c r="E134" s="7"/>
      <c r="F134" s="7"/>
      <c r="G134" s="59">
        <f>G141+G135</f>
        <v>398</v>
      </c>
      <c r="H134" s="204"/>
    </row>
    <row r="135" spans="1:8" s="203" customFormat="1" ht="15.75" x14ac:dyDescent="0.25">
      <c r="A135" s="466" t="s">
        <v>298</v>
      </c>
      <c r="B135" s="462" t="s">
        <v>1226</v>
      </c>
      <c r="C135" s="469" t="s">
        <v>299</v>
      </c>
      <c r="D135" s="469"/>
      <c r="E135" s="7"/>
      <c r="F135" s="7"/>
      <c r="G135" s="10">
        <f>G136</f>
        <v>178</v>
      </c>
      <c r="H135" s="204"/>
    </row>
    <row r="136" spans="1:8" s="203" customFormat="1" ht="15.75" x14ac:dyDescent="0.25">
      <c r="A136" s="466" t="s">
        <v>300</v>
      </c>
      <c r="B136" s="462" t="s">
        <v>1226</v>
      </c>
      <c r="C136" s="469" t="s">
        <v>299</v>
      </c>
      <c r="D136" s="469" t="s">
        <v>150</v>
      </c>
      <c r="E136" s="7"/>
      <c r="F136" s="7"/>
      <c r="G136" s="10">
        <f>G137</f>
        <v>178</v>
      </c>
      <c r="H136" s="204"/>
    </row>
    <row r="137" spans="1:8" s="203" customFormat="1" ht="31.5" x14ac:dyDescent="0.25">
      <c r="A137" s="466" t="s">
        <v>996</v>
      </c>
      <c r="B137" s="462" t="s">
        <v>1227</v>
      </c>
      <c r="C137" s="469" t="s">
        <v>299</v>
      </c>
      <c r="D137" s="469" t="s">
        <v>150</v>
      </c>
      <c r="E137" s="7"/>
      <c r="F137" s="7"/>
      <c r="G137" s="10">
        <f>G138</f>
        <v>178</v>
      </c>
      <c r="H137" s="204"/>
    </row>
    <row r="138" spans="1:8" s="203" customFormat="1" ht="31.5" x14ac:dyDescent="0.25">
      <c r="A138" s="466" t="s">
        <v>131</v>
      </c>
      <c r="B138" s="462" t="s">
        <v>1227</v>
      </c>
      <c r="C138" s="469" t="s">
        <v>299</v>
      </c>
      <c r="D138" s="469" t="s">
        <v>150</v>
      </c>
      <c r="E138" s="469" t="s">
        <v>132</v>
      </c>
      <c r="F138" s="469"/>
      <c r="G138" s="10">
        <f>G139</f>
        <v>178</v>
      </c>
      <c r="H138" s="204"/>
    </row>
    <row r="139" spans="1:8" s="203" customFormat="1" ht="31.5" x14ac:dyDescent="0.25">
      <c r="A139" s="466" t="s">
        <v>133</v>
      </c>
      <c r="B139" s="462" t="s">
        <v>1227</v>
      </c>
      <c r="C139" s="469" t="s">
        <v>299</v>
      </c>
      <c r="D139" s="469" t="s">
        <v>150</v>
      </c>
      <c r="E139" s="469" t="s">
        <v>134</v>
      </c>
      <c r="F139" s="469"/>
      <c r="G139" s="10">
        <f>'Пр.4 ведом.21'!G497</f>
        <v>178</v>
      </c>
      <c r="H139" s="204"/>
    </row>
    <row r="140" spans="1:8" s="203" customFormat="1" ht="47.25" x14ac:dyDescent="0.25">
      <c r="A140" s="45" t="s">
        <v>261</v>
      </c>
      <c r="B140" s="462" t="s">
        <v>1227</v>
      </c>
      <c r="C140" s="469" t="s">
        <v>299</v>
      </c>
      <c r="D140" s="469" t="s">
        <v>150</v>
      </c>
      <c r="E140" s="469" t="s">
        <v>134</v>
      </c>
      <c r="F140" s="469" t="s">
        <v>627</v>
      </c>
      <c r="G140" s="10">
        <f>G139</f>
        <v>178</v>
      </c>
      <c r="H140" s="204"/>
    </row>
    <row r="141" spans="1:8" s="203" customFormat="1" ht="15.75" x14ac:dyDescent="0.25">
      <c r="A141" s="45" t="s">
        <v>243</v>
      </c>
      <c r="B141" s="462" t="s">
        <v>1226</v>
      </c>
      <c r="C141" s="469" t="s">
        <v>244</v>
      </c>
      <c r="D141" s="469"/>
      <c r="E141" s="469"/>
      <c r="F141" s="469"/>
      <c r="G141" s="10">
        <f>G142</f>
        <v>220</v>
      </c>
      <c r="H141" s="204"/>
    </row>
    <row r="142" spans="1:8" s="203" customFormat="1" ht="15.75" x14ac:dyDescent="0.25">
      <c r="A142" s="45" t="s">
        <v>252</v>
      </c>
      <c r="B142" s="462" t="s">
        <v>1226</v>
      </c>
      <c r="C142" s="469" t="s">
        <v>244</v>
      </c>
      <c r="D142" s="469" t="s">
        <v>215</v>
      </c>
      <c r="E142" s="469"/>
      <c r="F142" s="469"/>
      <c r="G142" s="10">
        <f>G143</f>
        <v>220</v>
      </c>
      <c r="H142" s="204"/>
    </row>
    <row r="143" spans="1:8" s="203" customFormat="1" ht="15.75" x14ac:dyDescent="0.25">
      <c r="A143" s="466" t="s">
        <v>1038</v>
      </c>
      <c r="B143" s="462" t="s">
        <v>1228</v>
      </c>
      <c r="C143" s="469" t="s">
        <v>244</v>
      </c>
      <c r="D143" s="469" t="s">
        <v>215</v>
      </c>
      <c r="E143" s="469"/>
      <c r="F143" s="469"/>
      <c r="G143" s="10">
        <f>G144</f>
        <v>220</v>
      </c>
      <c r="H143" s="204"/>
    </row>
    <row r="144" spans="1:8" s="203" customFormat="1" ht="15.75" x14ac:dyDescent="0.25">
      <c r="A144" s="466" t="s">
        <v>248</v>
      </c>
      <c r="B144" s="462" t="s">
        <v>1228</v>
      </c>
      <c r="C144" s="469" t="s">
        <v>244</v>
      </c>
      <c r="D144" s="469" t="s">
        <v>215</v>
      </c>
      <c r="E144" s="469" t="s">
        <v>249</v>
      </c>
      <c r="F144" s="469"/>
      <c r="G144" s="10">
        <f>G145</f>
        <v>220</v>
      </c>
      <c r="H144" s="204"/>
    </row>
    <row r="145" spans="1:11" s="203" customFormat="1" ht="31.5" x14ac:dyDescent="0.25">
      <c r="A145" s="466" t="s">
        <v>348</v>
      </c>
      <c r="B145" s="462" t="s">
        <v>1228</v>
      </c>
      <c r="C145" s="469" t="s">
        <v>244</v>
      </c>
      <c r="D145" s="469" t="s">
        <v>215</v>
      </c>
      <c r="E145" s="469" t="s">
        <v>349</v>
      </c>
      <c r="F145" s="469"/>
      <c r="G145" s="10">
        <f>'Пр.4 ведом.21'!G527</f>
        <v>220</v>
      </c>
      <c r="H145" s="204"/>
    </row>
    <row r="146" spans="1:11" s="203" customFormat="1" ht="47.25" x14ac:dyDescent="0.25">
      <c r="A146" s="45" t="s">
        <v>261</v>
      </c>
      <c r="B146" s="462" t="s">
        <v>1228</v>
      </c>
      <c r="C146" s="469" t="s">
        <v>244</v>
      </c>
      <c r="D146" s="469" t="s">
        <v>215</v>
      </c>
      <c r="E146" s="469" t="s">
        <v>349</v>
      </c>
      <c r="F146" s="469" t="s">
        <v>627</v>
      </c>
      <c r="G146" s="10">
        <f>G145</f>
        <v>220</v>
      </c>
      <c r="H146" s="204"/>
    </row>
    <row r="147" spans="1:11" ht="31.5" x14ac:dyDescent="0.25">
      <c r="A147" s="58" t="s">
        <v>1369</v>
      </c>
      <c r="B147" s="7" t="s">
        <v>406</v>
      </c>
      <c r="C147" s="7"/>
      <c r="D147" s="7"/>
      <c r="E147" s="7"/>
      <c r="F147" s="7"/>
      <c r="G147" s="59">
        <f>G148+G173+G230+G263+G270+G299+G306+G313+G320+G327+G381+G334+G341+G388+G348+G355+G367+G374</f>
        <v>354344.60000000003</v>
      </c>
      <c r="H147" s="204">
        <v>269740.2</v>
      </c>
      <c r="I147" s="22">
        <f>H147-G147</f>
        <v>-84604.400000000023</v>
      </c>
      <c r="K147" s="231"/>
    </row>
    <row r="148" spans="1:11" s="203" customFormat="1" ht="31.5" x14ac:dyDescent="0.25">
      <c r="A148" s="464" t="s">
        <v>937</v>
      </c>
      <c r="B148" s="465" t="s">
        <v>1235</v>
      </c>
      <c r="C148" s="7"/>
      <c r="D148" s="7"/>
      <c r="E148" s="7"/>
      <c r="F148" s="7"/>
      <c r="G148" s="59">
        <f>G149+G156+G160</f>
        <v>85038.938000000009</v>
      </c>
      <c r="H148" s="204"/>
    </row>
    <row r="149" spans="1:11" ht="15.75" x14ac:dyDescent="0.25">
      <c r="A149" s="29" t="s">
        <v>263</v>
      </c>
      <c r="B149" s="469" t="s">
        <v>1235</v>
      </c>
      <c r="C149" s="469" t="s">
        <v>264</v>
      </c>
      <c r="D149" s="469"/>
      <c r="E149" s="469"/>
      <c r="F149" s="469"/>
      <c r="G149" s="10">
        <f>G150</f>
        <v>14804.1</v>
      </c>
    </row>
    <row r="150" spans="1:11" ht="15.75" x14ac:dyDescent="0.25">
      <c r="A150" s="45" t="s">
        <v>404</v>
      </c>
      <c r="B150" s="469" t="s">
        <v>1235</v>
      </c>
      <c r="C150" s="469" t="s">
        <v>264</v>
      </c>
      <c r="D150" s="469" t="s">
        <v>118</v>
      </c>
      <c r="E150" s="469"/>
      <c r="F150" s="469"/>
      <c r="G150" s="10">
        <f>G151</f>
        <v>14804.1</v>
      </c>
    </row>
    <row r="151" spans="1:11" ht="31.5" x14ac:dyDescent="0.25">
      <c r="A151" s="466" t="s">
        <v>1234</v>
      </c>
      <c r="B151" s="462" t="s">
        <v>1236</v>
      </c>
      <c r="C151" s="469" t="s">
        <v>264</v>
      </c>
      <c r="D151" s="469" t="s">
        <v>118</v>
      </c>
      <c r="E151" s="469"/>
      <c r="F151" s="469"/>
      <c r="G151" s="10">
        <f t="shared" ref="G151:G152" si="12">G152</f>
        <v>14804.1</v>
      </c>
    </row>
    <row r="152" spans="1:11" ht="31.5" x14ac:dyDescent="0.25">
      <c r="A152" s="466" t="s">
        <v>272</v>
      </c>
      <c r="B152" s="462" t="s">
        <v>1236</v>
      </c>
      <c r="C152" s="469" t="s">
        <v>264</v>
      </c>
      <c r="D152" s="469" t="s">
        <v>118</v>
      </c>
      <c r="E152" s="469" t="s">
        <v>273</v>
      </c>
      <c r="F152" s="469"/>
      <c r="G152" s="10">
        <f t="shared" si="12"/>
        <v>14804.1</v>
      </c>
    </row>
    <row r="153" spans="1:11" ht="15.75" x14ac:dyDescent="0.25">
      <c r="A153" s="466" t="s">
        <v>274</v>
      </c>
      <c r="B153" s="462" t="s">
        <v>1236</v>
      </c>
      <c r="C153" s="469" t="s">
        <v>264</v>
      </c>
      <c r="D153" s="469" t="s">
        <v>118</v>
      </c>
      <c r="E153" s="469" t="s">
        <v>275</v>
      </c>
      <c r="F153" s="469"/>
      <c r="G153" s="459">
        <f>'Пр.4 ведом.21'!G635</f>
        <v>14804.1</v>
      </c>
    </row>
    <row r="154" spans="1:11" s="203" customFormat="1" ht="31.5" x14ac:dyDescent="0.25">
      <c r="A154" s="29" t="s">
        <v>403</v>
      </c>
      <c r="B154" s="462" t="s">
        <v>1236</v>
      </c>
      <c r="C154" s="469" t="s">
        <v>264</v>
      </c>
      <c r="D154" s="469" t="s">
        <v>118</v>
      </c>
      <c r="E154" s="469" t="s">
        <v>275</v>
      </c>
      <c r="F154" s="469" t="s">
        <v>636</v>
      </c>
      <c r="G154" s="10">
        <f>G153</f>
        <v>14804.1</v>
      </c>
      <c r="H154" s="204"/>
    </row>
    <row r="155" spans="1:11" s="203" customFormat="1" ht="15.75" x14ac:dyDescent="0.25">
      <c r="A155" s="29" t="s">
        <v>425</v>
      </c>
      <c r="B155" s="469" t="s">
        <v>1235</v>
      </c>
      <c r="C155" s="469" t="s">
        <v>264</v>
      </c>
      <c r="D155" s="469" t="s">
        <v>213</v>
      </c>
      <c r="E155" s="469"/>
      <c r="F155" s="469"/>
      <c r="G155" s="10">
        <f>G156</f>
        <v>31403.812999999998</v>
      </c>
      <c r="H155" s="204"/>
    </row>
    <row r="156" spans="1:11" s="203" customFormat="1" ht="31.5" x14ac:dyDescent="0.25">
      <c r="A156" s="466" t="s">
        <v>427</v>
      </c>
      <c r="B156" s="462" t="s">
        <v>1254</v>
      </c>
      <c r="C156" s="469" t="s">
        <v>264</v>
      </c>
      <c r="D156" s="469" t="s">
        <v>213</v>
      </c>
      <c r="E156" s="469"/>
      <c r="F156" s="469"/>
      <c r="G156" s="459">
        <f>G157</f>
        <v>31403.812999999998</v>
      </c>
      <c r="H156" s="204"/>
    </row>
    <row r="157" spans="1:11" s="203" customFormat="1" ht="31.5" x14ac:dyDescent="0.25">
      <c r="A157" s="466" t="s">
        <v>272</v>
      </c>
      <c r="B157" s="462" t="s">
        <v>1254</v>
      </c>
      <c r="C157" s="469" t="s">
        <v>264</v>
      </c>
      <c r="D157" s="469" t="s">
        <v>213</v>
      </c>
      <c r="E157" s="469" t="s">
        <v>273</v>
      </c>
      <c r="F157" s="469"/>
      <c r="G157" s="459">
        <f>G158</f>
        <v>31403.812999999998</v>
      </c>
      <c r="H157" s="204"/>
    </row>
    <row r="158" spans="1:11" s="203" customFormat="1" ht="15.75" x14ac:dyDescent="0.25">
      <c r="A158" s="466" t="s">
        <v>274</v>
      </c>
      <c r="B158" s="462" t="s">
        <v>1254</v>
      </c>
      <c r="C158" s="469" t="s">
        <v>264</v>
      </c>
      <c r="D158" s="469" t="s">
        <v>213</v>
      </c>
      <c r="E158" s="469" t="s">
        <v>275</v>
      </c>
      <c r="F158" s="469"/>
      <c r="G158" s="459">
        <f>'Пр.4 ведом.21'!G703</f>
        <v>31403.812999999998</v>
      </c>
      <c r="H158" s="204"/>
    </row>
    <row r="159" spans="1:11" s="203" customFormat="1" ht="31.5" x14ac:dyDescent="0.25">
      <c r="A159" s="29" t="s">
        <v>403</v>
      </c>
      <c r="B159" s="462" t="s">
        <v>1254</v>
      </c>
      <c r="C159" s="469" t="s">
        <v>264</v>
      </c>
      <c r="D159" s="469" t="s">
        <v>213</v>
      </c>
      <c r="E159" s="469" t="s">
        <v>275</v>
      </c>
      <c r="F159" s="469" t="s">
        <v>636</v>
      </c>
      <c r="G159" s="10">
        <f>G158</f>
        <v>31403.812999999998</v>
      </c>
      <c r="H159" s="204"/>
    </row>
    <row r="160" spans="1:11" s="203" customFormat="1" ht="15.75" x14ac:dyDescent="0.25">
      <c r="A160" s="29" t="s">
        <v>265</v>
      </c>
      <c r="B160" s="469" t="s">
        <v>1235</v>
      </c>
      <c r="C160" s="469" t="s">
        <v>264</v>
      </c>
      <c r="D160" s="469" t="s">
        <v>215</v>
      </c>
      <c r="E160" s="469"/>
      <c r="F160" s="469"/>
      <c r="G160" s="459">
        <f>G161+G169+G165</f>
        <v>38831.025000000009</v>
      </c>
      <c r="H160" s="204"/>
    </row>
    <row r="161" spans="1:10" s="203" customFormat="1" ht="47.25" x14ac:dyDescent="0.25">
      <c r="A161" s="29" t="s">
        <v>270</v>
      </c>
      <c r="B161" s="462" t="s">
        <v>1265</v>
      </c>
      <c r="C161" s="469" t="s">
        <v>264</v>
      </c>
      <c r="D161" s="469" t="s">
        <v>215</v>
      </c>
      <c r="E161" s="7"/>
      <c r="F161" s="7"/>
      <c r="G161" s="10">
        <f t="shared" ref="G161:G162" si="13">G162</f>
        <v>14825.625</v>
      </c>
      <c r="H161" s="204"/>
    </row>
    <row r="162" spans="1:10" s="203" customFormat="1" ht="31.5" x14ac:dyDescent="0.25">
      <c r="A162" s="29" t="s">
        <v>272</v>
      </c>
      <c r="B162" s="462" t="s">
        <v>1265</v>
      </c>
      <c r="C162" s="469" t="s">
        <v>264</v>
      </c>
      <c r="D162" s="469" t="s">
        <v>215</v>
      </c>
      <c r="E162" s="469" t="s">
        <v>273</v>
      </c>
      <c r="F162" s="469"/>
      <c r="G162" s="10">
        <f t="shared" si="13"/>
        <v>14825.625</v>
      </c>
      <c r="H162" s="204"/>
    </row>
    <row r="163" spans="1:10" s="203" customFormat="1" ht="15.75" x14ac:dyDescent="0.25">
      <c r="A163" s="29" t="s">
        <v>274</v>
      </c>
      <c r="B163" s="462" t="s">
        <v>1265</v>
      </c>
      <c r="C163" s="469" t="s">
        <v>264</v>
      </c>
      <c r="D163" s="469" t="s">
        <v>215</v>
      </c>
      <c r="E163" s="469" t="s">
        <v>275</v>
      </c>
      <c r="F163" s="469"/>
      <c r="G163" s="459">
        <f>'Пр.4 ведом.21'!G794</f>
        <v>14825.625</v>
      </c>
      <c r="H163" s="204"/>
    </row>
    <row r="164" spans="1:10" s="203" customFormat="1" ht="31.5" x14ac:dyDescent="0.25">
      <c r="A164" s="29" t="s">
        <v>403</v>
      </c>
      <c r="B164" s="462" t="s">
        <v>1265</v>
      </c>
      <c r="C164" s="469" t="s">
        <v>264</v>
      </c>
      <c r="D164" s="469" t="s">
        <v>215</v>
      </c>
      <c r="E164" s="469" t="s">
        <v>275</v>
      </c>
      <c r="F164" s="469" t="s">
        <v>636</v>
      </c>
      <c r="G164" s="10">
        <f>G163</f>
        <v>14825.625</v>
      </c>
      <c r="H164" s="204"/>
    </row>
    <row r="165" spans="1:10" s="457" customFormat="1" ht="47.25" x14ac:dyDescent="0.25">
      <c r="A165" s="466" t="s">
        <v>1776</v>
      </c>
      <c r="B165" s="462" t="s">
        <v>1780</v>
      </c>
      <c r="C165" s="469" t="s">
        <v>264</v>
      </c>
      <c r="D165" s="469" t="s">
        <v>215</v>
      </c>
      <c r="E165" s="469"/>
      <c r="F165" s="469"/>
      <c r="G165" s="10">
        <f>G166</f>
        <v>267.8</v>
      </c>
      <c r="H165" s="204"/>
    </row>
    <row r="166" spans="1:10" s="457" customFormat="1" ht="31.5" x14ac:dyDescent="0.25">
      <c r="A166" s="466" t="s">
        <v>272</v>
      </c>
      <c r="B166" s="462" t="s">
        <v>1780</v>
      </c>
      <c r="C166" s="469" t="s">
        <v>264</v>
      </c>
      <c r="D166" s="469" t="s">
        <v>215</v>
      </c>
      <c r="E166" s="469" t="s">
        <v>273</v>
      </c>
      <c r="F166" s="469"/>
      <c r="G166" s="10">
        <f>G167</f>
        <v>267.8</v>
      </c>
      <c r="H166" s="204"/>
    </row>
    <row r="167" spans="1:10" s="457" customFormat="1" ht="15.75" x14ac:dyDescent="0.25">
      <c r="A167" s="466" t="s">
        <v>274</v>
      </c>
      <c r="B167" s="462" t="s">
        <v>1780</v>
      </c>
      <c r="C167" s="469" t="s">
        <v>264</v>
      </c>
      <c r="D167" s="469" t="s">
        <v>215</v>
      </c>
      <c r="E167" s="469" t="s">
        <v>275</v>
      </c>
      <c r="F167" s="469"/>
      <c r="G167" s="10">
        <f>'Пр.4 ведом.21'!G797</f>
        <v>267.8</v>
      </c>
      <c r="H167" s="204"/>
    </row>
    <row r="168" spans="1:10" s="457" customFormat="1" ht="31.5" x14ac:dyDescent="0.25">
      <c r="A168" s="29" t="s">
        <v>403</v>
      </c>
      <c r="B168" s="462" t="s">
        <v>1780</v>
      </c>
      <c r="C168" s="469" t="s">
        <v>264</v>
      </c>
      <c r="D168" s="469" t="s">
        <v>215</v>
      </c>
      <c r="E168" s="469" t="s">
        <v>275</v>
      </c>
      <c r="F168" s="469" t="s">
        <v>636</v>
      </c>
      <c r="G168" s="10">
        <f>G167</f>
        <v>267.8</v>
      </c>
      <c r="H168" s="204"/>
    </row>
    <row r="169" spans="1:10" s="203" customFormat="1" ht="31.5" x14ac:dyDescent="0.25">
      <c r="A169" s="31" t="s">
        <v>1522</v>
      </c>
      <c r="B169" s="462" t="s">
        <v>1521</v>
      </c>
      <c r="C169" s="462" t="s">
        <v>264</v>
      </c>
      <c r="D169" s="462" t="s">
        <v>215</v>
      </c>
      <c r="E169" s="462"/>
      <c r="F169" s="469"/>
      <c r="G169" s="10">
        <f>G170</f>
        <v>23737.600000000002</v>
      </c>
      <c r="H169" s="204"/>
    </row>
    <row r="170" spans="1:10" s="203" customFormat="1" ht="31.5" x14ac:dyDescent="0.25">
      <c r="A170" s="466" t="s">
        <v>272</v>
      </c>
      <c r="B170" s="462" t="s">
        <v>1521</v>
      </c>
      <c r="C170" s="462" t="s">
        <v>264</v>
      </c>
      <c r="D170" s="462" t="s">
        <v>215</v>
      </c>
      <c r="E170" s="462" t="s">
        <v>273</v>
      </c>
      <c r="F170" s="469"/>
      <c r="G170" s="10">
        <f>G171</f>
        <v>23737.600000000002</v>
      </c>
      <c r="H170" s="204"/>
    </row>
    <row r="171" spans="1:10" s="203" customFormat="1" ht="15.75" x14ac:dyDescent="0.25">
      <c r="A171" s="31" t="s">
        <v>274</v>
      </c>
      <c r="B171" s="462" t="s">
        <v>1521</v>
      </c>
      <c r="C171" s="462" t="s">
        <v>264</v>
      </c>
      <c r="D171" s="462" t="s">
        <v>215</v>
      </c>
      <c r="E171" s="462" t="s">
        <v>275</v>
      </c>
      <c r="F171" s="469"/>
      <c r="G171" s="10">
        <f>'Пр.4 ведом.21'!G800</f>
        <v>23737.600000000002</v>
      </c>
      <c r="H171" s="204"/>
    </row>
    <row r="172" spans="1:10" s="203" customFormat="1" ht="31.5" x14ac:dyDescent="0.25">
      <c r="A172" s="182" t="s">
        <v>403</v>
      </c>
      <c r="B172" s="462" t="s">
        <v>1521</v>
      </c>
      <c r="C172" s="462" t="s">
        <v>264</v>
      </c>
      <c r="D172" s="462" t="s">
        <v>215</v>
      </c>
      <c r="E172" s="462" t="s">
        <v>275</v>
      </c>
      <c r="F172" s="469" t="s">
        <v>636</v>
      </c>
      <c r="G172" s="10">
        <f>G169</f>
        <v>23737.600000000002</v>
      </c>
      <c r="H172" s="204"/>
    </row>
    <row r="173" spans="1:10" s="203" customFormat="1" ht="47.25" x14ac:dyDescent="0.25">
      <c r="A173" s="464" t="s">
        <v>900</v>
      </c>
      <c r="B173" s="465" t="s">
        <v>1237</v>
      </c>
      <c r="C173" s="7"/>
      <c r="D173" s="7"/>
      <c r="E173" s="7"/>
      <c r="F173" s="7"/>
      <c r="G173" s="458">
        <f>G174</f>
        <v>227795.60800000001</v>
      </c>
      <c r="H173" s="204"/>
    </row>
    <row r="174" spans="1:10" s="203" customFormat="1" ht="15.75" x14ac:dyDescent="0.25">
      <c r="A174" s="29" t="s">
        <v>263</v>
      </c>
      <c r="B174" s="469" t="s">
        <v>1237</v>
      </c>
      <c r="C174" s="469" t="s">
        <v>264</v>
      </c>
      <c r="D174" s="469"/>
      <c r="E174" s="469"/>
      <c r="F174" s="469"/>
      <c r="G174" s="10">
        <f>G175+G192+G217</f>
        <v>227795.60800000001</v>
      </c>
      <c r="H174" s="204"/>
    </row>
    <row r="175" spans="1:10" s="203" customFormat="1" ht="15.75" x14ac:dyDescent="0.25">
      <c r="A175" s="45" t="s">
        <v>404</v>
      </c>
      <c r="B175" s="469" t="s">
        <v>1237</v>
      </c>
      <c r="C175" s="469" t="s">
        <v>264</v>
      </c>
      <c r="D175" s="469" t="s">
        <v>118</v>
      </c>
      <c r="E175" s="469"/>
      <c r="F175" s="469"/>
      <c r="G175" s="10">
        <f>G180+G184+G188+G176</f>
        <v>84767.164999999994</v>
      </c>
      <c r="H175" s="204"/>
    </row>
    <row r="176" spans="1:10" s="203" customFormat="1" ht="94.5" x14ac:dyDescent="0.25">
      <c r="A176" s="31" t="s">
        <v>293</v>
      </c>
      <c r="B176" s="462" t="s">
        <v>1401</v>
      </c>
      <c r="C176" s="469" t="s">
        <v>264</v>
      </c>
      <c r="D176" s="469" t="s">
        <v>118</v>
      </c>
      <c r="E176" s="469"/>
      <c r="F176" s="469"/>
      <c r="G176" s="459">
        <f>G177</f>
        <v>3230</v>
      </c>
      <c r="H176" s="204"/>
      <c r="J176" s="231"/>
    </row>
    <row r="177" spans="1:10" s="203" customFormat="1" ht="31.5" x14ac:dyDescent="0.25">
      <c r="A177" s="466" t="s">
        <v>272</v>
      </c>
      <c r="B177" s="462" t="s">
        <v>1401</v>
      </c>
      <c r="C177" s="469" t="s">
        <v>264</v>
      </c>
      <c r="D177" s="469" t="s">
        <v>118</v>
      </c>
      <c r="E177" s="469" t="s">
        <v>273</v>
      </c>
      <c r="F177" s="469"/>
      <c r="G177" s="459">
        <f>G178</f>
        <v>3230</v>
      </c>
      <c r="H177" s="204"/>
    </row>
    <row r="178" spans="1:10" s="203" customFormat="1" ht="15.75" x14ac:dyDescent="0.25">
      <c r="A178" s="466" t="s">
        <v>274</v>
      </c>
      <c r="B178" s="462" t="s">
        <v>1401</v>
      </c>
      <c r="C178" s="469" t="s">
        <v>264</v>
      </c>
      <c r="D178" s="469" t="s">
        <v>118</v>
      </c>
      <c r="E178" s="469" t="s">
        <v>275</v>
      </c>
      <c r="F178" s="469"/>
      <c r="G178" s="459">
        <f>'Пр.3 Рд,пр, ЦС,ВР 21'!F557</f>
        <v>3230</v>
      </c>
      <c r="H178" s="204"/>
    </row>
    <row r="179" spans="1:10" s="203" customFormat="1" ht="31.5" x14ac:dyDescent="0.25">
      <c r="A179" s="29" t="s">
        <v>403</v>
      </c>
      <c r="B179" s="462" t="s">
        <v>1401</v>
      </c>
      <c r="C179" s="469" t="s">
        <v>264</v>
      </c>
      <c r="D179" s="469" t="s">
        <v>118</v>
      </c>
      <c r="E179" s="469" t="s">
        <v>275</v>
      </c>
      <c r="F179" s="469" t="s">
        <v>636</v>
      </c>
      <c r="G179" s="10">
        <f>G178</f>
        <v>3230</v>
      </c>
      <c r="H179" s="204"/>
    </row>
    <row r="180" spans="1:10" s="203" customFormat="1" ht="63" x14ac:dyDescent="0.25">
      <c r="A180" s="31" t="s">
        <v>289</v>
      </c>
      <c r="B180" s="462" t="s">
        <v>1238</v>
      </c>
      <c r="C180" s="469" t="s">
        <v>264</v>
      </c>
      <c r="D180" s="469" t="s">
        <v>118</v>
      </c>
      <c r="E180" s="469"/>
      <c r="F180" s="469"/>
      <c r="G180" s="459">
        <f>G181</f>
        <v>589</v>
      </c>
      <c r="H180" s="204"/>
      <c r="J180" s="231"/>
    </row>
    <row r="181" spans="1:10" s="203" customFormat="1" ht="31.5" x14ac:dyDescent="0.25">
      <c r="A181" s="466" t="s">
        <v>272</v>
      </c>
      <c r="B181" s="462" t="s">
        <v>1238</v>
      </c>
      <c r="C181" s="469" t="s">
        <v>264</v>
      </c>
      <c r="D181" s="469" t="s">
        <v>118</v>
      </c>
      <c r="E181" s="469" t="s">
        <v>273</v>
      </c>
      <c r="F181" s="469"/>
      <c r="G181" s="459">
        <f>G182</f>
        <v>589</v>
      </c>
      <c r="H181" s="204"/>
      <c r="J181" s="231"/>
    </row>
    <row r="182" spans="1:10" s="203" customFormat="1" ht="15.75" x14ac:dyDescent="0.25">
      <c r="A182" s="466" t="s">
        <v>274</v>
      </c>
      <c r="B182" s="462" t="s">
        <v>1238</v>
      </c>
      <c r="C182" s="469" t="s">
        <v>264</v>
      </c>
      <c r="D182" s="469" t="s">
        <v>118</v>
      </c>
      <c r="E182" s="469" t="s">
        <v>275</v>
      </c>
      <c r="F182" s="469"/>
      <c r="G182" s="459">
        <f>'Пр.3 Рд,пр, ЦС,ВР 21'!F560</f>
        <v>589</v>
      </c>
      <c r="H182" s="204"/>
    </row>
    <row r="183" spans="1:10" s="203" customFormat="1" ht="31.5" x14ac:dyDescent="0.25">
      <c r="A183" s="29" t="s">
        <v>403</v>
      </c>
      <c r="B183" s="462" t="s">
        <v>1238</v>
      </c>
      <c r="C183" s="469" t="s">
        <v>264</v>
      </c>
      <c r="D183" s="469" t="s">
        <v>118</v>
      </c>
      <c r="E183" s="469" t="s">
        <v>275</v>
      </c>
      <c r="F183" s="469" t="s">
        <v>636</v>
      </c>
      <c r="G183" s="10">
        <f>G182</f>
        <v>589</v>
      </c>
      <c r="H183" s="204"/>
    </row>
    <row r="184" spans="1:10" s="203" customFormat="1" ht="63" x14ac:dyDescent="0.25">
      <c r="A184" s="31" t="s">
        <v>291</v>
      </c>
      <c r="B184" s="462" t="s">
        <v>1239</v>
      </c>
      <c r="C184" s="469" t="s">
        <v>264</v>
      </c>
      <c r="D184" s="469" t="s">
        <v>118</v>
      </c>
      <c r="E184" s="469"/>
      <c r="F184" s="469"/>
      <c r="G184" s="459">
        <f>G185</f>
        <v>1497.5</v>
      </c>
      <c r="H184" s="204"/>
    </row>
    <row r="185" spans="1:10" s="203" customFormat="1" ht="31.5" x14ac:dyDescent="0.25">
      <c r="A185" s="466" t="s">
        <v>272</v>
      </c>
      <c r="B185" s="462" t="s">
        <v>1239</v>
      </c>
      <c r="C185" s="469" t="s">
        <v>264</v>
      </c>
      <c r="D185" s="469" t="s">
        <v>118</v>
      </c>
      <c r="E185" s="469" t="s">
        <v>273</v>
      </c>
      <c r="F185" s="469"/>
      <c r="G185" s="459">
        <f>G186</f>
        <v>1497.5</v>
      </c>
      <c r="H185" s="204"/>
    </row>
    <row r="186" spans="1:10" s="203" customFormat="1" ht="15.75" x14ac:dyDescent="0.25">
      <c r="A186" s="466" t="s">
        <v>274</v>
      </c>
      <c r="B186" s="462" t="s">
        <v>1239</v>
      </c>
      <c r="C186" s="469" t="s">
        <v>264</v>
      </c>
      <c r="D186" s="469" t="s">
        <v>118</v>
      </c>
      <c r="E186" s="469" t="s">
        <v>275</v>
      </c>
      <c r="F186" s="469"/>
      <c r="G186" s="459">
        <f>'Пр.3 Рд,пр, ЦС,ВР 21'!F563</f>
        <v>1497.5</v>
      </c>
      <c r="H186" s="204"/>
    </row>
    <row r="187" spans="1:10" s="203" customFormat="1" ht="31.5" x14ac:dyDescent="0.25">
      <c r="A187" s="29" t="s">
        <v>403</v>
      </c>
      <c r="B187" s="462" t="s">
        <v>1239</v>
      </c>
      <c r="C187" s="469" t="s">
        <v>264</v>
      </c>
      <c r="D187" s="469" t="s">
        <v>118</v>
      </c>
      <c r="E187" s="469" t="s">
        <v>275</v>
      </c>
      <c r="F187" s="469" t="s">
        <v>636</v>
      </c>
      <c r="G187" s="10">
        <f>G186</f>
        <v>1497.5</v>
      </c>
      <c r="H187" s="204"/>
    </row>
    <row r="188" spans="1:10" s="203" customFormat="1" ht="94.5" x14ac:dyDescent="0.25">
      <c r="A188" s="31" t="s">
        <v>1188</v>
      </c>
      <c r="B188" s="462" t="s">
        <v>1240</v>
      </c>
      <c r="C188" s="469" t="s">
        <v>264</v>
      </c>
      <c r="D188" s="469" t="s">
        <v>118</v>
      </c>
      <c r="E188" s="469"/>
      <c r="F188" s="469"/>
      <c r="G188" s="459">
        <f>G189</f>
        <v>79450.664999999994</v>
      </c>
      <c r="H188" s="204"/>
    </row>
    <row r="189" spans="1:10" s="203" customFormat="1" ht="31.5" x14ac:dyDescent="0.25">
      <c r="A189" s="466" t="s">
        <v>272</v>
      </c>
      <c r="B189" s="462" t="s">
        <v>1240</v>
      </c>
      <c r="C189" s="469" t="s">
        <v>264</v>
      </c>
      <c r="D189" s="469" t="s">
        <v>118</v>
      </c>
      <c r="E189" s="469" t="s">
        <v>273</v>
      </c>
      <c r="F189" s="469"/>
      <c r="G189" s="459">
        <f>G190</f>
        <v>79450.664999999994</v>
      </c>
      <c r="H189" s="204"/>
    </row>
    <row r="190" spans="1:10" s="203" customFormat="1" ht="15.75" x14ac:dyDescent="0.25">
      <c r="A190" s="466" t="s">
        <v>274</v>
      </c>
      <c r="B190" s="462" t="s">
        <v>1240</v>
      </c>
      <c r="C190" s="469" t="s">
        <v>264</v>
      </c>
      <c r="D190" s="469" t="s">
        <v>118</v>
      </c>
      <c r="E190" s="469" t="s">
        <v>275</v>
      </c>
      <c r="F190" s="469"/>
      <c r="G190" s="459">
        <f>'Пр.3 Рд,пр, ЦС,ВР 21'!F566</f>
        <v>79450.664999999994</v>
      </c>
      <c r="H190" s="204"/>
    </row>
    <row r="191" spans="1:10" s="203" customFormat="1" ht="31.5" x14ac:dyDescent="0.25">
      <c r="A191" s="29" t="s">
        <v>403</v>
      </c>
      <c r="B191" s="462" t="s">
        <v>1240</v>
      </c>
      <c r="C191" s="469" t="s">
        <v>264</v>
      </c>
      <c r="D191" s="469" t="s">
        <v>118</v>
      </c>
      <c r="E191" s="469" t="s">
        <v>275</v>
      </c>
      <c r="F191" s="469" t="s">
        <v>636</v>
      </c>
      <c r="G191" s="10">
        <f>G190</f>
        <v>79450.664999999994</v>
      </c>
      <c r="H191" s="204"/>
    </row>
    <row r="192" spans="1:10" ht="15.75" x14ac:dyDescent="0.25">
      <c r="A192" s="29" t="s">
        <v>425</v>
      </c>
      <c r="B192" s="469" t="s">
        <v>1237</v>
      </c>
      <c r="C192" s="469" t="s">
        <v>264</v>
      </c>
      <c r="D192" s="469" t="s">
        <v>213</v>
      </c>
      <c r="E192" s="469"/>
      <c r="F192" s="469"/>
      <c r="G192" s="10">
        <f>G201+G205+G209+G213+G197+G193</f>
        <v>140785.44300000003</v>
      </c>
    </row>
    <row r="193" spans="1:8" s="203" customFormat="1" ht="63" x14ac:dyDescent="0.25">
      <c r="A193" s="466" t="s">
        <v>1403</v>
      </c>
      <c r="B193" s="462" t="s">
        <v>1404</v>
      </c>
      <c r="C193" s="469" t="s">
        <v>264</v>
      </c>
      <c r="D193" s="469" t="s">
        <v>213</v>
      </c>
      <c r="E193" s="469"/>
      <c r="F193" s="469"/>
      <c r="G193" s="10">
        <f>G194</f>
        <v>7028</v>
      </c>
      <c r="H193" s="204"/>
    </row>
    <row r="194" spans="1:8" s="203" customFormat="1" ht="31.5" x14ac:dyDescent="0.25">
      <c r="A194" s="466" t="s">
        <v>272</v>
      </c>
      <c r="B194" s="462" t="s">
        <v>1404</v>
      </c>
      <c r="C194" s="469" t="s">
        <v>264</v>
      </c>
      <c r="D194" s="469" t="s">
        <v>213</v>
      </c>
      <c r="E194" s="469" t="s">
        <v>273</v>
      </c>
      <c r="F194" s="469"/>
      <c r="G194" s="10">
        <f>G195</f>
        <v>7028</v>
      </c>
      <c r="H194" s="204"/>
    </row>
    <row r="195" spans="1:8" s="203" customFormat="1" ht="15.75" x14ac:dyDescent="0.25">
      <c r="A195" s="466" t="s">
        <v>274</v>
      </c>
      <c r="B195" s="462" t="s">
        <v>1404</v>
      </c>
      <c r="C195" s="469" t="s">
        <v>264</v>
      </c>
      <c r="D195" s="469" t="s">
        <v>213</v>
      </c>
      <c r="E195" s="469" t="s">
        <v>275</v>
      </c>
      <c r="F195" s="469"/>
      <c r="G195" s="10">
        <f>'Пр.4 ведом.21'!G707</f>
        <v>7028</v>
      </c>
      <c r="H195" s="204"/>
    </row>
    <row r="196" spans="1:8" s="203" customFormat="1" ht="31.5" x14ac:dyDescent="0.25">
      <c r="A196" s="45" t="s">
        <v>403</v>
      </c>
      <c r="B196" s="462" t="s">
        <v>1404</v>
      </c>
      <c r="C196" s="469" t="s">
        <v>264</v>
      </c>
      <c r="D196" s="469" t="s">
        <v>213</v>
      </c>
      <c r="E196" s="469" t="s">
        <v>275</v>
      </c>
      <c r="F196" s="469" t="s">
        <v>636</v>
      </c>
      <c r="G196" s="10">
        <f>G193</f>
        <v>7028</v>
      </c>
      <c r="H196" s="204"/>
    </row>
    <row r="197" spans="1:8" s="203" customFormat="1" ht="94.5" x14ac:dyDescent="0.25">
      <c r="A197" s="31" t="s">
        <v>464</v>
      </c>
      <c r="B197" s="462" t="s">
        <v>1401</v>
      </c>
      <c r="C197" s="469" t="s">
        <v>264</v>
      </c>
      <c r="D197" s="469" t="s">
        <v>213</v>
      </c>
      <c r="E197" s="469"/>
      <c r="F197" s="469"/>
      <c r="G197" s="459">
        <f>G198</f>
        <v>4699.7370000000001</v>
      </c>
      <c r="H197" s="204"/>
    </row>
    <row r="198" spans="1:8" s="203" customFormat="1" ht="31.5" x14ac:dyDescent="0.25">
      <c r="A198" s="466" t="s">
        <v>272</v>
      </c>
      <c r="B198" s="462" t="s">
        <v>1401</v>
      </c>
      <c r="C198" s="469" t="s">
        <v>264</v>
      </c>
      <c r="D198" s="469" t="s">
        <v>213</v>
      </c>
      <c r="E198" s="469" t="s">
        <v>273</v>
      </c>
      <c r="F198" s="469"/>
      <c r="G198" s="459">
        <f>G199</f>
        <v>4699.7370000000001</v>
      </c>
      <c r="H198" s="204"/>
    </row>
    <row r="199" spans="1:8" s="203" customFormat="1" ht="15.75" x14ac:dyDescent="0.25">
      <c r="A199" s="466" t="s">
        <v>274</v>
      </c>
      <c r="B199" s="462" t="s">
        <v>1401</v>
      </c>
      <c r="C199" s="469" t="s">
        <v>264</v>
      </c>
      <c r="D199" s="469" t="s">
        <v>213</v>
      </c>
      <c r="E199" s="469" t="s">
        <v>275</v>
      </c>
      <c r="F199" s="469"/>
      <c r="G199" s="459">
        <f>'Пр.3 Рд,пр, ЦС,ВР 21'!F625</f>
        <v>4699.7370000000001</v>
      </c>
      <c r="H199" s="204"/>
    </row>
    <row r="200" spans="1:8" s="203" customFormat="1" ht="31.5" x14ac:dyDescent="0.25">
      <c r="A200" s="29" t="s">
        <v>403</v>
      </c>
      <c r="B200" s="462" t="s">
        <v>1401</v>
      </c>
      <c r="C200" s="469" t="s">
        <v>264</v>
      </c>
      <c r="D200" s="469" t="s">
        <v>213</v>
      </c>
      <c r="E200" s="469" t="s">
        <v>275</v>
      </c>
      <c r="F200" s="469" t="s">
        <v>636</v>
      </c>
      <c r="G200" s="10">
        <f>G199</f>
        <v>4699.7370000000001</v>
      </c>
      <c r="H200" s="204"/>
    </row>
    <row r="201" spans="1:8" s="203" customFormat="1" ht="78.75" x14ac:dyDescent="0.25">
      <c r="A201" s="31" t="s">
        <v>1189</v>
      </c>
      <c r="B201" s="462" t="s">
        <v>1255</v>
      </c>
      <c r="C201" s="469" t="s">
        <v>264</v>
      </c>
      <c r="D201" s="469" t="s">
        <v>213</v>
      </c>
      <c r="E201" s="469"/>
      <c r="F201" s="469"/>
      <c r="G201" s="459">
        <f>G202</f>
        <v>124618.84300000002</v>
      </c>
      <c r="H201" s="204"/>
    </row>
    <row r="202" spans="1:8" s="203" customFormat="1" ht="31.5" x14ac:dyDescent="0.25">
      <c r="A202" s="466" t="s">
        <v>272</v>
      </c>
      <c r="B202" s="462" t="s">
        <v>1255</v>
      </c>
      <c r="C202" s="469" t="s">
        <v>264</v>
      </c>
      <c r="D202" s="469" t="s">
        <v>213</v>
      </c>
      <c r="E202" s="469" t="s">
        <v>273</v>
      </c>
      <c r="F202" s="469"/>
      <c r="G202" s="459">
        <f>G203</f>
        <v>124618.84300000002</v>
      </c>
      <c r="H202" s="204"/>
    </row>
    <row r="203" spans="1:8" s="203" customFormat="1" ht="15.75" x14ac:dyDescent="0.25">
      <c r="A203" s="466" t="s">
        <v>274</v>
      </c>
      <c r="B203" s="462" t="s">
        <v>1255</v>
      </c>
      <c r="C203" s="469" t="s">
        <v>264</v>
      </c>
      <c r="D203" s="469" t="s">
        <v>213</v>
      </c>
      <c r="E203" s="469" t="s">
        <v>275</v>
      </c>
      <c r="F203" s="469"/>
      <c r="G203" s="459">
        <f>'Пр.3 Рд,пр, ЦС,ВР 21'!F628</f>
        <v>124618.84300000002</v>
      </c>
      <c r="H203" s="204"/>
    </row>
    <row r="204" spans="1:8" s="203" customFormat="1" ht="31.5" x14ac:dyDescent="0.25">
      <c r="A204" s="29" t="s">
        <v>403</v>
      </c>
      <c r="B204" s="462" t="s">
        <v>1255</v>
      </c>
      <c r="C204" s="469" t="s">
        <v>264</v>
      </c>
      <c r="D204" s="469" t="s">
        <v>213</v>
      </c>
      <c r="E204" s="469" t="s">
        <v>275</v>
      </c>
      <c r="F204" s="469" t="s">
        <v>636</v>
      </c>
      <c r="G204" s="10">
        <f>G203</f>
        <v>124618.84300000002</v>
      </c>
      <c r="H204" s="204"/>
    </row>
    <row r="205" spans="1:8" s="203" customFormat="1" ht="63" x14ac:dyDescent="0.25">
      <c r="A205" s="31" t="s">
        <v>289</v>
      </c>
      <c r="B205" s="462" t="s">
        <v>1238</v>
      </c>
      <c r="C205" s="469" t="s">
        <v>264</v>
      </c>
      <c r="D205" s="469" t="s">
        <v>213</v>
      </c>
      <c r="E205" s="469"/>
      <c r="F205" s="469"/>
      <c r="G205" s="459">
        <f>G206</f>
        <v>1152.2629999999999</v>
      </c>
      <c r="H205" s="204"/>
    </row>
    <row r="206" spans="1:8" s="203" customFormat="1" ht="31.5" x14ac:dyDescent="0.25">
      <c r="A206" s="466" t="s">
        <v>272</v>
      </c>
      <c r="B206" s="462" t="s">
        <v>1238</v>
      </c>
      <c r="C206" s="469" t="s">
        <v>264</v>
      </c>
      <c r="D206" s="469" t="s">
        <v>213</v>
      </c>
      <c r="E206" s="469" t="s">
        <v>273</v>
      </c>
      <c r="F206" s="469"/>
      <c r="G206" s="459">
        <f>G207</f>
        <v>1152.2629999999999</v>
      </c>
      <c r="H206" s="204"/>
    </row>
    <row r="207" spans="1:8" s="203" customFormat="1" ht="15.75" x14ac:dyDescent="0.25">
      <c r="A207" s="466" t="s">
        <v>274</v>
      </c>
      <c r="B207" s="462" t="s">
        <v>1238</v>
      </c>
      <c r="C207" s="469" t="s">
        <v>264</v>
      </c>
      <c r="D207" s="469" t="s">
        <v>213</v>
      </c>
      <c r="E207" s="469" t="s">
        <v>275</v>
      </c>
      <c r="F207" s="469"/>
      <c r="G207" s="459">
        <f>'Пр.3 Рд,пр, ЦС,ВР 21'!F631</f>
        <v>1152.2629999999999</v>
      </c>
      <c r="H207" s="204"/>
    </row>
    <row r="208" spans="1:8" s="203" customFormat="1" ht="31.5" x14ac:dyDescent="0.25">
      <c r="A208" s="29" t="s">
        <v>403</v>
      </c>
      <c r="B208" s="462" t="s">
        <v>1238</v>
      </c>
      <c r="C208" s="469" t="s">
        <v>264</v>
      </c>
      <c r="D208" s="469" t="s">
        <v>213</v>
      </c>
      <c r="E208" s="469" t="s">
        <v>275</v>
      </c>
      <c r="F208" s="469" t="s">
        <v>636</v>
      </c>
      <c r="G208" s="10">
        <f>G207</f>
        <v>1152.2629999999999</v>
      </c>
      <c r="H208" s="204"/>
    </row>
    <row r="209" spans="1:8" s="203" customFormat="1" ht="63" x14ac:dyDescent="0.25">
      <c r="A209" s="31" t="s">
        <v>291</v>
      </c>
      <c r="B209" s="462" t="s">
        <v>1239</v>
      </c>
      <c r="C209" s="469" t="s">
        <v>264</v>
      </c>
      <c r="D209" s="469" t="s">
        <v>213</v>
      </c>
      <c r="E209" s="469"/>
      <c r="F209" s="469"/>
      <c r="G209" s="459">
        <f>G210</f>
        <v>2386.6</v>
      </c>
      <c r="H209" s="204"/>
    </row>
    <row r="210" spans="1:8" s="203" customFormat="1" ht="31.5" x14ac:dyDescent="0.25">
      <c r="A210" s="466" t="s">
        <v>272</v>
      </c>
      <c r="B210" s="462" t="s">
        <v>1239</v>
      </c>
      <c r="C210" s="469" t="s">
        <v>264</v>
      </c>
      <c r="D210" s="469" t="s">
        <v>213</v>
      </c>
      <c r="E210" s="469" t="s">
        <v>273</v>
      </c>
      <c r="F210" s="469"/>
      <c r="G210" s="459">
        <f>G211</f>
        <v>2386.6</v>
      </c>
      <c r="H210" s="204"/>
    </row>
    <row r="211" spans="1:8" s="203" customFormat="1" ht="15.75" x14ac:dyDescent="0.25">
      <c r="A211" s="466" t="s">
        <v>274</v>
      </c>
      <c r="B211" s="462" t="s">
        <v>1239</v>
      </c>
      <c r="C211" s="469" t="s">
        <v>264</v>
      </c>
      <c r="D211" s="469" t="s">
        <v>213</v>
      </c>
      <c r="E211" s="469" t="s">
        <v>275</v>
      </c>
      <c r="F211" s="469"/>
      <c r="G211" s="459">
        <f>'Пр.3 Рд,пр, ЦС,ВР 21'!F634</f>
        <v>2386.6</v>
      </c>
      <c r="H211" s="204"/>
    </row>
    <row r="212" spans="1:8" s="203" customFormat="1" ht="31.5" x14ac:dyDescent="0.25">
      <c r="A212" s="29" t="s">
        <v>403</v>
      </c>
      <c r="B212" s="462" t="s">
        <v>1239</v>
      </c>
      <c r="C212" s="469" t="s">
        <v>264</v>
      </c>
      <c r="D212" s="469" t="s">
        <v>213</v>
      </c>
      <c r="E212" s="469" t="s">
        <v>275</v>
      </c>
      <c r="F212" s="469" t="s">
        <v>636</v>
      </c>
      <c r="G212" s="10">
        <f>G211</f>
        <v>2386.6</v>
      </c>
      <c r="H212" s="204"/>
    </row>
    <row r="213" spans="1:8" s="203" customFormat="1" ht="47.25" x14ac:dyDescent="0.25">
      <c r="A213" s="31" t="s">
        <v>462</v>
      </c>
      <c r="B213" s="462" t="s">
        <v>1256</v>
      </c>
      <c r="C213" s="469" t="s">
        <v>264</v>
      </c>
      <c r="D213" s="469" t="s">
        <v>213</v>
      </c>
      <c r="E213" s="469"/>
      <c r="F213" s="469"/>
      <c r="G213" s="459">
        <f>G214</f>
        <v>900</v>
      </c>
      <c r="H213" s="204"/>
    </row>
    <row r="214" spans="1:8" s="203" customFormat="1" ht="31.5" x14ac:dyDescent="0.25">
      <c r="A214" s="466" t="s">
        <v>272</v>
      </c>
      <c r="B214" s="462" t="s">
        <v>1256</v>
      </c>
      <c r="C214" s="469" t="s">
        <v>264</v>
      </c>
      <c r="D214" s="469" t="s">
        <v>213</v>
      </c>
      <c r="E214" s="469" t="s">
        <v>273</v>
      </c>
      <c r="F214" s="469"/>
      <c r="G214" s="459">
        <f>G215</f>
        <v>900</v>
      </c>
      <c r="H214" s="204"/>
    </row>
    <row r="215" spans="1:8" s="203" customFormat="1" ht="15.75" x14ac:dyDescent="0.25">
      <c r="A215" s="466" t="s">
        <v>274</v>
      </c>
      <c r="B215" s="462" t="s">
        <v>1256</v>
      </c>
      <c r="C215" s="469" t="s">
        <v>264</v>
      </c>
      <c r="D215" s="469" t="s">
        <v>213</v>
      </c>
      <c r="E215" s="469" t="s">
        <v>275</v>
      </c>
      <c r="F215" s="469"/>
      <c r="G215" s="459">
        <f>'Пр.3 Рд,пр, ЦС,ВР 21'!F637</f>
        <v>900</v>
      </c>
      <c r="H215" s="204"/>
    </row>
    <row r="216" spans="1:8" s="203" customFormat="1" ht="31.5" x14ac:dyDescent="0.25">
      <c r="A216" s="29" t="s">
        <v>403</v>
      </c>
      <c r="B216" s="462" t="s">
        <v>1256</v>
      </c>
      <c r="C216" s="469" t="s">
        <v>264</v>
      </c>
      <c r="D216" s="469" t="s">
        <v>213</v>
      </c>
      <c r="E216" s="469" t="s">
        <v>275</v>
      </c>
      <c r="F216" s="469" t="s">
        <v>636</v>
      </c>
      <c r="G216" s="10">
        <f>G215</f>
        <v>900</v>
      </c>
      <c r="H216" s="204"/>
    </row>
    <row r="217" spans="1:8" ht="15.75" x14ac:dyDescent="0.25">
      <c r="A217" s="29" t="s">
        <v>265</v>
      </c>
      <c r="B217" s="469" t="s">
        <v>1237</v>
      </c>
      <c r="C217" s="469" t="s">
        <v>264</v>
      </c>
      <c r="D217" s="469" t="s">
        <v>215</v>
      </c>
      <c r="E217" s="469"/>
      <c r="F217" s="469"/>
      <c r="G217" s="459">
        <f>G222+G226+G218</f>
        <v>2243</v>
      </c>
    </row>
    <row r="218" spans="1:8" s="203" customFormat="1" ht="94.5" x14ac:dyDescent="0.25">
      <c r="A218" s="31" t="s">
        <v>293</v>
      </c>
      <c r="B218" s="462" t="s">
        <v>1401</v>
      </c>
      <c r="C218" s="469" t="s">
        <v>264</v>
      </c>
      <c r="D218" s="469" t="s">
        <v>215</v>
      </c>
      <c r="E218" s="469"/>
      <c r="F218" s="469"/>
      <c r="G218" s="459">
        <f>G219</f>
        <v>1400</v>
      </c>
      <c r="H218" s="204"/>
    </row>
    <row r="219" spans="1:8" s="203" customFormat="1" ht="31.5" x14ac:dyDescent="0.25">
      <c r="A219" s="466" t="s">
        <v>272</v>
      </c>
      <c r="B219" s="462" t="s">
        <v>1401</v>
      </c>
      <c r="C219" s="469" t="s">
        <v>264</v>
      </c>
      <c r="D219" s="469" t="s">
        <v>215</v>
      </c>
      <c r="E219" s="469" t="s">
        <v>273</v>
      </c>
      <c r="F219" s="469"/>
      <c r="G219" s="459">
        <f>G220</f>
        <v>1400</v>
      </c>
      <c r="H219" s="204"/>
    </row>
    <row r="220" spans="1:8" s="203" customFormat="1" ht="15.75" x14ac:dyDescent="0.25">
      <c r="A220" s="466" t="s">
        <v>274</v>
      </c>
      <c r="B220" s="462" t="s">
        <v>1401</v>
      </c>
      <c r="C220" s="469" t="s">
        <v>264</v>
      </c>
      <c r="D220" s="469" t="s">
        <v>215</v>
      </c>
      <c r="E220" s="469" t="s">
        <v>275</v>
      </c>
      <c r="F220" s="469"/>
      <c r="G220" s="459">
        <f>'Пр.4 ведом.21'!G803</f>
        <v>1400</v>
      </c>
      <c r="H220" s="204"/>
    </row>
    <row r="221" spans="1:8" s="203" customFormat="1" ht="31.5" x14ac:dyDescent="0.25">
      <c r="A221" s="29" t="s">
        <v>403</v>
      </c>
      <c r="B221" s="462" t="s">
        <v>1401</v>
      </c>
      <c r="C221" s="469" t="s">
        <v>264</v>
      </c>
      <c r="D221" s="469" t="s">
        <v>215</v>
      </c>
      <c r="E221" s="469" t="s">
        <v>275</v>
      </c>
      <c r="F221" s="469" t="s">
        <v>636</v>
      </c>
      <c r="G221" s="10">
        <f>G220</f>
        <v>1400</v>
      </c>
      <c r="H221" s="204"/>
    </row>
    <row r="222" spans="1:8" s="203" customFormat="1" ht="63" x14ac:dyDescent="0.25">
      <c r="A222" s="31" t="s">
        <v>289</v>
      </c>
      <c r="B222" s="462" t="s">
        <v>1238</v>
      </c>
      <c r="C222" s="469" t="s">
        <v>264</v>
      </c>
      <c r="D222" s="469" t="s">
        <v>215</v>
      </c>
      <c r="E222" s="469"/>
      <c r="F222" s="469"/>
      <c r="G222" s="459">
        <f>G223</f>
        <v>179</v>
      </c>
      <c r="H222" s="204"/>
    </row>
    <row r="223" spans="1:8" s="203" customFormat="1" ht="31.5" x14ac:dyDescent="0.25">
      <c r="A223" s="466" t="s">
        <v>272</v>
      </c>
      <c r="B223" s="462" t="s">
        <v>1238</v>
      </c>
      <c r="C223" s="469" t="s">
        <v>264</v>
      </c>
      <c r="D223" s="469" t="s">
        <v>215</v>
      </c>
      <c r="E223" s="469" t="s">
        <v>273</v>
      </c>
      <c r="F223" s="469"/>
      <c r="G223" s="459">
        <f>G224</f>
        <v>179</v>
      </c>
      <c r="H223" s="204"/>
    </row>
    <row r="224" spans="1:8" s="203" customFormat="1" ht="15.75" x14ac:dyDescent="0.25">
      <c r="A224" s="466" t="s">
        <v>274</v>
      </c>
      <c r="B224" s="462" t="s">
        <v>1238</v>
      </c>
      <c r="C224" s="469" t="s">
        <v>264</v>
      </c>
      <c r="D224" s="469" t="s">
        <v>215</v>
      </c>
      <c r="E224" s="469" t="s">
        <v>275</v>
      </c>
      <c r="F224" s="469"/>
      <c r="G224" s="459">
        <f>'Пр.4 ведом.21'!G807</f>
        <v>179</v>
      </c>
      <c r="H224" s="204"/>
    </row>
    <row r="225" spans="1:8" s="203" customFormat="1" ht="31.5" x14ac:dyDescent="0.25">
      <c r="A225" s="29" t="s">
        <v>403</v>
      </c>
      <c r="B225" s="462" t="s">
        <v>1238</v>
      </c>
      <c r="C225" s="469" t="s">
        <v>264</v>
      </c>
      <c r="D225" s="469" t="s">
        <v>215</v>
      </c>
      <c r="E225" s="469" t="s">
        <v>275</v>
      </c>
      <c r="F225" s="469" t="s">
        <v>636</v>
      </c>
      <c r="G225" s="10">
        <f>G224</f>
        <v>179</v>
      </c>
      <c r="H225" s="204"/>
    </row>
    <row r="226" spans="1:8" s="203" customFormat="1" ht="63" x14ac:dyDescent="0.25">
      <c r="A226" s="31" t="s">
        <v>291</v>
      </c>
      <c r="B226" s="462" t="s">
        <v>1239</v>
      </c>
      <c r="C226" s="469" t="s">
        <v>264</v>
      </c>
      <c r="D226" s="469" t="s">
        <v>215</v>
      </c>
      <c r="E226" s="469"/>
      <c r="F226" s="469"/>
      <c r="G226" s="459">
        <f>G227</f>
        <v>664</v>
      </c>
      <c r="H226" s="204"/>
    </row>
    <row r="227" spans="1:8" s="203" customFormat="1" ht="31.5" x14ac:dyDescent="0.25">
      <c r="A227" s="466" t="s">
        <v>272</v>
      </c>
      <c r="B227" s="462" t="s">
        <v>1239</v>
      </c>
      <c r="C227" s="469" t="s">
        <v>264</v>
      </c>
      <c r="D227" s="469" t="s">
        <v>215</v>
      </c>
      <c r="E227" s="469" t="s">
        <v>273</v>
      </c>
      <c r="F227" s="469"/>
      <c r="G227" s="459">
        <f>G228</f>
        <v>664</v>
      </c>
      <c r="H227" s="204"/>
    </row>
    <row r="228" spans="1:8" s="203" customFormat="1" ht="15.75" x14ac:dyDescent="0.25">
      <c r="A228" s="466" t="s">
        <v>274</v>
      </c>
      <c r="B228" s="462" t="s">
        <v>1239</v>
      </c>
      <c r="C228" s="469" t="s">
        <v>264</v>
      </c>
      <c r="D228" s="469" t="s">
        <v>215</v>
      </c>
      <c r="E228" s="469" t="s">
        <v>275</v>
      </c>
      <c r="F228" s="469"/>
      <c r="G228" s="459">
        <f>'Пр.4 ведом.21'!G810</f>
        <v>664</v>
      </c>
      <c r="H228" s="204"/>
    </row>
    <row r="229" spans="1:8" s="203" customFormat="1" ht="31.5" x14ac:dyDescent="0.25">
      <c r="A229" s="29" t="s">
        <v>403</v>
      </c>
      <c r="B229" s="462" t="s">
        <v>1239</v>
      </c>
      <c r="C229" s="469" t="s">
        <v>264</v>
      </c>
      <c r="D229" s="469" t="s">
        <v>215</v>
      </c>
      <c r="E229" s="469" t="s">
        <v>275</v>
      </c>
      <c r="F229" s="469" t="s">
        <v>636</v>
      </c>
      <c r="G229" s="10">
        <f>G228</f>
        <v>664</v>
      </c>
      <c r="H229" s="204"/>
    </row>
    <row r="230" spans="1:8" s="203" customFormat="1" ht="31.5" x14ac:dyDescent="0.25">
      <c r="A230" s="464" t="s">
        <v>1297</v>
      </c>
      <c r="B230" s="465" t="s">
        <v>1242</v>
      </c>
      <c r="C230" s="7"/>
      <c r="D230" s="7"/>
      <c r="E230" s="7"/>
      <c r="F230" s="7"/>
      <c r="G230" s="59">
        <f>G231+G245</f>
        <v>5295.5999999999995</v>
      </c>
      <c r="H230" s="204"/>
    </row>
    <row r="231" spans="1:8" ht="15.75" x14ac:dyDescent="0.25">
      <c r="A231" s="29" t="s">
        <v>263</v>
      </c>
      <c r="B231" s="462" t="s">
        <v>1242</v>
      </c>
      <c r="C231" s="469" t="s">
        <v>264</v>
      </c>
      <c r="D231" s="469"/>
      <c r="E231" s="469"/>
      <c r="F231" s="469"/>
      <c r="G231" s="10">
        <f t="shared" ref="G231" si="14">G232</f>
        <v>4368.3999999999996</v>
      </c>
    </row>
    <row r="232" spans="1:8" ht="15.75" x14ac:dyDescent="0.25">
      <c r="A232" s="45" t="s">
        <v>404</v>
      </c>
      <c r="B232" s="462" t="s">
        <v>1242</v>
      </c>
      <c r="C232" s="469" t="s">
        <v>264</v>
      </c>
      <c r="D232" s="469" t="s">
        <v>118</v>
      </c>
      <c r="E232" s="469"/>
      <c r="F232" s="469"/>
      <c r="G232" s="10">
        <f>G233+G237+G241</f>
        <v>4368.3999999999996</v>
      </c>
    </row>
    <row r="233" spans="1:8" ht="31.5" x14ac:dyDescent="0.25">
      <c r="A233" s="29" t="s">
        <v>278</v>
      </c>
      <c r="B233" s="462" t="s">
        <v>1325</v>
      </c>
      <c r="C233" s="469" t="s">
        <v>264</v>
      </c>
      <c r="D233" s="469" t="s">
        <v>118</v>
      </c>
      <c r="E233" s="469"/>
      <c r="F233" s="469"/>
      <c r="G233" s="10">
        <f t="shared" ref="G233:G234" si="15">G234</f>
        <v>61.400000000000006</v>
      </c>
    </row>
    <row r="234" spans="1:8" ht="31.5" x14ac:dyDescent="0.25">
      <c r="A234" s="29" t="s">
        <v>272</v>
      </c>
      <c r="B234" s="462" t="s">
        <v>1325</v>
      </c>
      <c r="C234" s="469" t="s">
        <v>264</v>
      </c>
      <c r="D234" s="469" t="s">
        <v>118</v>
      </c>
      <c r="E234" s="469" t="s">
        <v>273</v>
      </c>
      <c r="F234" s="469"/>
      <c r="G234" s="10">
        <f t="shared" si="15"/>
        <v>61.400000000000006</v>
      </c>
    </row>
    <row r="235" spans="1:8" ht="15.75" x14ac:dyDescent="0.25">
      <c r="A235" s="29" t="s">
        <v>274</v>
      </c>
      <c r="B235" s="462" t="s">
        <v>1325</v>
      </c>
      <c r="C235" s="469" t="s">
        <v>264</v>
      </c>
      <c r="D235" s="469" t="s">
        <v>118</v>
      </c>
      <c r="E235" s="469" t="s">
        <v>275</v>
      </c>
      <c r="F235" s="469"/>
      <c r="G235" s="10">
        <f>'Пр.4 ведом.21'!G652</f>
        <v>61.400000000000006</v>
      </c>
    </row>
    <row r="236" spans="1:8" s="203" customFormat="1" ht="31.5" x14ac:dyDescent="0.25">
      <c r="A236" s="29" t="s">
        <v>403</v>
      </c>
      <c r="B236" s="462" t="s">
        <v>1325</v>
      </c>
      <c r="C236" s="469" t="s">
        <v>264</v>
      </c>
      <c r="D236" s="469" t="s">
        <v>118</v>
      </c>
      <c r="E236" s="469" t="s">
        <v>275</v>
      </c>
      <c r="F236" s="469" t="s">
        <v>636</v>
      </c>
      <c r="G236" s="10">
        <f>G235</f>
        <v>61.400000000000006</v>
      </c>
      <c r="H236" s="204"/>
    </row>
    <row r="237" spans="1:8" ht="31.7" customHeight="1" x14ac:dyDescent="0.25">
      <c r="A237" s="29" t="s">
        <v>280</v>
      </c>
      <c r="B237" s="462" t="s">
        <v>1326</v>
      </c>
      <c r="C237" s="469" t="s">
        <v>264</v>
      </c>
      <c r="D237" s="469" t="s">
        <v>118</v>
      </c>
      <c r="E237" s="469"/>
      <c r="F237" s="469"/>
      <c r="G237" s="10">
        <f t="shared" ref="G237:G238" si="16">G238</f>
        <v>357</v>
      </c>
    </row>
    <row r="238" spans="1:8" ht="31.7" customHeight="1" x14ac:dyDescent="0.25">
      <c r="A238" s="29" t="s">
        <v>272</v>
      </c>
      <c r="B238" s="462" t="s">
        <v>1326</v>
      </c>
      <c r="C238" s="469" t="s">
        <v>264</v>
      </c>
      <c r="D238" s="469" t="s">
        <v>118</v>
      </c>
      <c r="E238" s="469" t="s">
        <v>273</v>
      </c>
      <c r="F238" s="469"/>
      <c r="G238" s="10">
        <f t="shared" si="16"/>
        <v>357</v>
      </c>
    </row>
    <row r="239" spans="1:8" ht="15.75" customHeight="1" x14ac:dyDescent="0.25">
      <c r="A239" s="29" t="s">
        <v>274</v>
      </c>
      <c r="B239" s="462" t="s">
        <v>1326</v>
      </c>
      <c r="C239" s="469" t="s">
        <v>264</v>
      </c>
      <c r="D239" s="469" t="s">
        <v>118</v>
      </c>
      <c r="E239" s="469" t="s">
        <v>275</v>
      </c>
      <c r="F239" s="469"/>
      <c r="G239" s="10">
        <f>'Пр.4 ведом.21'!G655</f>
        <v>357</v>
      </c>
    </row>
    <row r="240" spans="1:8" s="203" customFormat="1" ht="35.450000000000003" customHeight="1" x14ac:dyDescent="0.25">
      <c r="A240" s="29" t="s">
        <v>403</v>
      </c>
      <c r="B240" s="462" t="s">
        <v>1326</v>
      </c>
      <c r="C240" s="469" t="s">
        <v>264</v>
      </c>
      <c r="D240" s="469" t="s">
        <v>118</v>
      </c>
      <c r="E240" s="469" t="s">
        <v>275</v>
      </c>
      <c r="F240" s="469" t="s">
        <v>636</v>
      </c>
      <c r="G240" s="10">
        <f>G239</f>
        <v>357</v>
      </c>
      <c r="H240" s="204"/>
    </row>
    <row r="241" spans="1:8" ht="31.5" x14ac:dyDescent="0.25">
      <c r="A241" s="29" t="s">
        <v>415</v>
      </c>
      <c r="B241" s="462" t="s">
        <v>1243</v>
      </c>
      <c r="C241" s="469" t="s">
        <v>264</v>
      </c>
      <c r="D241" s="469" t="s">
        <v>118</v>
      </c>
      <c r="E241" s="469"/>
      <c r="F241" s="469"/>
      <c r="G241" s="10">
        <f t="shared" ref="G241:G242" si="17">G242</f>
        <v>3950</v>
      </c>
    </row>
    <row r="242" spans="1:8" ht="33.75" customHeight="1" x14ac:dyDescent="0.25">
      <c r="A242" s="29" t="s">
        <v>272</v>
      </c>
      <c r="B242" s="462" t="s">
        <v>1243</v>
      </c>
      <c r="C242" s="469" t="s">
        <v>264</v>
      </c>
      <c r="D242" s="469" t="s">
        <v>118</v>
      </c>
      <c r="E242" s="469" t="s">
        <v>273</v>
      </c>
      <c r="F242" s="469"/>
      <c r="G242" s="10">
        <f t="shared" si="17"/>
        <v>3950</v>
      </c>
    </row>
    <row r="243" spans="1:8" ht="15.75" x14ac:dyDescent="0.25">
      <c r="A243" s="29" t="s">
        <v>274</v>
      </c>
      <c r="B243" s="462" t="s">
        <v>1243</v>
      </c>
      <c r="C243" s="469" t="s">
        <v>264</v>
      </c>
      <c r="D243" s="469" t="s">
        <v>118</v>
      </c>
      <c r="E243" s="469" t="s">
        <v>275</v>
      </c>
      <c r="F243" s="469"/>
      <c r="G243" s="459">
        <f>'Пр.4 ведом.21'!G658</f>
        <v>3950</v>
      </c>
    </row>
    <row r="244" spans="1:8" s="203" customFormat="1" ht="31.5" x14ac:dyDescent="0.25">
      <c r="A244" s="29" t="s">
        <v>403</v>
      </c>
      <c r="B244" s="462" t="s">
        <v>1243</v>
      </c>
      <c r="C244" s="469" t="s">
        <v>264</v>
      </c>
      <c r="D244" s="469" t="s">
        <v>118</v>
      </c>
      <c r="E244" s="469" t="s">
        <v>275</v>
      </c>
      <c r="F244" s="469" t="s">
        <v>636</v>
      </c>
      <c r="G244" s="10">
        <f>G243</f>
        <v>3950</v>
      </c>
      <c r="H244" s="204"/>
    </row>
    <row r="245" spans="1:8" s="203" customFormat="1" ht="15.75" x14ac:dyDescent="0.25">
      <c r="A245" s="29" t="s">
        <v>263</v>
      </c>
      <c r="B245" s="469" t="s">
        <v>1242</v>
      </c>
      <c r="C245" s="469" t="s">
        <v>264</v>
      </c>
      <c r="D245" s="469"/>
      <c r="E245" s="469"/>
      <c r="F245" s="469"/>
      <c r="G245" s="10">
        <f t="shared" ref="G245" si="18">G246</f>
        <v>927.2</v>
      </c>
      <c r="H245" s="204"/>
    </row>
    <row r="246" spans="1:8" s="203" customFormat="1" ht="15.75" x14ac:dyDescent="0.25">
      <c r="A246" s="29" t="s">
        <v>425</v>
      </c>
      <c r="B246" s="469" t="s">
        <v>1242</v>
      </c>
      <c r="C246" s="469" t="s">
        <v>264</v>
      </c>
      <c r="D246" s="469" t="s">
        <v>213</v>
      </c>
      <c r="E246" s="469"/>
      <c r="F246" s="469"/>
      <c r="G246" s="10">
        <f>G247+G251+G255+G259</f>
        <v>927.2</v>
      </c>
      <c r="H246" s="204"/>
    </row>
    <row r="247" spans="1:8" s="203" customFormat="1" ht="47.25" hidden="1" x14ac:dyDescent="0.25">
      <c r="A247" s="466" t="s">
        <v>789</v>
      </c>
      <c r="B247" s="462" t="s">
        <v>1324</v>
      </c>
      <c r="C247" s="469" t="s">
        <v>264</v>
      </c>
      <c r="D247" s="469" t="s">
        <v>213</v>
      </c>
      <c r="E247" s="469"/>
      <c r="F247" s="469"/>
      <c r="G247" s="459">
        <f>G248</f>
        <v>0</v>
      </c>
      <c r="H247" s="204"/>
    </row>
    <row r="248" spans="1:8" s="203" customFormat="1" ht="31.5" hidden="1" x14ac:dyDescent="0.25">
      <c r="A248" s="466" t="s">
        <v>272</v>
      </c>
      <c r="B248" s="462" t="s">
        <v>1324</v>
      </c>
      <c r="C248" s="469" t="s">
        <v>264</v>
      </c>
      <c r="D248" s="469" t="s">
        <v>213</v>
      </c>
      <c r="E248" s="469" t="s">
        <v>273</v>
      </c>
      <c r="F248" s="469"/>
      <c r="G248" s="459">
        <f>G249</f>
        <v>0</v>
      </c>
      <c r="H248" s="204"/>
    </row>
    <row r="249" spans="1:8" s="203" customFormat="1" ht="15.75" hidden="1" x14ac:dyDescent="0.25">
      <c r="A249" s="466" t="s">
        <v>274</v>
      </c>
      <c r="B249" s="462" t="s">
        <v>1324</v>
      </c>
      <c r="C249" s="469" t="s">
        <v>264</v>
      </c>
      <c r="D249" s="469" t="s">
        <v>213</v>
      </c>
      <c r="E249" s="469" t="s">
        <v>275</v>
      </c>
      <c r="F249" s="469"/>
      <c r="G249" s="459">
        <f>'Пр.4 ведом.21'!G726</f>
        <v>0</v>
      </c>
      <c r="H249" s="204"/>
    </row>
    <row r="250" spans="1:8" s="203" customFormat="1" ht="31.5" hidden="1" x14ac:dyDescent="0.25">
      <c r="A250" s="29" t="s">
        <v>403</v>
      </c>
      <c r="B250" s="462" t="s">
        <v>1324</v>
      </c>
      <c r="C250" s="469" t="s">
        <v>264</v>
      </c>
      <c r="D250" s="469" t="s">
        <v>213</v>
      </c>
      <c r="E250" s="469" t="s">
        <v>275</v>
      </c>
      <c r="F250" s="469" t="s">
        <v>636</v>
      </c>
      <c r="G250" s="10">
        <f>G249</f>
        <v>0</v>
      </c>
      <c r="H250" s="204"/>
    </row>
    <row r="251" spans="1:8" s="203" customFormat="1" ht="31.5" x14ac:dyDescent="0.25">
      <c r="A251" s="466" t="s">
        <v>278</v>
      </c>
      <c r="B251" s="462" t="s">
        <v>1325</v>
      </c>
      <c r="C251" s="469" t="s">
        <v>264</v>
      </c>
      <c r="D251" s="469" t="s">
        <v>213</v>
      </c>
      <c r="E251" s="469"/>
      <c r="F251" s="469"/>
      <c r="G251" s="459">
        <f t="shared" ref="G251:G252" si="19">G252</f>
        <v>300</v>
      </c>
      <c r="H251" s="204"/>
    </row>
    <row r="252" spans="1:8" s="203" customFormat="1" ht="31.5" x14ac:dyDescent="0.25">
      <c r="A252" s="466" t="s">
        <v>272</v>
      </c>
      <c r="B252" s="462" t="s">
        <v>1325</v>
      </c>
      <c r="C252" s="469" t="s">
        <v>264</v>
      </c>
      <c r="D252" s="469" t="s">
        <v>213</v>
      </c>
      <c r="E252" s="469" t="s">
        <v>273</v>
      </c>
      <c r="F252" s="469"/>
      <c r="G252" s="459">
        <f t="shared" si="19"/>
        <v>300</v>
      </c>
      <c r="H252" s="204"/>
    </row>
    <row r="253" spans="1:8" s="203" customFormat="1" ht="15.75" x14ac:dyDescent="0.25">
      <c r="A253" s="466" t="s">
        <v>274</v>
      </c>
      <c r="B253" s="462" t="s">
        <v>1325</v>
      </c>
      <c r="C253" s="469" t="s">
        <v>264</v>
      </c>
      <c r="D253" s="469" t="s">
        <v>213</v>
      </c>
      <c r="E253" s="469" t="s">
        <v>275</v>
      </c>
      <c r="F253" s="469"/>
      <c r="G253" s="459">
        <f>'Пр.4 ведом.21'!G729</f>
        <v>300</v>
      </c>
      <c r="H253" s="204"/>
    </row>
    <row r="254" spans="1:8" s="203" customFormat="1" ht="31.5" x14ac:dyDescent="0.25">
      <c r="A254" s="29" t="s">
        <v>403</v>
      </c>
      <c r="B254" s="462" t="s">
        <v>1325</v>
      </c>
      <c r="C254" s="469" t="s">
        <v>264</v>
      </c>
      <c r="D254" s="469" t="s">
        <v>213</v>
      </c>
      <c r="E254" s="469" t="s">
        <v>275</v>
      </c>
      <c r="F254" s="469" t="s">
        <v>636</v>
      </c>
      <c r="G254" s="10">
        <f>G253</f>
        <v>300</v>
      </c>
      <c r="H254" s="204"/>
    </row>
    <row r="255" spans="1:8" s="203" customFormat="1" ht="31.5" x14ac:dyDescent="0.25">
      <c r="A255" s="466" t="s">
        <v>280</v>
      </c>
      <c r="B255" s="462" t="s">
        <v>1326</v>
      </c>
      <c r="C255" s="469" t="s">
        <v>264</v>
      </c>
      <c r="D255" s="469" t="s">
        <v>213</v>
      </c>
      <c r="E255" s="469"/>
      <c r="F255" s="469"/>
      <c r="G255" s="459">
        <f t="shared" ref="G255:G256" si="20">G256</f>
        <v>394.4</v>
      </c>
      <c r="H255" s="204"/>
    </row>
    <row r="256" spans="1:8" s="203" customFormat="1" ht="31.5" x14ac:dyDescent="0.25">
      <c r="A256" s="466" t="s">
        <v>272</v>
      </c>
      <c r="B256" s="462" t="s">
        <v>1326</v>
      </c>
      <c r="C256" s="469" t="s">
        <v>264</v>
      </c>
      <c r="D256" s="469" t="s">
        <v>213</v>
      </c>
      <c r="E256" s="469" t="s">
        <v>273</v>
      </c>
      <c r="F256" s="469"/>
      <c r="G256" s="459">
        <f t="shared" si="20"/>
        <v>394.4</v>
      </c>
      <c r="H256" s="204"/>
    </row>
    <row r="257" spans="1:8" s="203" customFormat="1" ht="15.75" x14ac:dyDescent="0.25">
      <c r="A257" s="466" t="s">
        <v>274</v>
      </c>
      <c r="B257" s="462" t="s">
        <v>1326</v>
      </c>
      <c r="C257" s="469" t="s">
        <v>264</v>
      </c>
      <c r="D257" s="469" t="s">
        <v>213</v>
      </c>
      <c r="E257" s="469" t="s">
        <v>275</v>
      </c>
      <c r="F257" s="469"/>
      <c r="G257" s="459">
        <f>'Пр.4 ведом.21'!G732</f>
        <v>394.4</v>
      </c>
      <c r="H257" s="204"/>
    </row>
    <row r="258" spans="1:8" s="203" customFormat="1" ht="31.5" x14ac:dyDescent="0.25">
      <c r="A258" s="29" t="s">
        <v>403</v>
      </c>
      <c r="B258" s="462" t="s">
        <v>1326</v>
      </c>
      <c r="C258" s="469" t="s">
        <v>264</v>
      </c>
      <c r="D258" s="469" t="s">
        <v>213</v>
      </c>
      <c r="E258" s="469" t="s">
        <v>275</v>
      </c>
      <c r="F258" s="469" t="s">
        <v>636</v>
      </c>
      <c r="G258" s="10">
        <f>G257</f>
        <v>394.4</v>
      </c>
      <c r="H258" s="204"/>
    </row>
    <row r="259" spans="1:8" s="203" customFormat="1" ht="31.5" x14ac:dyDescent="0.25">
      <c r="A259" s="29" t="s">
        <v>282</v>
      </c>
      <c r="B259" s="462" t="s">
        <v>1258</v>
      </c>
      <c r="C259" s="469" t="s">
        <v>264</v>
      </c>
      <c r="D259" s="469" t="s">
        <v>213</v>
      </c>
      <c r="E259" s="469"/>
      <c r="F259" s="469"/>
      <c r="G259" s="10">
        <f t="shared" ref="G259:G260" si="21">G260</f>
        <v>232.8</v>
      </c>
      <c r="H259" s="204"/>
    </row>
    <row r="260" spans="1:8" s="203" customFormat="1" ht="31.5" x14ac:dyDescent="0.25">
      <c r="A260" s="29" t="s">
        <v>272</v>
      </c>
      <c r="B260" s="462" t="s">
        <v>1258</v>
      </c>
      <c r="C260" s="469" t="s">
        <v>264</v>
      </c>
      <c r="D260" s="469" t="s">
        <v>213</v>
      </c>
      <c r="E260" s="469" t="s">
        <v>273</v>
      </c>
      <c r="F260" s="469"/>
      <c r="G260" s="10">
        <f t="shared" si="21"/>
        <v>232.8</v>
      </c>
      <c r="H260" s="204"/>
    </row>
    <row r="261" spans="1:8" s="203" customFormat="1" ht="15.75" x14ac:dyDescent="0.25">
      <c r="A261" s="29" t="s">
        <v>274</v>
      </c>
      <c r="B261" s="462" t="s">
        <v>1258</v>
      </c>
      <c r="C261" s="469" t="s">
        <v>264</v>
      </c>
      <c r="D261" s="469" t="s">
        <v>213</v>
      </c>
      <c r="E261" s="469" t="s">
        <v>275</v>
      </c>
      <c r="F261" s="469"/>
      <c r="G261" s="10">
        <f>'Пр.4 ведом.21'!G735</f>
        <v>232.8</v>
      </c>
      <c r="H261" s="204"/>
    </row>
    <row r="262" spans="1:8" s="203" customFormat="1" ht="31.5" x14ac:dyDescent="0.25">
      <c r="A262" s="29" t="s">
        <v>403</v>
      </c>
      <c r="B262" s="462" t="s">
        <v>1258</v>
      </c>
      <c r="C262" s="469" t="s">
        <v>264</v>
      </c>
      <c r="D262" s="469" t="s">
        <v>213</v>
      </c>
      <c r="E262" s="469" t="s">
        <v>275</v>
      </c>
      <c r="F262" s="469" t="s">
        <v>636</v>
      </c>
      <c r="G262" s="10">
        <f>G261</f>
        <v>232.8</v>
      </c>
      <c r="H262" s="204"/>
    </row>
    <row r="263" spans="1:8" s="203" customFormat="1" ht="31.5" x14ac:dyDescent="0.25">
      <c r="A263" s="464" t="s">
        <v>943</v>
      </c>
      <c r="B263" s="465" t="s">
        <v>1244</v>
      </c>
      <c r="C263" s="7"/>
      <c r="D263" s="7"/>
      <c r="E263" s="7"/>
      <c r="F263" s="7"/>
      <c r="G263" s="59">
        <f>G264</f>
        <v>6043.9000000000005</v>
      </c>
      <c r="H263" s="204"/>
    </row>
    <row r="264" spans="1:8" s="203" customFormat="1" ht="15.75" x14ac:dyDescent="0.25">
      <c r="A264" s="29" t="s">
        <v>263</v>
      </c>
      <c r="B264" s="462" t="s">
        <v>1244</v>
      </c>
      <c r="C264" s="469" t="s">
        <v>264</v>
      </c>
      <c r="D264" s="469"/>
      <c r="E264" s="469"/>
      <c r="F264" s="469"/>
      <c r="G264" s="10">
        <f t="shared" ref="G264:G267" si="22">G265</f>
        <v>6043.9000000000005</v>
      </c>
      <c r="H264" s="204"/>
    </row>
    <row r="265" spans="1:8" s="203" customFormat="1" ht="15.75" x14ac:dyDescent="0.25">
      <c r="A265" s="29" t="s">
        <v>466</v>
      </c>
      <c r="B265" s="462" t="s">
        <v>1244</v>
      </c>
      <c r="C265" s="469" t="s">
        <v>264</v>
      </c>
      <c r="D265" s="469" t="s">
        <v>264</v>
      </c>
      <c r="E265" s="469"/>
      <c r="F265" s="469"/>
      <c r="G265" s="10">
        <f>G266</f>
        <v>6043.9000000000005</v>
      </c>
      <c r="H265" s="204"/>
    </row>
    <row r="266" spans="1:8" s="203" customFormat="1" ht="31.5" x14ac:dyDescent="0.25">
      <c r="A266" s="31" t="s">
        <v>1062</v>
      </c>
      <c r="B266" s="462" t="s">
        <v>1266</v>
      </c>
      <c r="C266" s="469" t="s">
        <v>264</v>
      </c>
      <c r="D266" s="469" t="s">
        <v>264</v>
      </c>
      <c r="E266" s="469"/>
      <c r="F266" s="469"/>
      <c r="G266" s="10">
        <f t="shared" si="22"/>
        <v>6043.9000000000005</v>
      </c>
      <c r="H266" s="204"/>
    </row>
    <row r="267" spans="1:8" s="203" customFormat="1" ht="31.5" x14ac:dyDescent="0.25">
      <c r="A267" s="466" t="s">
        <v>272</v>
      </c>
      <c r="B267" s="462" t="s">
        <v>1266</v>
      </c>
      <c r="C267" s="469" t="s">
        <v>264</v>
      </c>
      <c r="D267" s="469" t="s">
        <v>264</v>
      </c>
      <c r="E267" s="469" t="s">
        <v>273</v>
      </c>
      <c r="F267" s="469"/>
      <c r="G267" s="10">
        <f t="shared" si="22"/>
        <v>6043.9000000000005</v>
      </c>
      <c r="H267" s="204"/>
    </row>
    <row r="268" spans="1:8" s="203" customFormat="1" ht="15.75" x14ac:dyDescent="0.25">
      <c r="A268" s="466" t="s">
        <v>274</v>
      </c>
      <c r="B268" s="462" t="s">
        <v>1266</v>
      </c>
      <c r="C268" s="469" t="s">
        <v>264</v>
      </c>
      <c r="D268" s="469" t="s">
        <v>264</v>
      </c>
      <c r="E268" s="469" t="s">
        <v>275</v>
      </c>
      <c r="F268" s="469"/>
      <c r="G268" s="10">
        <f>'Пр.4 ведом.21'!G833</f>
        <v>6043.9000000000005</v>
      </c>
      <c r="H268" s="204"/>
    </row>
    <row r="269" spans="1:8" s="203" customFormat="1" ht="31.5" x14ac:dyDescent="0.25">
      <c r="A269" s="29" t="s">
        <v>403</v>
      </c>
      <c r="B269" s="462" t="s">
        <v>1266</v>
      </c>
      <c r="C269" s="469" t="s">
        <v>264</v>
      </c>
      <c r="D269" s="469" t="s">
        <v>264</v>
      </c>
      <c r="E269" s="469" t="s">
        <v>275</v>
      </c>
      <c r="F269" s="469" t="s">
        <v>636</v>
      </c>
      <c r="G269" s="10">
        <f>G268</f>
        <v>6043.9000000000005</v>
      </c>
      <c r="H269" s="204"/>
    </row>
    <row r="270" spans="1:8" s="203" customFormat="1" ht="31.5" x14ac:dyDescent="0.25">
      <c r="A270" s="218" t="s">
        <v>948</v>
      </c>
      <c r="B270" s="465" t="s">
        <v>1245</v>
      </c>
      <c r="C270" s="7"/>
      <c r="D270" s="7"/>
      <c r="E270" s="7"/>
      <c r="F270" s="7"/>
      <c r="G270" s="458">
        <f>G271</f>
        <v>7363.58</v>
      </c>
      <c r="H270" s="204"/>
    </row>
    <row r="271" spans="1:8" s="203" customFormat="1" ht="15.75" x14ac:dyDescent="0.25">
      <c r="A271" s="29" t="s">
        <v>263</v>
      </c>
      <c r="B271" s="462" t="s">
        <v>1245</v>
      </c>
      <c r="C271" s="469" t="s">
        <v>264</v>
      </c>
      <c r="D271" s="469"/>
      <c r="E271" s="469"/>
      <c r="F271" s="469"/>
      <c r="G271" s="10">
        <f>G272+G285+G294</f>
        <v>7363.58</v>
      </c>
      <c r="H271" s="204"/>
    </row>
    <row r="272" spans="1:8" s="203" customFormat="1" ht="15.75" x14ac:dyDescent="0.25">
      <c r="A272" s="45" t="s">
        <v>404</v>
      </c>
      <c r="B272" s="462" t="s">
        <v>1245</v>
      </c>
      <c r="C272" s="469" t="s">
        <v>264</v>
      </c>
      <c r="D272" s="469" t="s">
        <v>118</v>
      </c>
      <c r="E272" s="469"/>
      <c r="F272" s="469"/>
      <c r="G272" s="10">
        <f>G273+G277+G281</f>
        <v>3181.4</v>
      </c>
      <c r="H272" s="204"/>
    </row>
    <row r="273" spans="1:8" ht="31.7" hidden="1" customHeight="1" x14ac:dyDescent="0.25">
      <c r="A273" s="29" t="s">
        <v>284</v>
      </c>
      <c r="B273" s="462" t="s">
        <v>1263</v>
      </c>
      <c r="C273" s="469" t="s">
        <v>264</v>
      </c>
      <c r="D273" s="469" t="s">
        <v>118</v>
      </c>
      <c r="E273" s="469"/>
      <c r="F273" s="469"/>
      <c r="G273" s="10">
        <f t="shared" ref="G273:G274" si="23">G274</f>
        <v>0</v>
      </c>
    </row>
    <row r="274" spans="1:8" ht="31.7" hidden="1" customHeight="1" x14ac:dyDescent="0.25">
      <c r="A274" s="29" t="s">
        <v>272</v>
      </c>
      <c r="B274" s="462" t="s">
        <v>1263</v>
      </c>
      <c r="C274" s="469" t="s">
        <v>264</v>
      </c>
      <c r="D274" s="469" t="s">
        <v>118</v>
      </c>
      <c r="E274" s="469" t="s">
        <v>273</v>
      </c>
      <c r="F274" s="469"/>
      <c r="G274" s="10">
        <f t="shared" si="23"/>
        <v>0</v>
      </c>
    </row>
    <row r="275" spans="1:8" ht="15.75" hidden="1" customHeight="1" x14ac:dyDescent="0.25">
      <c r="A275" s="29" t="s">
        <v>274</v>
      </c>
      <c r="B275" s="462" t="s">
        <v>1263</v>
      </c>
      <c r="C275" s="469" t="s">
        <v>264</v>
      </c>
      <c r="D275" s="469" t="s">
        <v>118</v>
      </c>
      <c r="E275" s="469" t="s">
        <v>275</v>
      </c>
      <c r="F275" s="469"/>
      <c r="G275" s="10">
        <f>'Пр.4 ведом.21'!G662</f>
        <v>0</v>
      </c>
    </row>
    <row r="276" spans="1:8" s="203" customFormat="1" ht="30.6" hidden="1" customHeight="1" x14ac:dyDescent="0.25">
      <c r="A276" s="29" t="s">
        <v>403</v>
      </c>
      <c r="B276" s="462" t="s">
        <v>1263</v>
      </c>
      <c r="C276" s="469" t="s">
        <v>264</v>
      </c>
      <c r="D276" s="469" t="s">
        <v>118</v>
      </c>
      <c r="E276" s="469" t="s">
        <v>275</v>
      </c>
      <c r="F276" s="469" t="s">
        <v>636</v>
      </c>
      <c r="G276" s="10">
        <f>G275</f>
        <v>0</v>
      </c>
      <c r="H276" s="204"/>
    </row>
    <row r="277" spans="1:8" ht="31.5" x14ac:dyDescent="0.25">
      <c r="A277" s="60" t="s">
        <v>764</v>
      </c>
      <c r="B277" s="462" t="s">
        <v>1246</v>
      </c>
      <c r="C277" s="462" t="s">
        <v>264</v>
      </c>
      <c r="D277" s="462" t="s">
        <v>118</v>
      </c>
      <c r="E277" s="462"/>
      <c r="F277" s="462"/>
      <c r="G277" s="10">
        <f t="shared" ref="G277:G278" si="24">G278</f>
        <v>2245.4</v>
      </c>
    </row>
    <row r="278" spans="1:8" ht="31.5" x14ac:dyDescent="0.25">
      <c r="A278" s="29" t="s">
        <v>272</v>
      </c>
      <c r="B278" s="462" t="s">
        <v>1246</v>
      </c>
      <c r="C278" s="462" t="s">
        <v>264</v>
      </c>
      <c r="D278" s="462" t="s">
        <v>118</v>
      </c>
      <c r="E278" s="462" t="s">
        <v>273</v>
      </c>
      <c r="F278" s="462"/>
      <c r="G278" s="10">
        <f t="shared" si="24"/>
        <v>2245.4</v>
      </c>
    </row>
    <row r="279" spans="1:8" ht="15.75" x14ac:dyDescent="0.25">
      <c r="A279" s="182" t="s">
        <v>274</v>
      </c>
      <c r="B279" s="462" t="s">
        <v>1246</v>
      </c>
      <c r="C279" s="462" t="s">
        <v>264</v>
      </c>
      <c r="D279" s="462" t="s">
        <v>118</v>
      </c>
      <c r="E279" s="462" t="s">
        <v>275</v>
      </c>
      <c r="F279" s="462"/>
      <c r="G279" s="10">
        <f>'Пр.4 ведом.21'!G665</f>
        <v>2245.4</v>
      </c>
    </row>
    <row r="280" spans="1:8" s="203" customFormat="1" ht="31.5" x14ac:dyDescent="0.25">
      <c r="A280" s="29" t="s">
        <v>403</v>
      </c>
      <c r="B280" s="462" t="s">
        <v>1246</v>
      </c>
      <c r="C280" s="469" t="s">
        <v>264</v>
      </c>
      <c r="D280" s="469" t="s">
        <v>118</v>
      </c>
      <c r="E280" s="469" t="s">
        <v>275</v>
      </c>
      <c r="F280" s="469" t="s">
        <v>636</v>
      </c>
      <c r="G280" s="10">
        <f>G279</f>
        <v>2245.4</v>
      </c>
      <c r="H280" s="204"/>
    </row>
    <row r="281" spans="1:8" ht="47.25" x14ac:dyDescent="0.25">
      <c r="A281" s="60" t="s">
        <v>765</v>
      </c>
      <c r="B281" s="462" t="s">
        <v>1247</v>
      </c>
      <c r="C281" s="462" t="s">
        <v>264</v>
      </c>
      <c r="D281" s="462" t="s">
        <v>118</v>
      </c>
      <c r="E281" s="462"/>
      <c r="F281" s="462"/>
      <c r="G281" s="10">
        <f t="shared" ref="G281:G282" si="25">G282</f>
        <v>936</v>
      </c>
    </row>
    <row r="282" spans="1:8" ht="31.5" x14ac:dyDescent="0.25">
      <c r="A282" s="29" t="s">
        <v>272</v>
      </c>
      <c r="B282" s="462" t="s">
        <v>1247</v>
      </c>
      <c r="C282" s="462" t="s">
        <v>264</v>
      </c>
      <c r="D282" s="462" t="s">
        <v>118</v>
      </c>
      <c r="E282" s="462" t="s">
        <v>273</v>
      </c>
      <c r="F282" s="462"/>
      <c r="G282" s="10">
        <f t="shared" si="25"/>
        <v>936</v>
      </c>
    </row>
    <row r="283" spans="1:8" ht="15.75" x14ac:dyDescent="0.25">
      <c r="A283" s="182" t="s">
        <v>274</v>
      </c>
      <c r="B283" s="462" t="s">
        <v>1247</v>
      </c>
      <c r="C283" s="462" t="s">
        <v>264</v>
      </c>
      <c r="D283" s="462" t="s">
        <v>118</v>
      </c>
      <c r="E283" s="462" t="s">
        <v>275</v>
      </c>
      <c r="F283" s="462"/>
      <c r="G283" s="10">
        <f>'Пр.4 ведом.21'!G668</f>
        <v>936</v>
      </c>
    </row>
    <row r="284" spans="1:8" s="203" customFormat="1" ht="31.5" x14ac:dyDescent="0.25">
      <c r="A284" s="29" t="s">
        <v>403</v>
      </c>
      <c r="B284" s="462" t="s">
        <v>1247</v>
      </c>
      <c r="C284" s="469" t="s">
        <v>264</v>
      </c>
      <c r="D284" s="469" t="s">
        <v>118</v>
      </c>
      <c r="E284" s="469" t="s">
        <v>275</v>
      </c>
      <c r="F284" s="469" t="s">
        <v>636</v>
      </c>
      <c r="G284" s="10">
        <f>G283</f>
        <v>936</v>
      </c>
      <c r="H284" s="204"/>
    </row>
    <row r="285" spans="1:8" s="203" customFormat="1" ht="15.75" x14ac:dyDescent="0.25">
      <c r="A285" s="29" t="s">
        <v>425</v>
      </c>
      <c r="B285" s="469" t="s">
        <v>1245</v>
      </c>
      <c r="C285" s="469" t="s">
        <v>264</v>
      </c>
      <c r="D285" s="469" t="s">
        <v>213</v>
      </c>
      <c r="E285" s="469"/>
      <c r="F285" s="469"/>
      <c r="G285" s="10">
        <f>G286+G290</f>
        <v>3082.18</v>
      </c>
      <c r="H285" s="204"/>
    </row>
    <row r="286" spans="1:8" s="203" customFormat="1" ht="31.5" x14ac:dyDescent="0.25">
      <c r="A286" s="29" t="s">
        <v>284</v>
      </c>
      <c r="B286" s="462" t="s">
        <v>1263</v>
      </c>
      <c r="C286" s="469" t="s">
        <v>264</v>
      </c>
      <c r="D286" s="469" t="s">
        <v>213</v>
      </c>
      <c r="E286" s="469"/>
      <c r="F286" s="469"/>
      <c r="G286" s="10">
        <f t="shared" ref="G286:G287" si="26">G287</f>
        <v>44</v>
      </c>
      <c r="H286" s="204"/>
    </row>
    <row r="287" spans="1:8" s="203" customFormat="1" ht="31.5" x14ac:dyDescent="0.25">
      <c r="A287" s="29" t="s">
        <v>272</v>
      </c>
      <c r="B287" s="462" t="s">
        <v>1263</v>
      </c>
      <c r="C287" s="469" t="s">
        <v>264</v>
      </c>
      <c r="D287" s="469" t="s">
        <v>213</v>
      </c>
      <c r="E287" s="469" t="s">
        <v>273</v>
      </c>
      <c r="F287" s="469"/>
      <c r="G287" s="10">
        <f t="shared" si="26"/>
        <v>44</v>
      </c>
      <c r="H287" s="204"/>
    </row>
    <row r="288" spans="1:8" s="203" customFormat="1" ht="15.75" x14ac:dyDescent="0.25">
      <c r="A288" s="29" t="s">
        <v>274</v>
      </c>
      <c r="B288" s="462" t="s">
        <v>1263</v>
      </c>
      <c r="C288" s="469" t="s">
        <v>264</v>
      </c>
      <c r="D288" s="469" t="s">
        <v>213</v>
      </c>
      <c r="E288" s="469" t="s">
        <v>275</v>
      </c>
      <c r="F288" s="469"/>
      <c r="G288" s="10">
        <f>'Пр.4 ведом.21'!G739</f>
        <v>44</v>
      </c>
      <c r="H288" s="204"/>
    </row>
    <row r="289" spans="1:8" s="203" customFormat="1" ht="31.5" x14ac:dyDescent="0.25">
      <c r="A289" s="29" t="s">
        <v>403</v>
      </c>
      <c r="B289" s="462" t="s">
        <v>1263</v>
      </c>
      <c r="C289" s="469" t="s">
        <v>264</v>
      </c>
      <c r="D289" s="469" t="s">
        <v>213</v>
      </c>
      <c r="E289" s="469" t="s">
        <v>275</v>
      </c>
      <c r="F289" s="469" t="s">
        <v>636</v>
      </c>
      <c r="G289" s="10">
        <f>G288</f>
        <v>44</v>
      </c>
      <c r="H289" s="204"/>
    </row>
    <row r="290" spans="1:8" s="203" customFormat="1" ht="31.5" x14ac:dyDescent="0.25">
      <c r="A290" s="60" t="s">
        <v>764</v>
      </c>
      <c r="B290" s="462" t="s">
        <v>1246</v>
      </c>
      <c r="C290" s="469" t="s">
        <v>264</v>
      </c>
      <c r="D290" s="469" t="s">
        <v>213</v>
      </c>
      <c r="E290" s="469"/>
      <c r="F290" s="469"/>
      <c r="G290" s="10">
        <f t="shared" ref="G290:G291" si="27">G291</f>
        <v>3038.18</v>
      </c>
      <c r="H290" s="204"/>
    </row>
    <row r="291" spans="1:8" s="203" customFormat="1" ht="31.5" x14ac:dyDescent="0.25">
      <c r="A291" s="29" t="s">
        <v>272</v>
      </c>
      <c r="B291" s="462" t="s">
        <v>1246</v>
      </c>
      <c r="C291" s="469" t="s">
        <v>264</v>
      </c>
      <c r="D291" s="469" t="s">
        <v>213</v>
      </c>
      <c r="E291" s="469" t="s">
        <v>273</v>
      </c>
      <c r="F291" s="469"/>
      <c r="G291" s="10">
        <f t="shared" si="27"/>
        <v>3038.18</v>
      </c>
      <c r="H291" s="204"/>
    </row>
    <row r="292" spans="1:8" s="203" customFormat="1" ht="15.75" x14ac:dyDescent="0.25">
      <c r="A292" s="182" t="s">
        <v>274</v>
      </c>
      <c r="B292" s="462" t="s">
        <v>1246</v>
      </c>
      <c r="C292" s="469" t="s">
        <v>264</v>
      </c>
      <c r="D292" s="469" t="s">
        <v>213</v>
      </c>
      <c r="E292" s="469" t="s">
        <v>275</v>
      </c>
      <c r="F292" s="469"/>
      <c r="G292" s="10">
        <f>'Пр.4 ведом.21'!G742</f>
        <v>3038.18</v>
      </c>
      <c r="H292" s="204"/>
    </row>
    <row r="293" spans="1:8" s="203" customFormat="1" ht="31.5" x14ac:dyDescent="0.25">
      <c r="A293" s="29" t="s">
        <v>403</v>
      </c>
      <c r="B293" s="462" t="s">
        <v>1246</v>
      </c>
      <c r="C293" s="469" t="s">
        <v>264</v>
      </c>
      <c r="D293" s="469" t="s">
        <v>213</v>
      </c>
      <c r="E293" s="469" t="s">
        <v>275</v>
      </c>
      <c r="F293" s="469" t="s">
        <v>636</v>
      </c>
      <c r="G293" s="10">
        <f>G292</f>
        <v>3038.18</v>
      </c>
      <c r="H293" s="204"/>
    </row>
    <row r="294" spans="1:8" s="203" customFormat="1" ht="15.75" x14ac:dyDescent="0.25">
      <c r="A294" s="29" t="s">
        <v>265</v>
      </c>
      <c r="B294" s="469" t="s">
        <v>1245</v>
      </c>
      <c r="C294" s="469" t="s">
        <v>264</v>
      </c>
      <c r="D294" s="469" t="s">
        <v>215</v>
      </c>
      <c r="E294" s="469"/>
      <c r="F294" s="469"/>
      <c r="G294" s="10">
        <f>G295</f>
        <v>1100</v>
      </c>
      <c r="H294" s="204"/>
    </row>
    <row r="295" spans="1:8" s="203" customFormat="1" ht="31.5" x14ac:dyDescent="0.25">
      <c r="A295" s="45" t="s">
        <v>764</v>
      </c>
      <c r="B295" s="462" t="s">
        <v>1246</v>
      </c>
      <c r="C295" s="462" t="s">
        <v>264</v>
      </c>
      <c r="D295" s="462" t="s">
        <v>215</v>
      </c>
      <c r="E295" s="462"/>
      <c r="F295" s="462"/>
      <c r="G295" s="10">
        <f t="shared" ref="G295:G296" si="28">G296</f>
        <v>1100</v>
      </c>
      <c r="H295" s="204"/>
    </row>
    <row r="296" spans="1:8" s="203" customFormat="1" ht="31.5" x14ac:dyDescent="0.25">
      <c r="A296" s="29" t="s">
        <v>272</v>
      </c>
      <c r="B296" s="462" t="s">
        <v>1246</v>
      </c>
      <c r="C296" s="462" t="s">
        <v>264</v>
      </c>
      <c r="D296" s="462" t="s">
        <v>215</v>
      </c>
      <c r="E296" s="462" t="s">
        <v>273</v>
      </c>
      <c r="F296" s="462"/>
      <c r="G296" s="10">
        <f t="shared" si="28"/>
        <v>1100</v>
      </c>
      <c r="H296" s="204"/>
    </row>
    <row r="297" spans="1:8" s="203" customFormat="1" ht="15.75" x14ac:dyDescent="0.25">
      <c r="A297" s="31" t="s">
        <v>274</v>
      </c>
      <c r="B297" s="462" t="s">
        <v>1246</v>
      </c>
      <c r="C297" s="462" t="s">
        <v>264</v>
      </c>
      <c r="D297" s="462" t="s">
        <v>215</v>
      </c>
      <c r="E297" s="462" t="s">
        <v>275</v>
      </c>
      <c r="F297" s="462"/>
      <c r="G297" s="10">
        <f>'Пр.4 ведом.21'!G818</f>
        <v>1100</v>
      </c>
      <c r="H297" s="204"/>
    </row>
    <row r="298" spans="1:8" s="203" customFormat="1" ht="31.5" x14ac:dyDescent="0.25">
      <c r="A298" s="29" t="s">
        <v>403</v>
      </c>
      <c r="B298" s="462" t="s">
        <v>1246</v>
      </c>
      <c r="C298" s="469" t="s">
        <v>264</v>
      </c>
      <c r="D298" s="469" t="s">
        <v>215</v>
      </c>
      <c r="E298" s="469" t="s">
        <v>275</v>
      </c>
      <c r="F298" s="469" t="s">
        <v>636</v>
      </c>
      <c r="G298" s="10">
        <f>G297</f>
        <v>1100</v>
      </c>
      <c r="H298" s="204"/>
    </row>
    <row r="299" spans="1:8" s="203" customFormat="1" ht="63" x14ac:dyDescent="0.25">
      <c r="A299" s="464" t="s">
        <v>933</v>
      </c>
      <c r="B299" s="465" t="s">
        <v>1248</v>
      </c>
      <c r="C299" s="465"/>
      <c r="D299" s="465"/>
      <c r="E299" s="465"/>
      <c r="F299" s="465"/>
      <c r="G299" s="59">
        <f>G300</f>
        <v>291.10000000000002</v>
      </c>
      <c r="H299" s="204"/>
    </row>
    <row r="300" spans="1:8" s="203" customFormat="1" ht="15.75" x14ac:dyDescent="0.25">
      <c r="A300" s="29" t="s">
        <v>263</v>
      </c>
      <c r="B300" s="462" t="s">
        <v>1248</v>
      </c>
      <c r="C300" s="469" t="s">
        <v>264</v>
      </c>
      <c r="D300" s="469"/>
      <c r="E300" s="469"/>
      <c r="F300" s="469"/>
      <c r="G300" s="10">
        <f t="shared" ref="G300" si="29">G301</f>
        <v>291.10000000000002</v>
      </c>
      <c r="H300" s="204"/>
    </row>
    <row r="301" spans="1:8" s="203" customFormat="1" ht="15.75" x14ac:dyDescent="0.25">
      <c r="A301" s="45" t="s">
        <v>404</v>
      </c>
      <c r="B301" s="462" t="s">
        <v>1248</v>
      </c>
      <c r="C301" s="469" t="s">
        <v>264</v>
      </c>
      <c r="D301" s="469" t="s">
        <v>118</v>
      </c>
      <c r="E301" s="469"/>
      <c r="F301" s="469"/>
      <c r="G301" s="10">
        <f>G302</f>
        <v>291.10000000000002</v>
      </c>
      <c r="H301" s="204"/>
    </row>
    <row r="302" spans="1:8" ht="112.7" customHeight="1" x14ac:dyDescent="0.25">
      <c r="A302" s="466" t="s">
        <v>1523</v>
      </c>
      <c r="B302" s="462" t="s">
        <v>1249</v>
      </c>
      <c r="C302" s="462" t="s">
        <v>264</v>
      </c>
      <c r="D302" s="462" t="s">
        <v>118</v>
      </c>
      <c r="E302" s="462"/>
      <c r="F302" s="462"/>
      <c r="G302" s="10">
        <f>G303</f>
        <v>291.10000000000002</v>
      </c>
    </row>
    <row r="303" spans="1:8" ht="31.5" x14ac:dyDescent="0.25">
      <c r="A303" s="466" t="s">
        <v>272</v>
      </c>
      <c r="B303" s="462" t="s">
        <v>1249</v>
      </c>
      <c r="C303" s="462" t="s">
        <v>264</v>
      </c>
      <c r="D303" s="462" t="s">
        <v>118</v>
      </c>
      <c r="E303" s="462" t="s">
        <v>273</v>
      </c>
      <c r="F303" s="462"/>
      <c r="G303" s="10">
        <f>G304</f>
        <v>291.10000000000002</v>
      </c>
    </row>
    <row r="304" spans="1:8" ht="15.75" x14ac:dyDescent="0.25">
      <c r="A304" s="466" t="s">
        <v>274</v>
      </c>
      <c r="B304" s="462" t="s">
        <v>1249</v>
      </c>
      <c r="C304" s="462" t="s">
        <v>264</v>
      </c>
      <c r="D304" s="462" t="s">
        <v>118</v>
      </c>
      <c r="E304" s="462" t="s">
        <v>275</v>
      </c>
      <c r="F304" s="462"/>
      <c r="G304" s="10">
        <f>'Пр.4 ведом.21'!G672</f>
        <v>291.10000000000002</v>
      </c>
    </row>
    <row r="305" spans="1:8" s="203" customFormat="1" ht="31.5" x14ac:dyDescent="0.25">
      <c r="A305" s="29" t="s">
        <v>403</v>
      </c>
      <c r="B305" s="462" t="s">
        <v>1249</v>
      </c>
      <c r="C305" s="469" t="s">
        <v>264</v>
      </c>
      <c r="D305" s="469" t="s">
        <v>118</v>
      </c>
      <c r="E305" s="469" t="s">
        <v>275</v>
      </c>
      <c r="F305" s="469" t="s">
        <v>636</v>
      </c>
      <c r="G305" s="10">
        <f>G304</f>
        <v>291.10000000000002</v>
      </c>
      <c r="H305" s="204"/>
    </row>
    <row r="306" spans="1:8" s="203" customFormat="1" ht="31.5" x14ac:dyDescent="0.25">
      <c r="A306" s="464" t="s">
        <v>938</v>
      </c>
      <c r="B306" s="465" t="s">
        <v>1259</v>
      </c>
      <c r="C306" s="7"/>
      <c r="D306" s="7"/>
      <c r="E306" s="7"/>
      <c r="F306" s="7"/>
      <c r="G306" s="59">
        <f>G307</f>
        <v>3001.8</v>
      </c>
      <c r="H306" s="204"/>
    </row>
    <row r="307" spans="1:8" s="203" customFormat="1" ht="15.75" x14ac:dyDescent="0.25">
      <c r="A307" s="29" t="s">
        <v>263</v>
      </c>
      <c r="B307" s="462" t="s">
        <v>1259</v>
      </c>
      <c r="C307" s="469" t="s">
        <v>264</v>
      </c>
      <c r="D307" s="469"/>
      <c r="E307" s="469"/>
      <c r="F307" s="469"/>
      <c r="G307" s="10">
        <f t="shared" ref="G307" si="30">G308</f>
        <v>3001.8</v>
      </c>
      <c r="H307" s="204"/>
    </row>
    <row r="308" spans="1:8" s="203" customFormat="1" ht="15.75" x14ac:dyDescent="0.25">
      <c r="A308" s="29" t="s">
        <v>425</v>
      </c>
      <c r="B308" s="462" t="s">
        <v>1259</v>
      </c>
      <c r="C308" s="469" t="s">
        <v>264</v>
      </c>
      <c r="D308" s="469" t="s">
        <v>213</v>
      </c>
      <c r="E308" s="469"/>
      <c r="F308" s="469"/>
      <c r="G308" s="10">
        <f>G309</f>
        <v>3001.8</v>
      </c>
      <c r="H308" s="204"/>
    </row>
    <row r="309" spans="1:8" s="203" customFormat="1" ht="47.25" x14ac:dyDescent="0.25">
      <c r="A309" s="29" t="s">
        <v>602</v>
      </c>
      <c r="B309" s="462" t="s">
        <v>1260</v>
      </c>
      <c r="C309" s="469" t="s">
        <v>264</v>
      </c>
      <c r="D309" s="469" t="s">
        <v>213</v>
      </c>
      <c r="E309" s="469"/>
      <c r="F309" s="469"/>
      <c r="G309" s="10">
        <f t="shared" ref="G309:G310" si="31">G310</f>
        <v>3001.8</v>
      </c>
      <c r="H309" s="204"/>
    </row>
    <row r="310" spans="1:8" s="203" customFormat="1" ht="31.5" x14ac:dyDescent="0.25">
      <c r="A310" s="29" t="s">
        <v>272</v>
      </c>
      <c r="B310" s="462" t="s">
        <v>1260</v>
      </c>
      <c r="C310" s="469" t="s">
        <v>264</v>
      </c>
      <c r="D310" s="469" t="s">
        <v>213</v>
      </c>
      <c r="E310" s="469" t="s">
        <v>273</v>
      </c>
      <c r="F310" s="469"/>
      <c r="G310" s="10">
        <f t="shared" si="31"/>
        <v>3001.8</v>
      </c>
      <c r="H310" s="204"/>
    </row>
    <row r="311" spans="1:8" s="203" customFormat="1" ht="15.75" x14ac:dyDescent="0.25">
      <c r="A311" s="29" t="s">
        <v>274</v>
      </c>
      <c r="B311" s="462" t="s">
        <v>1260</v>
      </c>
      <c r="C311" s="469" t="s">
        <v>264</v>
      </c>
      <c r="D311" s="469" t="s">
        <v>213</v>
      </c>
      <c r="E311" s="469" t="s">
        <v>275</v>
      </c>
      <c r="F311" s="469"/>
      <c r="G311" s="459">
        <f>'Пр.4 ведом.21'!G746</f>
        <v>3001.8</v>
      </c>
      <c r="H311" s="204"/>
    </row>
    <row r="312" spans="1:8" s="203" customFormat="1" ht="31.5" x14ac:dyDescent="0.25">
      <c r="A312" s="29" t="s">
        <v>403</v>
      </c>
      <c r="B312" s="462" t="s">
        <v>1260</v>
      </c>
      <c r="C312" s="469" t="s">
        <v>264</v>
      </c>
      <c r="D312" s="469" t="s">
        <v>213</v>
      </c>
      <c r="E312" s="469" t="s">
        <v>275</v>
      </c>
      <c r="F312" s="469" t="s">
        <v>636</v>
      </c>
      <c r="G312" s="10">
        <f>G311</f>
        <v>3001.8</v>
      </c>
      <c r="H312" s="204"/>
    </row>
    <row r="313" spans="1:8" s="203" customFormat="1" ht="31.5" x14ac:dyDescent="0.25">
      <c r="A313" s="464" t="s">
        <v>939</v>
      </c>
      <c r="B313" s="465" t="s">
        <v>1261</v>
      </c>
      <c r="C313" s="7"/>
      <c r="D313" s="7"/>
      <c r="E313" s="7"/>
      <c r="F313" s="7"/>
      <c r="G313" s="59">
        <f>G314</f>
        <v>1384.6</v>
      </c>
      <c r="H313" s="204"/>
    </row>
    <row r="314" spans="1:8" s="203" customFormat="1" ht="15.75" x14ac:dyDescent="0.25">
      <c r="A314" s="29" t="s">
        <v>263</v>
      </c>
      <c r="B314" s="462" t="s">
        <v>1261</v>
      </c>
      <c r="C314" s="469" t="s">
        <v>264</v>
      </c>
      <c r="D314" s="469"/>
      <c r="E314" s="469"/>
      <c r="F314" s="469"/>
      <c r="G314" s="10">
        <f t="shared" ref="G314" si="32">G315</f>
        <v>1384.6</v>
      </c>
      <c r="H314" s="204"/>
    </row>
    <row r="315" spans="1:8" s="203" customFormat="1" ht="15.75" x14ac:dyDescent="0.25">
      <c r="A315" s="29" t="s">
        <v>425</v>
      </c>
      <c r="B315" s="462" t="s">
        <v>1261</v>
      </c>
      <c r="C315" s="469" t="s">
        <v>264</v>
      </c>
      <c r="D315" s="469" t="s">
        <v>213</v>
      </c>
      <c r="E315" s="469"/>
      <c r="F315" s="469"/>
      <c r="G315" s="10">
        <f>G316</f>
        <v>1384.6</v>
      </c>
      <c r="H315" s="204"/>
    </row>
    <row r="316" spans="1:8" s="203" customFormat="1" ht="47.25" x14ac:dyDescent="0.25">
      <c r="A316" s="466" t="s">
        <v>438</v>
      </c>
      <c r="B316" s="462" t="s">
        <v>1262</v>
      </c>
      <c r="C316" s="469" t="s">
        <v>264</v>
      </c>
      <c r="D316" s="469" t="s">
        <v>213</v>
      </c>
      <c r="E316" s="469"/>
      <c r="F316" s="469"/>
      <c r="G316" s="10">
        <f>G317</f>
        <v>1384.6</v>
      </c>
      <c r="H316" s="204"/>
    </row>
    <row r="317" spans="1:8" s="203" customFormat="1" ht="31.5" x14ac:dyDescent="0.25">
      <c r="A317" s="466" t="s">
        <v>272</v>
      </c>
      <c r="B317" s="462" t="s">
        <v>1262</v>
      </c>
      <c r="C317" s="469" t="s">
        <v>264</v>
      </c>
      <c r="D317" s="469" t="s">
        <v>213</v>
      </c>
      <c r="E317" s="469" t="s">
        <v>273</v>
      </c>
      <c r="F317" s="469"/>
      <c r="G317" s="10">
        <f>G318</f>
        <v>1384.6</v>
      </c>
      <c r="H317" s="204"/>
    </row>
    <row r="318" spans="1:8" s="203" customFormat="1" ht="15.75" x14ac:dyDescent="0.25">
      <c r="A318" s="466" t="s">
        <v>274</v>
      </c>
      <c r="B318" s="462" t="s">
        <v>1262</v>
      </c>
      <c r="C318" s="469" t="s">
        <v>264</v>
      </c>
      <c r="D318" s="469" t="s">
        <v>213</v>
      </c>
      <c r="E318" s="469" t="s">
        <v>275</v>
      </c>
      <c r="F318" s="469"/>
      <c r="G318" s="10">
        <f>'Пр.3 Рд,пр, ЦС,ВР 21'!F665</f>
        <v>1384.6</v>
      </c>
      <c r="H318" s="204"/>
    </row>
    <row r="319" spans="1:8" s="203" customFormat="1" ht="31.5" x14ac:dyDescent="0.25">
      <c r="A319" s="29" t="s">
        <v>403</v>
      </c>
      <c r="B319" s="462" t="s">
        <v>1262</v>
      </c>
      <c r="C319" s="469" t="s">
        <v>264</v>
      </c>
      <c r="D319" s="469" t="s">
        <v>213</v>
      </c>
      <c r="E319" s="469" t="s">
        <v>275</v>
      </c>
      <c r="F319" s="469" t="s">
        <v>636</v>
      </c>
      <c r="G319" s="10">
        <f>G318</f>
        <v>1384.6</v>
      </c>
      <c r="H319" s="204"/>
    </row>
    <row r="320" spans="1:8" s="203" customFormat="1" ht="31.5" x14ac:dyDescent="0.25">
      <c r="A320" s="216" t="s">
        <v>940</v>
      </c>
      <c r="B320" s="465" t="s">
        <v>1264</v>
      </c>
      <c r="C320" s="7"/>
      <c r="D320" s="7"/>
      <c r="E320" s="7"/>
      <c r="F320" s="7"/>
      <c r="G320" s="59">
        <f>G321</f>
        <v>752.9</v>
      </c>
      <c r="H320" s="204"/>
    </row>
    <row r="321" spans="1:8" s="203" customFormat="1" ht="15.75" x14ac:dyDescent="0.25">
      <c r="A321" s="29" t="s">
        <v>263</v>
      </c>
      <c r="B321" s="462" t="s">
        <v>1264</v>
      </c>
      <c r="C321" s="469" t="s">
        <v>264</v>
      </c>
      <c r="D321" s="469"/>
      <c r="E321" s="469"/>
      <c r="F321" s="469"/>
      <c r="G321" s="10">
        <f t="shared" ref="G321" si="33">G322</f>
        <v>752.9</v>
      </c>
      <c r="H321" s="204"/>
    </row>
    <row r="322" spans="1:8" s="203" customFormat="1" ht="15.75" x14ac:dyDescent="0.25">
      <c r="A322" s="29" t="s">
        <v>425</v>
      </c>
      <c r="B322" s="462" t="s">
        <v>1264</v>
      </c>
      <c r="C322" s="469" t="s">
        <v>264</v>
      </c>
      <c r="D322" s="469" t="s">
        <v>213</v>
      </c>
      <c r="E322" s="469"/>
      <c r="F322" s="469"/>
      <c r="G322" s="10">
        <f>G323</f>
        <v>752.9</v>
      </c>
      <c r="H322" s="204"/>
    </row>
    <row r="323" spans="1:8" s="203" customFormat="1" ht="47.25" x14ac:dyDescent="0.25">
      <c r="A323" s="182" t="s">
        <v>828</v>
      </c>
      <c r="B323" s="462" t="s">
        <v>1437</v>
      </c>
      <c r="C323" s="469" t="s">
        <v>264</v>
      </c>
      <c r="D323" s="469" t="s">
        <v>213</v>
      </c>
      <c r="E323" s="469"/>
      <c r="F323" s="469"/>
      <c r="G323" s="10">
        <f>G324</f>
        <v>752.9</v>
      </c>
      <c r="H323" s="204"/>
    </row>
    <row r="324" spans="1:8" s="203" customFormat="1" ht="31.5" x14ac:dyDescent="0.25">
      <c r="A324" s="29" t="s">
        <v>272</v>
      </c>
      <c r="B324" s="462" t="s">
        <v>1437</v>
      </c>
      <c r="C324" s="469" t="s">
        <v>264</v>
      </c>
      <c r="D324" s="469" t="s">
        <v>213</v>
      </c>
      <c r="E324" s="469" t="s">
        <v>273</v>
      </c>
      <c r="F324" s="469"/>
      <c r="G324" s="10">
        <f>G325</f>
        <v>752.9</v>
      </c>
      <c r="H324" s="204"/>
    </row>
    <row r="325" spans="1:8" s="203" customFormat="1" ht="15.75" x14ac:dyDescent="0.25">
      <c r="A325" s="182" t="s">
        <v>274</v>
      </c>
      <c r="B325" s="462" t="s">
        <v>1437</v>
      </c>
      <c r="C325" s="469" t="s">
        <v>264</v>
      </c>
      <c r="D325" s="469" t="s">
        <v>213</v>
      </c>
      <c r="E325" s="469" t="s">
        <v>275</v>
      </c>
      <c r="F325" s="469"/>
      <c r="G325" s="10">
        <f>'Пр.3 Рд,пр, ЦС,ВР 21'!F669</f>
        <v>752.9</v>
      </c>
      <c r="H325" s="204"/>
    </row>
    <row r="326" spans="1:8" s="203" customFormat="1" ht="31.5" x14ac:dyDescent="0.25">
      <c r="A326" s="29" t="s">
        <v>403</v>
      </c>
      <c r="B326" s="462" t="s">
        <v>1437</v>
      </c>
      <c r="C326" s="469" t="s">
        <v>264</v>
      </c>
      <c r="D326" s="469" t="s">
        <v>213</v>
      </c>
      <c r="E326" s="469" t="s">
        <v>275</v>
      </c>
      <c r="F326" s="469" t="s">
        <v>636</v>
      </c>
      <c r="G326" s="10">
        <f>G325</f>
        <v>752.9</v>
      </c>
      <c r="H326" s="204"/>
    </row>
    <row r="327" spans="1:8" s="203" customFormat="1" ht="94.5" x14ac:dyDescent="0.25">
      <c r="A327" s="464" t="s">
        <v>1422</v>
      </c>
      <c r="B327" s="465" t="s">
        <v>1251</v>
      </c>
      <c r="C327" s="465"/>
      <c r="D327" s="465"/>
      <c r="E327" s="469"/>
      <c r="F327" s="469"/>
      <c r="G327" s="59">
        <f>G328</f>
        <v>1738</v>
      </c>
      <c r="H327" s="204"/>
    </row>
    <row r="328" spans="1:8" s="203" customFormat="1" ht="15.75" x14ac:dyDescent="0.25">
      <c r="A328" s="29" t="s">
        <v>263</v>
      </c>
      <c r="B328" s="462" t="s">
        <v>1251</v>
      </c>
      <c r="C328" s="462" t="s">
        <v>264</v>
      </c>
      <c r="D328" s="462"/>
      <c r="E328" s="469"/>
      <c r="F328" s="469"/>
      <c r="G328" s="10">
        <f>G329</f>
        <v>1738</v>
      </c>
      <c r="H328" s="204"/>
    </row>
    <row r="329" spans="1:8" s="203" customFormat="1" ht="15.75" x14ac:dyDescent="0.25">
      <c r="A329" s="45" t="s">
        <v>404</v>
      </c>
      <c r="B329" s="462" t="s">
        <v>1251</v>
      </c>
      <c r="C329" s="462" t="s">
        <v>264</v>
      </c>
      <c r="D329" s="462" t="s">
        <v>118</v>
      </c>
      <c r="E329" s="469"/>
      <c r="F329" s="469"/>
      <c r="G329" s="10">
        <f>G330</f>
        <v>1738</v>
      </c>
      <c r="H329" s="204"/>
    </row>
    <row r="330" spans="1:8" s="203" customFormat="1" ht="102.2" customHeight="1" x14ac:dyDescent="0.25">
      <c r="A330" s="149" t="s">
        <v>1506</v>
      </c>
      <c r="B330" s="462" t="s">
        <v>1252</v>
      </c>
      <c r="C330" s="462" t="s">
        <v>264</v>
      </c>
      <c r="D330" s="462" t="s">
        <v>118</v>
      </c>
      <c r="E330" s="469"/>
      <c r="F330" s="469"/>
      <c r="G330" s="10">
        <f>G331</f>
        <v>1738</v>
      </c>
      <c r="H330" s="204"/>
    </row>
    <row r="331" spans="1:8" s="203" customFormat="1" ht="31.5" x14ac:dyDescent="0.25">
      <c r="A331" s="466" t="s">
        <v>272</v>
      </c>
      <c r="B331" s="462" t="s">
        <v>1252</v>
      </c>
      <c r="C331" s="462" t="s">
        <v>264</v>
      </c>
      <c r="D331" s="462" t="s">
        <v>118</v>
      </c>
      <c r="E331" s="462" t="s">
        <v>273</v>
      </c>
      <c r="F331" s="469"/>
      <c r="G331" s="10">
        <f>G332</f>
        <v>1738</v>
      </c>
      <c r="H331" s="204"/>
    </row>
    <row r="332" spans="1:8" s="203" customFormat="1" ht="15.75" x14ac:dyDescent="0.25">
      <c r="A332" s="466" t="s">
        <v>274</v>
      </c>
      <c r="B332" s="462" t="s">
        <v>1252</v>
      </c>
      <c r="C332" s="462" t="s">
        <v>264</v>
      </c>
      <c r="D332" s="462" t="s">
        <v>118</v>
      </c>
      <c r="E332" s="462" t="s">
        <v>275</v>
      </c>
      <c r="F332" s="469"/>
      <c r="G332" s="10">
        <f>'Пр.4 ведом.21'!G676</f>
        <v>1738</v>
      </c>
      <c r="H332" s="204"/>
    </row>
    <row r="333" spans="1:8" s="203" customFormat="1" ht="31.5" x14ac:dyDescent="0.25">
      <c r="A333" s="29" t="s">
        <v>403</v>
      </c>
      <c r="B333" s="462" t="s">
        <v>1252</v>
      </c>
      <c r="C333" s="462" t="s">
        <v>264</v>
      </c>
      <c r="D333" s="462" t="s">
        <v>118</v>
      </c>
      <c r="E333" s="462" t="s">
        <v>275</v>
      </c>
      <c r="F333" s="469" t="s">
        <v>636</v>
      </c>
      <c r="G333" s="10">
        <f>G328</f>
        <v>1738</v>
      </c>
      <c r="H333" s="204"/>
    </row>
    <row r="334" spans="1:8" s="203" customFormat="1" ht="31.5" x14ac:dyDescent="0.25">
      <c r="A334" s="298" t="s">
        <v>1416</v>
      </c>
      <c r="B334" s="465" t="s">
        <v>1415</v>
      </c>
      <c r="C334" s="465"/>
      <c r="D334" s="465"/>
      <c r="E334" s="465"/>
      <c r="F334" s="7"/>
      <c r="G334" s="59">
        <f>G335</f>
        <v>5296.5999999999995</v>
      </c>
      <c r="H334" s="204"/>
    </row>
    <row r="335" spans="1:8" s="203" customFormat="1" ht="15.75" x14ac:dyDescent="0.25">
      <c r="A335" s="182" t="s">
        <v>263</v>
      </c>
      <c r="B335" s="462" t="s">
        <v>1415</v>
      </c>
      <c r="C335" s="462" t="s">
        <v>264</v>
      </c>
      <c r="D335" s="462"/>
      <c r="E335" s="462"/>
      <c r="F335" s="469"/>
      <c r="G335" s="10">
        <f>G336</f>
        <v>5296.5999999999995</v>
      </c>
      <c r="H335" s="204"/>
    </row>
    <row r="336" spans="1:8" s="203" customFormat="1" ht="15.75" x14ac:dyDescent="0.25">
      <c r="A336" s="182" t="s">
        <v>425</v>
      </c>
      <c r="B336" s="462" t="s">
        <v>1415</v>
      </c>
      <c r="C336" s="462" t="s">
        <v>264</v>
      </c>
      <c r="D336" s="462" t="s">
        <v>213</v>
      </c>
      <c r="E336" s="462"/>
      <c r="F336" s="469"/>
      <c r="G336" s="10">
        <f>G337</f>
        <v>5296.5999999999995</v>
      </c>
      <c r="H336" s="204"/>
    </row>
    <row r="337" spans="1:8" s="203" customFormat="1" ht="63" x14ac:dyDescent="0.25">
      <c r="A337" s="297" t="s">
        <v>1402</v>
      </c>
      <c r="B337" s="462" t="s">
        <v>1462</v>
      </c>
      <c r="C337" s="462" t="s">
        <v>264</v>
      </c>
      <c r="D337" s="462" t="s">
        <v>213</v>
      </c>
      <c r="E337" s="462"/>
      <c r="F337" s="469"/>
      <c r="G337" s="10">
        <f>G338</f>
        <v>5296.5999999999995</v>
      </c>
      <c r="H337" s="204"/>
    </row>
    <row r="338" spans="1:8" s="203" customFormat="1" ht="31.5" x14ac:dyDescent="0.25">
      <c r="A338" s="31" t="s">
        <v>272</v>
      </c>
      <c r="B338" s="462" t="s">
        <v>1462</v>
      </c>
      <c r="C338" s="462" t="s">
        <v>264</v>
      </c>
      <c r="D338" s="462" t="s">
        <v>213</v>
      </c>
      <c r="E338" s="462" t="s">
        <v>273</v>
      </c>
      <c r="F338" s="469"/>
      <c r="G338" s="10">
        <f>G339</f>
        <v>5296.5999999999995</v>
      </c>
      <c r="H338" s="204"/>
    </row>
    <row r="339" spans="1:8" s="203" customFormat="1" ht="15.75" x14ac:dyDescent="0.25">
      <c r="A339" s="31" t="s">
        <v>274</v>
      </c>
      <c r="B339" s="462" t="s">
        <v>1462</v>
      </c>
      <c r="C339" s="462" t="s">
        <v>264</v>
      </c>
      <c r="D339" s="462" t="s">
        <v>213</v>
      </c>
      <c r="E339" s="462" t="s">
        <v>275</v>
      </c>
      <c r="F339" s="469"/>
      <c r="G339" s="10">
        <f>'Пр.4 ведом.21'!G758</f>
        <v>5296.5999999999995</v>
      </c>
      <c r="H339" s="204"/>
    </row>
    <row r="340" spans="1:8" s="203" customFormat="1" ht="31.5" x14ac:dyDescent="0.25">
      <c r="A340" s="182" t="s">
        <v>403</v>
      </c>
      <c r="B340" s="462" t="s">
        <v>1462</v>
      </c>
      <c r="C340" s="462" t="s">
        <v>264</v>
      </c>
      <c r="D340" s="462" t="s">
        <v>213</v>
      </c>
      <c r="E340" s="462" t="s">
        <v>275</v>
      </c>
      <c r="F340" s="469" t="s">
        <v>636</v>
      </c>
      <c r="G340" s="10">
        <f>G334</f>
        <v>5296.5999999999995</v>
      </c>
      <c r="H340" s="204"/>
    </row>
    <row r="341" spans="1:8" s="203" customFormat="1" ht="31.5" hidden="1" x14ac:dyDescent="0.25">
      <c r="A341" s="298" t="s">
        <v>1441</v>
      </c>
      <c r="B341" s="465" t="s">
        <v>1426</v>
      </c>
      <c r="C341" s="462"/>
      <c r="D341" s="462"/>
      <c r="E341" s="462"/>
      <c r="F341" s="469"/>
      <c r="G341" s="59">
        <f>G342</f>
        <v>0</v>
      </c>
      <c r="H341" s="204"/>
    </row>
    <row r="342" spans="1:8" s="203" customFormat="1" ht="15.75" hidden="1" x14ac:dyDescent="0.25">
      <c r="A342" s="182" t="s">
        <v>263</v>
      </c>
      <c r="B342" s="462" t="s">
        <v>1426</v>
      </c>
      <c r="C342" s="462" t="s">
        <v>264</v>
      </c>
      <c r="D342" s="462"/>
      <c r="E342" s="462"/>
      <c r="F342" s="469"/>
      <c r="G342" s="10">
        <f>G343</f>
        <v>0</v>
      </c>
      <c r="H342" s="204"/>
    </row>
    <row r="343" spans="1:8" s="203" customFormat="1" ht="15.75" hidden="1" x14ac:dyDescent="0.25">
      <c r="A343" s="182" t="s">
        <v>425</v>
      </c>
      <c r="B343" s="462" t="s">
        <v>1426</v>
      </c>
      <c r="C343" s="462" t="s">
        <v>264</v>
      </c>
      <c r="D343" s="462" t="s">
        <v>213</v>
      </c>
      <c r="E343" s="462"/>
      <c r="F343" s="469"/>
      <c r="G343" s="10">
        <f>G344</f>
        <v>0</v>
      </c>
      <c r="H343" s="204"/>
    </row>
    <row r="344" spans="1:8" s="203" customFormat="1" ht="21.2" hidden="1" customHeight="1" x14ac:dyDescent="0.25">
      <c r="A344" s="297" t="s">
        <v>1427</v>
      </c>
      <c r="B344" s="462" t="s">
        <v>1429</v>
      </c>
      <c r="C344" s="462" t="s">
        <v>264</v>
      </c>
      <c r="D344" s="462" t="s">
        <v>213</v>
      </c>
      <c r="E344" s="462"/>
      <c r="F344" s="469"/>
      <c r="G344" s="10">
        <f>G345</f>
        <v>0</v>
      </c>
      <c r="H344" s="204"/>
    </row>
    <row r="345" spans="1:8" s="203" customFormat="1" ht="31.5" hidden="1" x14ac:dyDescent="0.25">
      <c r="A345" s="31" t="s">
        <v>272</v>
      </c>
      <c r="B345" s="462" t="s">
        <v>1429</v>
      </c>
      <c r="C345" s="462" t="s">
        <v>264</v>
      </c>
      <c r="D345" s="462" t="s">
        <v>213</v>
      </c>
      <c r="E345" s="462" t="s">
        <v>273</v>
      </c>
      <c r="F345" s="469"/>
      <c r="G345" s="10">
        <f>G346</f>
        <v>0</v>
      </c>
      <c r="H345" s="204"/>
    </row>
    <row r="346" spans="1:8" s="203" customFormat="1" ht="15.75" hidden="1" x14ac:dyDescent="0.25">
      <c r="A346" s="31" t="s">
        <v>274</v>
      </c>
      <c r="B346" s="462" t="s">
        <v>1429</v>
      </c>
      <c r="C346" s="462" t="s">
        <v>264</v>
      </c>
      <c r="D346" s="462" t="s">
        <v>213</v>
      </c>
      <c r="E346" s="462" t="s">
        <v>275</v>
      </c>
      <c r="F346" s="469"/>
      <c r="G346" s="10">
        <f>'Пр.4 ведом.21'!G762</f>
        <v>0</v>
      </c>
      <c r="H346" s="204"/>
    </row>
    <row r="347" spans="1:8" s="203" customFormat="1" ht="31.5" hidden="1" x14ac:dyDescent="0.25">
      <c r="A347" s="182" t="s">
        <v>403</v>
      </c>
      <c r="B347" s="462" t="s">
        <v>1429</v>
      </c>
      <c r="C347" s="462" t="s">
        <v>264</v>
      </c>
      <c r="D347" s="462" t="s">
        <v>213</v>
      </c>
      <c r="E347" s="462" t="s">
        <v>275</v>
      </c>
      <c r="F347" s="469" t="s">
        <v>636</v>
      </c>
      <c r="G347" s="10">
        <f>G344</f>
        <v>0</v>
      </c>
      <c r="H347" s="204"/>
    </row>
    <row r="348" spans="1:8" s="434" customFormat="1" ht="47.25" x14ac:dyDescent="0.25">
      <c r="A348" s="298" t="s">
        <v>1634</v>
      </c>
      <c r="B348" s="465" t="s">
        <v>1635</v>
      </c>
      <c r="C348" s="462"/>
      <c r="D348" s="462"/>
      <c r="E348" s="462"/>
      <c r="F348" s="469"/>
      <c r="G348" s="59">
        <f>G349</f>
        <v>2864.7570000000001</v>
      </c>
      <c r="H348" s="204"/>
    </row>
    <row r="349" spans="1:8" s="434" customFormat="1" ht="15.75" x14ac:dyDescent="0.25">
      <c r="A349" s="182" t="s">
        <v>263</v>
      </c>
      <c r="B349" s="462" t="s">
        <v>1635</v>
      </c>
      <c r="C349" s="462" t="s">
        <v>264</v>
      </c>
      <c r="D349" s="462"/>
      <c r="E349" s="462"/>
      <c r="F349" s="469"/>
      <c r="G349" s="10">
        <f>G350</f>
        <v>2864.7570000000001</v>
      </c>
      <c r="H349" s="204"/>
    </row>
    <row r="350" spans="1:8" s="434" customFormat="1" ht="15.75" x14ac:dyDescent="0.25">
      <c r="A350" s="182" t="s">
        <v>425</v>
      </c>
      <c r="B350" s="462" t="s">
        <v>1635</v>
      </c>
      <c r="C350" s="462" t="s">
        <v>264</v>
      </c>
      <c r="D350" s="462" t="s">
        <v>213</v>
      </c>
      <c r="E350" s="462"/>
      <c r="F350" s="469"/>
      <c r="G350" s="10">
        <f>G351</f>
        <v>2864.7570000000001</v>
      </c>
      <c r="H350" s="204"/>
    </row>
    <row r="351" spans="1:8" s="434" customFormat="1" ht="47.25" x14ac:dyDescent="0.25">
      <c r="A351" s="297" t="s">
        <v>450</v>
      </c>
      <c r="B351" s="462" t="s">
        <v>1636</v>
      </c>
      <c r="C351" s="462" t="s">
        <v>264</v>
      </c>
      <c r="D351" s="462" t="s">
        <v>213</v>
      </c>
      <c r="E351" s="462"/>
      <c r="F351" s="469"/>
      <c r="G351" s="10">
        <f>G352</f>
        <v>2864.7570000000001</v>
      </c>
      <c r="H351" s="204"/>
    </row>
    <row r="352" spans="1:8" s="434" customFormat="1" ht="31.5" x14ac:dyDescent="0.25">
      <c r="A352" s="31" t="s">
        <v>272</v>
      </c>
      <c r="B352" s="462" t="s">
        <v>1636</v>
      </c>
      <c r="C352" s="462" t="s">
        <v>264</v>
      </c>
      <c r="D352" s="462" t="s">
        <v>213</v>
      </c>
      <c r="E352" s="462"/>
      <c r="F352" s="469"/>
      <c r="G352" s="10">
        <f>G353</f>
        <v>2864.7570000000001</v>
      </c>
      <c r="H352" s="204"/>
    </row>
    <row r="353" spans="1:8" s="434" customFormat="1" ht="15.75" x14ac:dyDescent="0.25">
      <c r="A353" s="31" t="s">
        <v>274</v>
      </c>
      <c r="B353" s="462" t="s">
        <v>1636</v>
      </c>
      <c r="C353" s="462" t="s">
        <v>264</v>
      </c>
      <c r="D353" s="462" t="s">
        <v>213</v>
      </c>
      <c r="E353" s="462" t="s">
        <v>273</v>
      </c>
      <c r="F353" s="469"/>
      <c r="G353" s="10">
        <f>'Пр.4 ведом.21'!G766</f>
        <v>2864.7570000000001</v>
      </c>
      <c r="H353" s="204"/>
    </row>
    <row r="354" spans="1:8" s="434" customFormat="1" ht="31.5" x14ac:dyDescent="0.25">
      <c r="A354" s="29" t="s">
        <v>403</v>
      </c>
      <c r="B354" s="462" t="s">
        <v>1636</v>
      </c>
      <c r="C354" s="462" t="s">
        <v>264</v>
      </c>
      <c r="D354" s="462" t="s">
        <v>213</v>
      </c>
      <c r="E354" s="462" t="s">
        <v>275</v>
      </c>
      <c r="F354" s="469" t="s">
        <v>636</v>
      </c>
      <c r="G354" s="10">
        <f>G348</f>
        <v>2864.7570000000001</v>
      </c>
      <c r="H354" s="204"/>
    </row>
    <row r="355" spans="1:8" s="434" customFormat="1" ht="31.5" x14ac:dyDescent="0.25">
      <c r="A355" s="298" t="s">
        <v>1650</v>
      </c>
      <c r="B355" s="465" t="s">
        <v>1652</v>
      </c>
      <c r="C355" s="465"/>
      <c r="D355" s="465"/>
      <c r="E355" s="465"/>
      <c r="F355" s="7"/>
      <c r="G355" s="59">
        <f>G356</f>
        <v>298.10700000000003</v>
      </c>
      <c r="H355" s="204"/>
    </row>
    <row r="356" spans="1:8" s="434" customFormat="1" ht="15.75" x14ac:dyDescent="0.25">
      <c r="A356" s="182" t="s">
        <v>263</v>
      </c>
      <c r="B356" s="462" t="s">
        <v>1652</v>
      </c>
      <c r="C356" s="462" t="s">
        <v>264</v>
      </c>
      <c r="D356" s="462"/>
      <c r="E356" s="462"/>
      <c r="F356" s="469"/>
      <c r="G356" s="10">
        <f>G357+G362</f>
        <v>298.10700000000003</v>
      </c>
      <c r="H356" s="204"/>
    </row>
    <row r="357" spans="1:8" s="434" customFormat="1" ht="15.75" x14ac:dyDescent="0.25">
      <c r="A357" s="45" t="s">
        <v>404</v>
      </c>
      <c r="B357" s="462" t="s">
        <v>1652</v>
      </c>
      <c r="C357" s="462" t="s">
        <v>264</v>
      </c>
      <c r="D357" s="462" t="s">
        <v>118</v>
      </c>
      <c r="E357" s="462"/>
      <c r="F357" s="469"/>
      <c r="G357" s="10">
        <f>G358</f>
        <v>9.8149999999999977</v>
      </c>
      <c r="H357" s="204"/>
    </row>
    <row r="358" spans="1:8" s="434" customFormat="1" ht="31.5" x14ac:dyDescent="0.25">
      <c r="A358" s="297" t="s">
        <v>1651</v>
      </c>
      <c r="B358" s="462" t="s">
        <v>1653</v>
      </c>
      <c r="C358" s="462" t="s">
        <v>264</v>
      </c>
      <c r="D358" s="462" t="s">
        <v>118</v>
      </c>
      <c r="E358" s="462"/>
      <c r="F358" s="469"/>
      <c r="G358" s="10">
        <f>G359</f>
        <v>9.8149999999999977</v>
      </c>
      <c r="H358" s="204"/>
    </row>
    <row r="359" spans="1:8" s="434" customFormat="1" ht="31.5" x14ac:dyDescent="0.25">
      <c r="A359" s="31" t="s">
        <v>272</v>
      </c>
      <c r="B359" s="462" t="s">
        <v>1653</v>
      </c>
      <c r="C359" s="462" t="s">
        <v>264</v>
      </c>
      <c r="D359" s="462" t="s">
        <v>118</v>
      </c>
      <c r="E359" s="462" t="s">
        <v>273</v>
      </c>
      <c r="F359" s="469"/>
      <c r="G359" s="10">
        <f>G360</f>
        <v>9.8149999999999977</v>
      </c>
      <c r="H359" s="204"/>
    </row>
    <row r="360" spans="1:8" s="434" customFormat="1" ht="15.75" x14ac:dyDescent="0.25">
      <c r="A360" s="31" t="s">
        <v>274</v>
      </c>
      <c r="B360" s="462" t="s">
        <v>1653</v>
      </c>
      <c r="C360" s="462" t="s">
        <v>264</v>
      </c>
      <c r="D360" s="462" t="s">
        <v>118</v>
      </c>
      <c r="E360" s="462" t="s">
        <v>275</v>
      </c>
      <c r="F360" s="469"/>
      <c r="G360" s="10">
        <f>'Пр.4 ведом.21'!G683</f>
        <v>9.8149999999999977</v>
      </c>
      <c r="H360" s="204"/>
    </row>
    <row r="361" spans="1:8" s="434" customFormat="1" ht="31.5" x14ac:dyDescent="0.25">
      <c r="A361" s="29" t="s">
        <v>403</v>
      </c>
      <c r="B361" s="462" t="s">
        <v>1653</v>
      </c>
      <c r="C361" s="462" t="s">
        <v>264</v>
      </c>
      <c r="D361" s="462" t="s">
        <v>118</v>
      </c>
      <c r="E361" s="462" t="s">
        <v>275</v>
      </c>
      <c r="F361" s="469" t="s">
        <v>636</v>
      </c>
      <c r="G361" s="10">
        <f>G360</f>
        <v>9.8149999999999977</v>
      </c>
      <c r="H361" s="204"/>
    </row>
    <row r="362" spans="1:8" s="434" customFormat="1" ht="15.75" x14ac:dyDescent="0.25">
      <c r="A362" s="182" t="s">
        <v>425</v>
      </c>
      <c r="B362" s="462" t="s">
        <v>1653</v>
      </c>
      <c r="C362" s="462" t="s">
        <v>264</v>
      </c>
      <c r="D362" s="462" t="s">
        <v>213</v>
      </c>
      <c r="E362" s="462"/>
      <c r="F362" s="469"/>
      <c r="G362" s="10">
        <f>G363</f>
        <v>288.29200000000003</v>
      </c>
      <c r="H362" s="204"/>
    </row>
    <row r="363" spans="1:8" s="434" customFormat="1" ht="31.5" x14ac:dyDescent="0.25">
      <c r="A363" s="297" t="s">
        <v>1651</v>
      </c>
      <c r="B363" s="462" t="s">
        <v>1653</v>
      </c>
      <c r="C363" s="462" t="s">
        <v>264</v>
      </c>
      <c r="D363" s="462" t="s">
        <v>213</v>
      </c>
      <c r="E363" s="462"/>
      <c r="F363" s="469"/>
      <c r="G363" s="10">
        <f>G364</f>
        <v>288.29200000000003</v>
      </c>
      <c r="H363" s="204"/>
    </row>
    <row r="364" spans="1:8" s="434" customFormat="1" ht="31.5" x14ac:dyDescent="0.25">
      <c r="A364" s="31" t="s">
        <v>272</v>
      </c>
      <c r="B364" s="462" t="s">
        <v>1653</v>
      </c>
      <c r="C364" s="462" t="s">
        <v>264</v>
      </c>
      <c r="D364" s="462" t="s">
        <v>213</v>
      </c>
      <c r="E364" s="462" t="s">
        <v>273</v>
      </c>
      <c r="F364" s="469"/>
      <c r="G364" s="10">
        <f>G365</f>
        <v>288.29200000000003</v>
      </c>
      <c r="H364" s="204"/>
    </row>
    <row r="365" spans="1:8" s="434" customFormat="1" ht="15.75" x14ac:dyDescent="0.25">
      <c r="A365" s="31" t="s">
        <v>274</v>
      </c>
      <c r="B365" s="462" t="s">
        <v>1653</v>
      </c>
      <c r="C365" s="462" t="s">
        <v>264</v>
      </c>
      <c r="D365" s="462" t="s">
        <v>213</v>
      </c>
      <c r="E365" s="462" t="s">
        <v>275</v>
      </c>
      <c r="F365" s="469"/>
      <c r="G365" s="10">
        <f>'Пр.4 ведом.21'!G770</f>
        <v>288.29200000000003</v>
      </c>
      <c r="H365" s="204"/>
    </row>
    <row r="366" spans="1:8" s="434" customFormat="1" ht="31.5" x14ac:dyDescent="0.25">
      <c r="A366" s="29" t="s">
        <v>403</v>
      </c>
      <c r="B366" s="462" t="s">
        <v>1653</v>
      </c>
      <c r="C366" s="462" t="s">
        <v>264</v>
      </c>
      <c r="D366" s="462" t="s">
        <v>213</v>
      </c>
      <c r="E366" s="462" t="s">
        <v>275</v>
      </c>
      <c r="F366" s="469" t="s">
        <v>636</v>
      </c>
      <c r="G366" s="10">
        <f>G365</f>
        <v>288.29200000000003</v>
      </c>
      <c r="H366" s="204"/>
    </row>
    <row r="367" spans="1:8" s="457" customFormat="1" ht="47.25" x14ac:dyDescent="0.25">
      <c r="A367" s="298" t="s">
        <v>1655</v>
      </c>
      <c r="B367" s="465" t="s">
        <v>1658</v>
      </c>
      <c r="C367" s="465"/>
      <c r="D367" s="465"/>
      <c r="E367" s="465"/>
      <c r="F367" s="7"/>
      <c r="G367" s="59">
        <f t="shared" ref="G367:G371" si="34">G368</f>
        <v>2606.89</v>
      </c>
      <c r="H367" s="204"/>
    </row>
    <row r="368" spans="1:8" s="457" customFormat="1" ht="15.75" x14ac:dyDescent="0.25">
      <c r="A368" s="182" t="s">
        <v>263</v>
      </c>
      <c r="B368" s="462" t="s">
        <v>1658</v>
      </c>
      <c r="C368" s="462" t="s">
        <v>264</v>
      </c>
      <c r="D368" s="462"/>
      <c r="E368" s="462"/>
      <c r="F368" s="469"/>
      <c r="G368" s="10">
        <f t="shared" si="34"/>
        <v>2606.89</v>
      </c>
      <c r="H368" s="204"/>
    </row>
    <row r="369" spans="1:8" s="457" customFormat="1" ht="15.75" x14ac:dyDescent="0.25">
      <c r="A369" s="45" t="s">
        <v>404</v>
      </c>
      <c r="B369" s="462" t="s">
        <v>1658</v>
      </c>
      <c r="C369" s="462" t="s">
        <v>264</v>
      </c>
      <c r="D369" s="462" t="s">
        <v>118</v>
      </c>
      <c r="E369" s="462"/>
      <c r="F369" s="469"/>
      <c r="G369" s="10">
        <f t="shared" si="34"/>
        <v>2606.89</v>
      </c>
      <c r="H369" s="204"/>
    </row>
    <row r="370" spans="1:8" s="457" customFormat="1" ht="47.25" x14ac:dyDescent="0.25">
      <c r="A370" s="297" t="s">
        <v>1656</v>
      </c>
      <c r="B370" s="462" t="s">
        <v>1657</v>
      </c>
      <c r="C370" s="462" t="s">
        <v>264</v>
      </c>
      <c r="D370" s="462" t="s">
        <v>118</v>
      </c>
      <c r="E370" s="462"/>
      <c r="F370" s="469"/>
      <c r="G370" s="10">
        <f>G371</f>
        <v>2606.89</v>
      </c>
      <c r="H370" s="204"/>
    </row>
    <row r="371" spans="1:8" s="457" customFormat="1" ht="31.5" x14ac:dyDescent="0.25">
      <c r="A371" s="31" t="s">
        <v>272</v>
      </c>
      <c r="B371" s="462" t="s">
        <v>1657</v>
      </c>
      <c r="C371" s="462" t="s">
        <v>264</v>
      </c>
      <c r="D371" s="462" t="s">
        <v>118</v>
      </c>
      <c r="E371" s="462" t="s">
        <v>273</v>
      </c>
      <c r="F371" s="469"/>
      <c r="G371" s="10">
        <f t="shared" si="34"/>
        <v>2606.89</v>
      </c>
      <c r="H371" s="204"/>
    </row>
    <row r="372" spans="1:8" s="457" customFormat="1" ht="15.75" x14ac:dyDescent="0.25">
      <c r="A372" s="31" t="s">
        <v>274</v>
      </c>
      <c r="B372" s="462" t="s">
        <v>1657</v>
      </c>
      <c r="C372" s="462" t="s">
        <v>264</v>
      </c>
      <c r="D372" s="462" t="s">
        <v>118</v>
      </c>
      <c r="E372" s="462" t="s">
        <v>275</v>
      </c>
      <c r="F372" s="469"/>
      <c r="G372" s="10">
        <f>'Пр.4 ведом.21'!G687</f>
        <v>2606.89</v>
      </c>
      <c r="H372" s="204"/>
    </row>
    <row r="373" spans="1:8" s="457" customFormat="1" ht="31.5" x14ac:dyDescent="0.25">
      <c r="A373" s="29" t="s">
        <v>403</v>
      </c>
      <c r="B373" s="462" t="s">
        <v>1657</v>
      </c>
      <c r="C373" s="462" t="s">
        <v>264</v>
      </c>
      <c r="D373" s="462" t="s">
        <v>118</v>
      </c>
      <c r="E373" s="462" t="s">
        <v>275</v>
      </c>
      <c r="F373" s="469" t="s">
        <v>636</v>
      </c>
      <c r="G373" s="10">
        <f>G372</f>
        <v>2606.89</v>
      </c>
      <c r="H373" s="204"/>
    </row>
    <row r="374" spans="1:8" s="457" customFormat="1" ht="47.25" x14ac:dyDescent="0.25">
      <c r="A374" s="34" t="s">
        <v>1748</v>
      </c>
      <c r="B374" s="465" t="s">
        <v>1749</v>
      </c>
      <c r="C374" s="462"/>
      <c r="D374" s="462"/>
      <c r="E374" s="462"/>
      <c r="F374" s="469"/>
      <c r="G374" s="59">
        <f>G375</f>
        <v>324.92500000000001</v>
      </c>
      <c r="H374" s="204"/>
    </row>
    <row r="375" spans="1:8" s="457" customFormat="1" ht="15.75" x14ac:dyDescent="0.25">
      <c r="A375" s="182" t="s">
        <v>263</v>
      </c>
      <c r="B375" s="462" t="s">
        <v>1749</v>
      </c>
      <c r="C375" s="462" t="s">
        <v>264</v>
      </c>
      <c r="D375" s="462"/>
      <c r="E375" s="462"/>
      <c r="F375" s="469"/>
      <c r="G375" s="10">
        <f>G376</f>
        <v>324.92500000000001</v>
      </c>
      <c r="H375" s="204"/>
    </row>
    <row r="376" spans="1:8" s="457" customFormat="1" ht="15.75" x14ac:dyDescent="0.25">
      <c r="A376" s="29" t="s">
        <v>265</v>
      </c>
      <c r="B376" s="462" t="s">
        <v>1749</v>
      </c>
      <c r="C376" s="462" t="s">
        <v>264</v>
      </c>
      <c r="D376" s="462" t="s">
        <v>215</v>
      </c>
      <c r="E376" s="462"/>
      <c r="F376" s="469"/>
      <c r="G376" s="10">
        <f>G377</f>
        <v>324.92500000000001</v>
      </c>
      <c r="H376" s="204"/>
    </row>
    <row r="377" spans="1:8" s="457" customFormat="1" ht="31.5" x14ac:dyDescent="0.25">
      <c r="A377" s="31" t="s">
        <v>1766</v>
      </c>
      <c r="B377" s="462" t="s">
        <v>1750</v>
      </c>
      <c r="C377" s="462" t="s">
        <v>264</v>
      </c>
      <c r="D377" s="462" t="s">
        <v>215</v>
      </c>
      <c r="E377" s="462"/>
      <c r="F377" s="469"/>
      <c r="G377" s="10">
        <f>G378</f>
        <v>324.92500000000001</v>
      </c>
      <c r="H377" s="204"/>
    </row>
    <row r="378" spans="1:8" s="457" customFormat="1" ht="31.5" x14ac:dyDescent="0.25">
      <c r="A378" s="466" t="s">
        <v>272</v>
      </c>
      <c r="B378" s="462" t="s">
        <v>1750</v>
      </c>
      <c r="C378" s="462" t="s">
        <v>264</v>
      </c>
      <c r="D378" s="462" t="s">
        <v>215</v>
      </c>
      <c r="E378" s="462" t="s">
        <v>273</v>
      </c>
      <c r="F378" s="469"/>
      <c r="G378" s="10">
        <f>G379</f>
        <v>324.92500000000001</v>
      </c>
      <c r="H378" s="204"/>
    </row>
    <row r="379" spans="1:8" s="457" customFormat="1" ht="31.5" x14ac:dyDescent="0.25">
      <c r="A379" s="31" t="s">
        <v>1751</v>
      </c>
      <c r="B379" s="462" t="s">
        <v>1750</v>
      </c>
      <c r="C379" s="462" t="s">
        <v>264</v>
      </c>
      <c r="D379" s="462" t="s">
        <v>215</v>
      </c>
      <c r="E379" s="462" t="s">
        <v>275</v>
      </c>
      <c r="F379" s="469"/>
      <c r="G379" s="10">
        <f>'Пр.4 ведом.21'!G822</f>
        <v>324.92500000000001</v>
      </c>
      <c r="H379" s="204"/>
    </row>
    <row r="380" spans="1:8" s="457" customFormat="1" ht="31.5" x14ac:dyDescent="0.25">
      <c r="A380" s="29" t="s">
        <v>403</v>
      </c>
      <c r="B380" s="462" t="s">
        <v>1750</v>
      </c>
      <c r="C380" s="462" t="s">
        <v>264</v>
      </c>
      <c r="D380" s="462" t="s">
        <v>215</v>
      </c>
      <c r="E380" s="462" t="s">
        <v>275</v>
      </c>
      <c r="F380" s="469" t="s">
        <v>636</v>
      </c>
      <c r="G380" s="10">
        <f>G379</f>
        <v>324.92500000000001</v>
      </c>
      <c r="H380" s="204"/>
    </row>
    <row r="381" spans="1:8" s="203" customFormat="1" ht="48.2" customHeight="1" x14ac:dyDescent="0.25">
      <c r="A381" s="216" t="s">
        <v>1177</v>
      </c>
      <c r="B381" s="465" t="s">
        <v>1327</v>
      </c>
      <c r="C381" s="469"/>
      <c r="D381" s="469"/>
      <c r="E381" s="469"/>
      <c r="F381" s="469"/>
      <c r="G381" s="59">
        <f>G382</f>
        <v>1555.65</v>
      </c>
      <c r="H381" s="204"/>
    </row>
    <row r="382" spans="1:8" s="203" customFormat="1" ht="15" customHeight="1" x14ac:dyDescent="0.25">
      <c r="A382" s="29" t="s">
        <v>263</v>
      </c>
      <c r="B382" s="462" t="s">
        <v>1327</v>
      </c>
      <c r="C382" s="469" t="s">
        <v>264</v>
      </c>
      <c r="D382" s="469"/>
      <c r="E382" s="469"/>
      <c r="F382" s="469"/>
      <c r="G382" s="10">
        <f>G383</f>
        <v>1555.65</v>
      </c>
      <c r="H382" s="204"/>
    </row>
    <row r="383" spans="1:8" s="203" customFormat="1" ht="19.5" customHeight="1" x14ac:dyDescent="0.25">
      <c r="A383" s="29" t="s">
        <v>425</v>
      </c>
      <c r="B383" s="462" t="s">
        <v>1327</v>
      </c>
      <c r="C383" s="469" t="s">
        <v>264</v>
      </c>
      <c r="D383" s="469" t="s">
        <v>213</v>
      </c>
      <c r="E383" s="469"/>
      <c r="F383" s="469"/>
      <c r="G383" s="10">
        <f>G384</f>
        <v>1555.65</v>
      </c>
      <c r="H383" s="204"/>
    </row>
    <row r="384" spans="1:8" s="203" customFormat="1" ht="62.45" customHeight="1" x14ac:dyDescent="0.25">
      <c r="A384" s="182" t="s">
        <v>1539</v>
      </c>
      <c r="B384" s="462" t="s">
        <v>1328</v>
      </c>
      <c r="C384" s="469" t="s">
        <v>264</v>
      </c>
      <c r="D384" s="469" t="s">
        <v>213</v>
      </c>
      <c r="E384" s="469"/>
      <c r="F384" s="469"/>
      <c r="G384" s="10">
        <f>G385</f>
        <v>1555.65</v>
      </c>
      <c r="H384" s="204"/>
    </row>
    <row r="385" spans="1:8" s="203" customFormat="1" ht="33.75" customHeight="1" x14ac:dyDescent="0.25">
      <c r="A385" s="31" t="s">
        <v>272</v>
      </c>
      <c r="B385" s="462" t="s">
        <v>1328</v>
      </c>
      <c r="C385" s="469" t="s">
        <v>264</v>
      </c>
      <c r="D385" s="469" t="s">
        <v>213</v>
      </c>
      <c r="E385" s="469" t="s">
        <v>273</v>
      </c>
      <c r="F385" s="469"/>
      <c r="G385" s="10">
        <f>G386</f>
        <v>1555.65</v>
      </c>
      <c r="H385" s="204"/>
    </row>
    <row r="386" spans="1:8" s="203" customFormat="1" ht="21.2" customHeight="1" x14ac:dyDescent="0.25">
      <c r="A386" s="31" t="s">
        <v>274</v>
      </c>
      <c r="B386" s="462" t="s">
        <v>1328</v>
      </c>
      <c r="C386" s="469" t="s">
        <v>264</v>
      </c>
      <c r="D386" s="469" t="s">
        <v>213</v>
      </c>
      <c r="E386" s="469" t="s">
        <v>275</v>
      </c>
      <c r="F386" s="469"/>
      <c r="G386" s="10">
        <f>'Пр.4 ведом.21'!G774</f>
        <v>1555.65</v>
      </c>
      <c r="H386" s="204"/>
    </row>
    <row r="387" spans="1:8" s="203" customFormat="1" ht="31.7" customHeight="1" x14ac:dyDescent="0.25">
      <c r="A387" s="29" t="s">
        <v>403</v>
      </c>
      <c r="B387" s="462" t="s">
        <v>1328</v>
      </c>
      <c r="C387" s="469" t="s">
        <v>264</v>
      </c>
      <c r="D387" s="469" t="s">
        <v>213</v>
      </c>
      <c r="E387" s="469" t="s">
        <v>275</v>
      </c>
      <c r="F387" s="469" t="s">
        <v>636</v>
      </c>
      <c r="G387" s="10">
        <f>G381</f>
        <v>1555.65</v>
      </c>
      <c r="H387" s="204"/>
    </row>
    <row r="388" spans="1:8" s="203" customFormat="1" ht="31.7" customHeight="1" x14ac:dyDescent="0.25">
      <c r="A388" s="34" t="s">
        <v>1476</v>
      </c>
      <c r="B388" s="465" t="s">
        <v>1477</v>
      </c>
      <c r="C388" s="469"/>
      <c r="D388" s="469"/>
      <c r="E388" s="469"/>
      <c r="F388" s="469"/>
      <c r="G388" s="59">
        <f>G389</f>
        <v>2691.645</v>
      </c>
      <c r="H388" s="204"/>
    </row>
    <row r="389" spans="1:8" s="203" customFormat="1" ht="15.75" x14ac:dyDescent="0.25">
      <c r="A389" s="29" t="s">
        <v>263</v>
      </c>
      <c r="B389" s="462" t="s">
        <v>1477</v>
      </c>
      <c r="C389" s="469" t="s">
        <v>264</v>
      </c>
      <c r="D389" s="469"/>
      <c r="E389" s="469"/>
      <c r="F389" s="469"/>
      <c r="G389" s="10">
        <f>G390</f>
        <v>2691.645</v>
      </c>
      <c r="H389" s="204"/>
    </row>
    <row r="390" spans="1:8" s="203" customFormat="1" ht="15.75" x14ac:dyDescent="0.25">
      <c r="A390" s="29" t="s">
        <v>425</v>
      </c>
      <c r="B390" s="462" t="s">
        <v>1477</v>
      </c>
      <c r="C390" s="469" t="s">
        <v>264</v>
      </c>
      <c r="D390" s="469" t="s">
        <v>213</v>
      </c>
      <c r="E390" s="469"/>
      <c r="F390" s="469"/>
      <c r="G390" s="10">
        <f>G391</f>
        <v>2691.645</v>
      </c>
      <c r="H390" s="204"/>
    </row>
    <row r="391" spans="1:8" s="203" customFormat="1" ht="57.75" customHeight="1" x14ac:dyDescent="0.25">
      <c r="A391" s="31" t="s">
        <v>1540</v>
      </c>
      <c r="B391" s="462" t="s">
        <v>1478</v>
      </c>
      <c r="C391" s="469" t="s">
        <v>264</v>
      </c>
      <c r="D391" s="469" t="s">
        <v>213</v>
      </c>
      <c r="E391" s="469"/>
      <c r="F391" s="469"/>
      <c r="G391" s="10">
        <f>G392</f>
        <v>2691.645</v>
      </c>
      <c r="H391" s="204"/>
    </row>
    <row r="392" spans="1:8" s="203" customFormat="1" ht="31.7" customHeight="1" x14ac:dyDescent="0.25">
      <c r="A392" s="31" t="s">
        <v>272</v>
      </c>
      <c r="B392" s="462" t="s">
        <v>1478</v>
      </c>
      <c r="C392" s="469" t="s">
        <v>264</v>
      </c>
      <c r="D392" s="469" t="s">
        <v>213</v>
      </c>
      <c r="E392" s="469" t="s">
        <v>273</v>
      </c>
      <c r="F392" s="469"/>
      <c r="G392" s="10">
        <f>G393</f>
        <v>2691.645</v>
      </c>
      <c r="H392" s="204"/>
    </row>
    <row r="393" spans="1:8" s="203" customFormat="1" ht="31.7" customHeight="1" x14ac:dyDescent="0.25">
      <c r="A393" s="31" t="s">
        <v>274</v>
      </c>
      <c r="B393" s="462" t="s">
        <v>1478</v>
      </c>
      <c r="C393" s="469" t="s">
        <v>264</v>
      </c>
      <c r="D393" s="469" t="s">
        <v>213</v>
      </c>
      <c r="E393" s="469" t="s">
        <v>275</v>
      </c>
      <c r="F393" s="469"/>
      <c r="G393" s="10">
        <f>'Пр.4 ведом.21'!G778</f>
        <v>2691.645</v>
      </c>
      <c r="H393" s="204"/>
    </row>
    <row r="394" spans="1:8" s="203" customFormat="1" ht="31.7" customHeight="1" x14ac:dyDescent="0.25">
      <c r="A394" s="29" t="s">
        <v>403</v>
      </c>
      <c r="B394" s="462" t="s">
        <v>1478</v>
      </c>
      <c r="C394" s="469" t="s">
        <v>264</v>
      </c>
      <c r="D394" s="469" t="s">
        <v>213</v>
      </c>
      <c r="E394" s="469" t="s">
        <v>275</v>
      </c>
      <c r="F394" s="469" t="s">
        <v>636</v>
      </c>
      <c r="G394" s="10">
        <f>G388</f>
        <v>2691.645</v>
      </c>
      <c r="H394" s="204"/>
    </row>
    <row r="395" spans="1:8" ht="47.25" x14ac:dyDescent="0.25">
      <c r="A395" s="58" t="s">
        <v>1395</v>
      </c>
      <c r="B395" s="194" t="s">
        <v>156</v>
      </c>
      <c r="C395" s="7"/>
      <c r="D395" s="194"/>
      <c r="E395" s="194"/>
      <c r="F395" s="194"/>
      <c r="G395" s="59">
        <f>G397</f>
        <v>100</v>
      </c>
    </row>
    <row r="396" spans="1:8" s="203" customFormat="1" ht="36.75" customHeight="1" x14ac:dyDescent="0.25">
      <c r="A396" s="464" t="s">
        <v>1067</v>
      </c>
      <c r="B396" s="465" t="s">
        <v>1064</v>
      </c>
      <c r="C396" s="7"/>
      <c r="D396" s="7"/>
      <c r="E396" s="7"/>
      <c r="F396" s="7"/>
      <c r="G396" s="59">
        <f>G397</f>
        <v>100</v>
      </c>
      <c r="H396" s="204"/>
    </row>
    <row r="397" spans="1:8" ht="15.75" x14ac:dyDescent="0.25">
      <c r="A397" s="45" t="s">
        <v>232</v>
      </c>
      <c r="B397" s="5" t="s">
        <v>1064</v>
      </c>
      <c r="C397" s="469" t="s">
        <v>150</v>
      </c>
      <c r="D397" s="469"/>
      <c r="E397" s="469"/>
      <c r="F397" s="469"/>
      <c r="G397" s="10">
        <f>G398</f>
        <v>100</v>
      </c>
    </row>
    <row r="398" spans="1:8" ht="15.75" x14ac:dyDescent="0.25">
      <c r="A398" s="45" t="s">
        <v>775</v>
      </c>
      <c r="B398" s="5" t="s">
        <v>1064</v>
      </c>
      <c r="C398" s="469" t="s">
        <v>150</v>
      </c>
      <c r="D398" s="469" t="s">
        <v>238</v>
      </c>
      <c r="E398" s="469"/>
      <c r="F398" s="469"/>
      <c r="G398" s="10">
        <f>G399</f>
        <v>100</v>
      </c>
    </row>
    <row r="399" spans="1:8" ht="31.5" x14ac:dyDescent="0.25">
      <c r="A399" s="466" t="s">
        <v>1068</v>
      </c>
      <c r="B399" s="462" t="s">
        <v>1065</v>
      </c>
      <c r="C399" s="469" t="s">
        <v>150</v>
      </c>
      <c r="D399" s="469" t="s">
        <v>238</v>
      </c>
      <c r="E399" s="469"/>
      <c r="F399" s="469"/>
      <c r="G399" s="10">
        <f>G400</f>
        <v>100</v>
      </c>
    </row>
    <row r="400" spans="1:8" ht="15.75" x14ac:dyDescent="0.25">
      <c r="A400" s="466" t="s">
        <v>135</v>
      </c>
      <c r="B400" s="462" t="s">
        <v>1065</v>
      </c>
      <c r="C400" s="469" t="s">
        <v>150</v>
      </c>
      <c r="D400" s="469" t="s">
        <v>238</v>
      </c>
      <c r="E400" s="469" t="s">
        <v>132</v>
      </c>
      <c r="F400" s="469"/>
      <c r="G400" s="10">
        <f>G401</f>
        <v>100</v>
      </c>
    </row>
    <row r="401" spans="1:8" ht="47.25" x14ac:dyDescent="0.25">
      <c r="A401" s="466" t="s">
        <v>184</v>
      </c>
      <c r="B401" s="462" t="s">
        <v>1065</v>
      </c>
      <c r="C401" s="469" t="s">
        <v>150</v>
      </c>
      <c r="D401" s="469" t="s">
        <v>238</v>
      </c>
      <c r="E401" s="469" t="s">
        <v>134</v>
      </c>
      <c r="F401" s="469"/>
      <c r="G401" s="10">
        <f>'Пр.3 Рд,пр, ЦС,ВР 21'!F350</f>
        <v>100</v>
      </c>
    </row>
    <row r="402" spans="1:8" s="203" customFormat="1" ht="15.75" x14ac:dyDescent="0.25">
      <c r="A402" s="29" t="s">
        <v>148</v>
      </c>
      <c r="B402" s="462" t="s">
        <v>1065</v>
      </c>
      <c r="C402" s="469" t="s">
        <v>150</v>
      </c>
      <c r="D402" s="469" t="s">
        <v>238</v>
      </c>
      <c r="E402" s="469" t="s">
        <v>134</v>
      </c>
      <c r="F402" s="469" t="s">
        <v>641</v>
      </c>
      <c r="G402" s="10">
        <f>G401</f>
        <v>100</v>
      </c>
      <c r="H402" s="204"/>
    </row>
    <row r="403" spans="1:8" ht="45.75" customHeight="1" x14ac:dyDescent="0.25">
      <c r="A403" s="470" t="s">
        <v>1375</v>
      </c>
      <c r="B403" s="194" t="s">
        <v>162</v>
      </c>
      <c r="C403" s="7"/>
      <c r="D403" s="7"/>
      <c r="E403" s="7"/>
      <c r="F403" s="7"/>
      <c r="G403" s="59">
        <f>G404+G411+G430</f>
        <v>624.54</v>
      </c>
      <c r="H403" s="204">
        <v>806</v>
      </c>
    </row>
    <row r="404" spans="1:8" s="203" customFormat="1" ht="67.7" customHeight="1" x14ac:dyDescent="0.25">
      <c r="A404" s="299" t="s">
        <v>1350</v>
      </c>
      <c r="B404" s="7" t="s">
        <v>849</v>
      </c>
      <c r="C404" s="7"/>
      <c r="D404" s="8"/>
      <c r="E404" s="194"/>
      <c r="F404" s="7"/>
      <c r="G404" s="59">
        <f>G406</f>
        <v>426</v>
      </c>
      <c r="H404" s="204"/>
    </row>
    <row r="405" spans="1:8" s="203" customFormat="1" ht="15.75" customHeight="1" x14ac:dyDescent="0.25">
      <c r="A405" s="45" t="s">
        <v>117</v>
      </c>
      <c r="B405" s="5" t="s">
        <v>849</v>
      </c>
      <c r="C405" s="469" t="s">
        <v>118</v>
      </c>
      <c r="D405" s="5"/>
      <c r="E405" s="5"/>
      <c r="F405" s="469"/>
      <c r="G405" s="10">
        <f t="shared" ref="G405" si="35">G406</f>
        <v>426</v>
      </c>
      <c r="H405" s="204"/>
    </row>
    <row r="406" spans="1:8" s="203" customFormat="1" ht="45.75" customHeight="1" x14ac:dyDescent="0.25">
      <c r="A406" s="29" t="s">
        <v>149</v>
      </c>
      <c r="B406" s="5" t="s">
        <v>849</v>
      </c>
      <c r="C406" s="469" t="s">
        <v>118</v>
      </c>
      <c r="D406" s="9" t="s">
        <v>150</v>
      </c>
      <c r="E406" s="5"/>
      <c r="F406" s="469"/>
      <c r="G406" s="10">
        <f>G407</f>
        <v>426</v>
      </c>
      <c r="H406" s="204"/>
    </row>
    <row r="407" spans="1:8" s="203" customFormat="1" ht="62.45" customHeight="1" x14ac:dyDescent="0.25">
      <c r="A407" s="29" t="s">
        <v>1314</v>
      </c>
      <c r="B407" s="469" t="s">
        <v>841</v>
      </c>
      <c r="C407" s="469" t="s">
        <v>118</v>
      </c>
      <c r="D407" s="9" t="s">
        <v>150</v>
      </c>
      <c r="E407" s="469"/>
      <c r="F407" s="469"/>
      <c r="G407" s="10">
        <f t="shared" ref="G407:G408" si="36">G408</f>
        <v>426</v>
      </c>
      <c r="H407" s="204"/>
    </row>
    <row r="408" spans="1:8" s="203" customFormat="1" ht="34.5" customHeight="1" x14ac:dyDescent="0.25">
      <c r="A408" s="29" t="s">
        <v>131</v>
      </c>
      <c r="B408" s="469" t="s">
        <v>841</v>
      </c>
      <c r="C408" s="469" t="s">
        <v>118</v>
      </c>
      <c r="D408" s="9" t="s">
        <v>150</v>
      </c>
      <c r="E408" s="469" t="s">
        <v>132</v>
      </c>
      <c r="F408" s="469"/>
      <c r="G408" s="10">
        <f t="shared" si="36"/>
        <v>426</v>
      </c>
      <c r="H408" s="204"/>
    </row>
    <row r="409" spans="1:8" s="203" customFormat="1" ht="36" customHeight="1" x14ac:dyDescent="0.25">
      <c r="A409" s="29" t="s">
        <v>133</v>
      </c>
      <c r="B409" s="469" t="s">
        <v>841</v>
      </c>
      <c r="C409" s="469" t="s">
        <v>118</v>
      </c>
      <c r="D409" s="9" t="s">
        <v>150</v>
      </c>
      <c r="E409" s="469" t="s">
        <v>134</v>
      </c>
      <c r="F409" s="469"/>
      <c r="G409" s="10">
        <f>'Пр.3 Рд,пр, ЦС,ВР 21'!F97</f>
        <v>426</v>
      </c>
      <c r="H409" s="204"/>
    </row>
    <row r="410" spans="1:8" s="203" customFormat="1" ht="20.25" customHeight="1" x14ac:dyDescent="0.25">
      <c r="A410" s="29" t="s">
        <v>148</v>
      </c>
      <c r="B410" s="469" t="s">
        <v>841</v>
      </c>
      <c r="C410" s="469" t="s">
        <v>118</v>
      </c>
      <c r="D410" s="9" t="s">
        <v>150</v>
      </c>
      <c r="E410" s="469" t="s">
        <v>134</v>
      </c>
      <c r="F410" s="469" t="s">
        <v>641</v>
      </c>
      <c r="G410" s="10">
        <f>G409</f>
        <v>426</v>
      </c>
      <c r="H410" s="204"/>
    </row>
    <row r="411" spans="1:8" s="203" customFormat="1" ht="63" customHeight="1" x14ac:dyDescent="0.25">
      <c r="A411" s="219" t="s">
        <v>843</v>
      </c>
      <c r="B411" s="7" t="s">
        <v>850</v>
      </c>
      <c r="C411" s="7"/>
      <c r="D411" s="8"/>
      <c r="E411" s="194"/>
      <c r="F411" s="7"/>
      <c r="G411" s="59">
        <f>G412</f>
        <v>198.04000000000002</v>
      </c>
      <c r="H411" s="204"/>
    </row>
    <row r="412" spans="1:8" ht="15.75" x14ac:dyDescent="0.25">
      <c r="A412" s="45" t="s">
        <v>117</v>
      </c>
      <c r="B412" s="5" t="s">
        <v>850</v>
      </c>
      <c r="C412" s="469" t="s">
        <v>118</v>
      </c>
      <c r="D412" s="5"/>
      <c r="E412" s="5"/>
      <c r="F412" s="469"/>
      <c r="G412" s="10">
        <f>G413+G418</f>
        <v>198.04000000000002</v>
      </c>
    </row>
    <row r="413" spans="1:8" s="203" customFormat="1" ht="47.25" x14ac:dyDescent="0.25">
      <c r="A413" s="466" t="s">
        <v>575</v>
      </c>
      <c r="B413" s="5" t="s">
        <v>850</v>
      </c>
      <c r="C413" s="469" t="s">
        <v>118</v>
      </c>
      <c r="D413" s="9" t="s">
        <v>213</v>
      </c>
      <c r="E413" s="5"/>
      <c r="F413" s="469"/>
      <c r="G413" s="10">
        <f>G414</f>
        <v>1.6400000000000006</v>
      </c>
      <c r="H413" s="204"/>
    </row>
    <row r="414" spans="1:8" s="203" customFormat="1" ht="47.25" x14ac:dyDescent="0.25">
      <c r="A414" s="31" t="s">
        <v>695</v>
      </c>
      <c r="B414" s="469" t="s">
        <v>993</v>
      </c>
      <c r="C414" s="462" t="s">
        <v>118</v>
      </c>
      <c r="D414" s="9" t="s">
        <v>213</v>
      </c>
      <c r="E414" s="5"/>
      <c r="F414" s="469"/>
      <c r="G414" s="10">
        <f>G415</f>
        <v>1.6400000000000006</v>
      </c>
      <c r="H414" s="204"/>
    </row>
    <row r="415" spans="1:8" s="203" customFormat="1" ht="31.5" x14ac:dyDescent="0.25">
      <c r="A415" s="466" t="s">
        <v>131</v>
      </c>
      <c r="B415" s="469" t="s">
        <v>696</v>
      </c>
      <c r="C415" s="462" t="s">
        <v>118</v>
      </c>
      <c r="D415" s="9" t="s">
        <v>213</v>
      </c>
      <c r="E415" s="5">
        <v>200</v>
      </c>
      <c r="F415" s="469"/>
      <c r="G415" s="10">
        <f>G416</f>
        <v>1.6400000000000006</v>
      </c>
      <c r="H415" s="204"/>
    </row>
    <row r="416" spans="1:8" s="203" customFormat="1" ht="31.5" x14ac:dyDescent="0.25">
      <c r="A416" s="466" t="s">
        <v>133</v>
      </c>
      <c r="B416" s="469" t="s">
        <v>696</v>
      </c>
      <c r="C416" s="462" t="s">
        <v>118</v>
      </c>
      <c r="D416" s="9" t="s">
        <v>213</v>
      </c>
      <c r="E416" s="5">
        <v>240</v>
      </c>
      <c r="F416" s="469"/>
      <c r="G416" s="10">
        <f>'Пр.4 ведом.21'!G53</f>
        <v>1.6400000000000006</v>
      </c>
      <c r="H416" s="204"/>
    </row>
    <row r="417" spans="1:8" s="203" customFormat="1" ht="15.75" x14ac:dyDescent="0.25">
      <c r="A417" s="466" t="s">
        <v>148</v>
      </c>
      <c r="B417" s="469" t="s">
        <v>696</v>
      </c>
      <c r="C417" s="462" t="s">
        <v>118</v>
      </c>
      <c r="D417" s="9" t="s">
        <v>213</v>
      </c>
      <c r="E417" s="5">
        <v>240</v>
      </c>
      <c r="F417" s="469" t="s">
        <v>641</v>
      </c>
      <c r="G417" s="10">
        <f>G414</f>
        <v>1.6400000000000006</v>
      </c>
      <c r="H417" s="204"/>
    </row>
    <row r="418" spans="1:8" s="203" customFormat="1" ht="63" x14ac:dyDescent="0.25">
      <c r="A418" s="29" t="s">
        <v>149</v>
      </c>
      <c r="B418" s="5" t="s">
        <v>850</v>
      </c>
      <c r="C418" s="469" t="s">
        <v>118</v>
      </c>
      <c r="D418" s="9" t="s">
        <v>150</v>
      </c>
      <c r="E418" s="5"/>
      <c r="F418" s="469"/>
      <c r="G418" s="10">
        <f>G419</f>
        <v>196.4</v>
      </c>
      <c r="H418" s="204"/>
    </row>
    <row r="419" spans="1:8" ht="47.25" x14ac:dyDescent="0.25">
      <c r="A419" s="174" t="s">
        <v>165</v>
      </c>
      <c r="B419" s="469" t="s">
        <v>842</v>
      </c>
      <c r="C419" s="469" t="s">
        <v>118</v>
      </c>
      <c r="D419" s="9" t="s">
        <v>150</v>
      </c>
      <c r="E419" s="469"/>
      <c r="F419" s="469"/>
      <c r="G419" s="10">
        <f>G420+G423</f>
        <v>196.4</v>
      </c>
    </row>
    <row r="420" spans="1:8" s="203" customFormat="1" ht="78.75" x14ac:dyDescent="0.25">
      <c r="A420" s="466" t="s">
        <v>127</v>
      </c>
      <c r="B420" s="469" t="s">
        <v>842</v>
      </c>
      <c r="C420" s="469" t="s">
        <v>118</v>
      </c>
      <c r="D420" s="9" t="s">
        <v>150</v>
      </c>
      <c r="E420" s="469" t="s">
        <v>128</v>
      </c>
      <c r="F420" s="469"/>
      <c r="G420" s="10">
        <f>G421</f>
        <v>151.4</v>
      </c>
      <c r="H420" s="204"/>
    </row>
    <row r="421" spans="1:8" s="203" customFormat="1" ht="31.5" x14ac:dyDescent="0.25">
      <c r="A421" s="466" t="s">
        <v>129</v>
      </c>
      <c r="B421" s="469" t="s">
        <v>842</v>
      </c>
      <c r="C421" s="469" t="s">
        <v>118</v>
      </c>
      <c r="D421" s="9" t="s">
        <v>150</v>
      </c>
      <c r="E421" s="469" t="s">
        <v>130</v>
      </c>
      <c r="F421" s="469"/>
      <c r="G421" s="10">
        <f>'Пр.3 Рд,пр, ЦС,ВР 21'!F101</f>
        <v>151.4</v>
      </c>
      <c r="H421" s="204"/>
    </row>
    <row r="422" spans="1:8" s="203" customFormat="1" ht="24" customHeight="1" x14ac:dyDescent="0.25">
      <c r="A422" s="29" t="s">
        <v>1329</v>
      </c>
      <c r="B422" s="469" t="s">
        <v>842</v>
      </c>
      <c r="C422" s="469" t="s">
        <v>118</v>
      </c>
      <c r="D422" s="9" t="s">
        <v>150</v>
      </c>
      <c r="E422" s="469" t="s">
        <v>130</v>
      </c>
      <c r="F422" s="469" t="s">
        <v>641</v>
      </c>
      <c r="G422" s="10">
        <f>G421</f>
        <v>151.4</v>
      </c>
      <c r="H422" s="204"/>
    </row>
    <row r="423" spans="1:8" s="203" customFormat="1" ht="31.5" x14ac:dyDescent="0.25">
      <c r="A423" s="466" t="s">
        <v>131</v>
      </c>
      <c r="B423" s="469" t="s">
        <v>842</v>
      </c>
      <c r="C423" s="469" t="s">
        <v>118</v>
      </c>
      <c r="D423" s="9" t="s">
        <v>150</v>
      </c>
      <c r="E423" s="469" t="s">
        <v>132</v>
      </c>
      <c r="F423" s="469"/>
      <c r="G423" s="10">
        <f>G424</f>
        <v>45</v>
      </c>
      <c r="H423" s="204"/>
    </row>
    <row r="424" spans="1:8" s="203" customFormat="1" ht="31.5" x14ac:dyDescent="0.25">
      <c r="A424" s="466" t="s">
        <v>133</v>
      </c>
      <c r="B424" s="469" t="s">
        <v>842</v>
      </c>
      <c r="C424" s="469" t="s">
        <v>118</v>
      </c>
      <c r="D424" s="9" t="s">
        <v>150</v>
      </c>
      <c r="E424" s="469" t="s">
        <v>134</v>
      </c>
      <c r="F424" s="469"/>
      <c r="G424" s="10">
        <f>'Пр.3 Рд,пр, ЦС,ВР 21'!F103</f>
        <v>45</v>
      </c>
      <c r="H424" s="204"/>
    </row>
    <row r="425" spans="1:8" s="203" customFormat="1" ht="22.7" customHeight="1" x14ac:dyDescent="0.25">
      <c r="A425" s="29" t="s">
        <v>148</v>
      </c>
      <c r="B425" s="469" t="s">
        <v>842</v>
      </c>
      <c r="C425" s="469" t="s">
        <v>118</v>
      </c>
      <c r="D425" s="9" t="s">
        <v>150</v>
      </c>
      <c r="E425" s="469" t="s">
        <v>134</v>
      </c>
      <c r="F425" s="469" t="s">
        <v>641</v>
      </c>
      <c r="G425" s="10">
        <f>G424</f>
        <v>45</v>
      </c>
      <c r="H425" s="204"/>
    </row>
    <row r="426" spans="1:8" s="203" customFormat="1" ht="47.25" hidden="1" x14ac:dyDescent="0.25">
      <c r="A426" s="31" t="s">
        <v>695</v>
      </c>
      <c r="B426" s="469" t="s">
        <v>993</v>
      </c>
      <c r="C426" s="469" t="s">
        <v>118</v>
      </c>
      <c r="D426" s="9" t="s">
        <v>150</v>
      </c>
      <c r="E426" s="5"/>
      <c r="F426" s="469"/>
      <c r="G426" s="10">
        <f>G427</f>
        <v>0</v>
      </c>
      <c r="H426" s="204"/>
    </row>
    <row r="427" spans="1:8" s="203" customFormat="1" ht="31.5" hidden="1" x14ac:dyDescent="0.25">
      <c r="A427" s="466" t="s">
        <v>131</v>
      </c>
      <c r="B427" s="469" t="s">
        <v>993</v>
      </c>
      <c r="C427" s="469" t="s">
        <v>118</v>
      </c>
      <c r="D427" s="9" t="s">
        <v>150</v>
      </c>
      <c r="E427" s="5">
        <v>200</v>
      </c>
      <c r="F427" s="469"/>
      <c r="G427" s="10">
        <f>G428</f>
        <v>0</v>
      </c>
      <c r="H427" s="204"/>
    </row>
    <row r="428" spans="1:8" s="203" customFormat="1" ht="31.5" hidden="1" x14ac:dyDescent="0.25">
      <c r="A428" s="466" t="s">
        <v>133</v>
      </c>
      <c r="B428" s="469" t="s">
        <v>993</v>
      </c>
      <c r="C428" s="469" t="s">
        <v>118</v>
      </c>
      <c r="D428" s="9" t="s">
        <v>150</v>
      </c>
      <c r="E428" s="5">
        <v>240</v>
      </c>
      <c r="F428" s="469"/>
      <c r="G428" s="10">
        <f>'Пр.4 ведом.21'!G110</f>
        <v>0</v>
      </c>
      <c r="H428" s="204"/>
    </row>
    <row r="429" spans="1:8" s="203" customFormat="1" ht="21.2" hidden="1" customHeight="1" x14ac:dyDescent="0.25">
      <c r="A429" s="29" t="s">
        <v>148</v>
      </c>
      <c r="B429" s="469" t="s">
        <v>993</v>
      </c>
      <c r="C429" s="469" t="s">
        <v>118</v>
      </c>
      <c r="D429" s="9" t="s">
        <v>150</v>
      </c>
      <c r="E429" s="5">
        <v>240</v>
      </c>
      <c r="F429" s="469" t="s">
        <v>641</v>
      </c>
      <c r="G429" s="10">
        <f>G428</f>
        <v>0</v>
      </c>
      <c r="H429" s="204"/>
    </row>
    <row r="430" spans="1:8" s="203" customFormat="1" ht="63" x14ac:dyDescent="0.25">
      <c r="A430" s="220" t="s">
        <v>1003</v>
      </c>
      <c r="B430" s="7" t="s">
        <v>851</v>
      </c>
      <c r="C430" s="7"/>
      <c r="D430" s="8"/>
      <c r="E430" s="7"/>
      <c r="F430" s="7"/>
      <c r="G430" s="59">
        <f>G431</f>
        <v>0.5</v>
      </c>
      <c r="H430" s="204"/>
    </row>
    <row r="431" spans="1:8" s="203" customFormat="1" ht="15.75" x14ac:dyDescent="0.25">
      <c r="A431" s="45" t="s">
        <v>117</v>
      </c>
      <c r="B431" s="469" t="s">
        <v>851</v>
      </c>
      <c r="C431" s="469" t="s">
        <v>118</v>
      </c>
      <c r="D431" s="9"/>
      <c r="E431" s="7"/>
      <c r="F431" s="7"/>
      <c r="G431" s="10">
        <f>G432</f>
        <v>0.5</v>
      </c>
      <c r="H431" s="204"/>
    </row>
    <row r="432" spans="1:8" s="203" customFormat="1" ht="63" x14ac:dyDescent="0.25">
      <c r="A432" s="29" t="s">
        <v>149</v>
      </c>
      <c r="B432" s="469" t="s">
        <v>851</v>
      </c>
      <c r="C432" s="469" t="s">
        <v>118</v>
      </c>
      <c r="D432" s="9" t="s">
        <v>150</v>
      </c>
      <c r="E432" s="7"/>
      <c r="F432" s="7"/>
      <c r="G432" s="10">
        <f>G433</f>
        <v>0.5</v>
      </c>
      <c r="H432" s="204"/>
    </row>
    <row r="433" spans="1:8" s="203" customFormat="1" ht="47.25" x14ac:dyDescent="0.25">
      <c r="A433" s="33" t="s">
        <v>191</v>
      </c>
      <c r="B433" s="469" t="s">
        <v>844</v>
      </c>
      <c r="C433" s="469" t="s">
        <v>118</v>
      </c>
      <c r="D433" s="9" t="s">
        <v>150</v>
      </c>
      <c r="E433" s="469"/>
      <c r="F433" s="469"/>
      <c r="G433" s="10">
        <f>G434</f>
        <v>0.5</v>
      </c>
      <c r="H433" s="204"/>
    </row>
    <row r="434" spans="1:8" s="203" customFormat="1" ht="31.5" x14ac:dyDescent="0.25">
      <c r="A434" s="466" t="s">
        <v>131</v>
      </c>
      <c r="B434" s="469" t="s">
        <v>844</v>
      </c>
      <c r="C434" s="469" t="s">
        <v>118</v>
      </c>
      <c r="D434" s="9" t="s">
        <v>150</v>
      </c>
      <c r="E434" s="469" t="s">
        <v>132</v>
      </c>
      <c r="F434" s="469"/>
      <c r="G434" s="10">
        <f>G435</f>
        <v>0.5</v>
      </c>
      <c r="H434" s="204"/>
    </row>
    <row r="435" spans="1:8" s="203" customFormat="1" ht="31.5" x14ac:dyDescent="0.25">
      <c r="A435" s="466" t="s">
        <v>133</v>
      </c>
      <c r="B435" s="469" t="s">
        <v>844</v>
      </c>
      <c r="C435" s="469" t="s">
        <v>118</v>
      </c>
      <c r="D435" s="9" t="s">
        <v>150</v>
      </c>
      <c r="E435" s="469" t="s">
        <v>134</v>
      </c>
      <c r="F435" s="469"/>
      <c r="G435" s="10">
        <f>'Пр.3 Рд,пр, ЦС,ВР 21'!F110</f>
        <v>0.5</v>
      </c>
      <c r="H435" s="204"/>
    </row>
    <row r="436" spans="1:8" s="203" customFormat="1" ht="21.75" customHeight="1" x14ac:dyDescent="0.25">
      <c r="A436" s="29" t="s">
        <v>148</v>
      </c>
      <c r="B436" s="469" t="s">
        <v>844</v>
      </c>
      <c r="C436" s="469" t="s">
        <v>118</v>
      </c>
      <c r="D436" s="9" t="s">
        <v>150</v>
      </c>
      <c r="E436" s="469" t="s">
        <v>134</v>
      </c>
      <c r="F436" s="469" t="s">
        <v>641</v>
      </c>
      <c r="G436" s="10">
        <f>G435</f>
        <v>0.5</v>
      </c>
      <c r="H436" s="204"/>
    </row>
    <row r="437" spans="1:8" ht="70.5" hidden="1" customHeight="1" x14ac:dyDescent="0.25">
      <c r="A437" s="470" t="s">
        <v>1357</v>
      </c>
      <c r="B437" s="194" t="s">
        <v>254</v>
      </c>
      <c r="C437" s="469"/>
      <c r="D437" s="469"/>
      <c r="E437" s="469"/>
      <c r="F437" s="469"/>
      <c r="G437" s="59">
        <f t="shared" ref="G437" si="37">G439</f>
        <v>0</v>
      </c>
      <c r="H437" s="204">
        <v>10</v>
      </c>
    </row>
    <row r="438" spans="1:8" s="203" customFormat="1" ht="54" hidden="1" customHeight="1" x14ac:dyDescent="0.25">
      <c r="A438" s="464" t="s">
        <v>884</v>
      </c>
      <c r="B438" s="465" t="s">
        <v>882</v>
      </c>
      <c r="C438" s="469"/>
      <c r="D438" s="469"/>
      <c r="E438" s="469"/>
      <c r="F438" s="469"/>
      <c r="G438" s="59">
        <f>G439</f>
        <v>0</v>
      </c>
      <c r="H438" s="204"/>
    </row>
    <row r="439" spans="1:8" ht="15.75" hidden="1" x14ac:dyDescent="0.25">
      <c r="A439" s="29" t="s">
        <v>243</v>
      </c>
      <c r="B439" s="5" t="s">
        <v>882</v>
      </c>
      <c r="C439" s="469" t="s">
        <v>244</v>
      </c>
      <c r="D439" s="469"/>
      <c r="E439" s="469"/>
      <c r="F439" s="469"/>
      <c r="G439" s="10">
        <f>G440</f>
        <v>0</v>
      </c>
    </row>
    <row r="440" spans="1:8" ht="22.7" hidden="1" customHeight="1" x14ac:dyDescent="0.25">
      <c r="A440" s="29" t="s">
        <v>252</v>
      </c>
      <c r="B440" s="5" t="s">
        <v>882</v>
      </c>
      <c r="C440" s="469" t="s">
        <v>244</v>
      </c>
      <c r="D440" s="469" t="s">
        <v>215</v>
      </c>
      <c r="E440" s="469"/>
      <c r="F440" s="469"/>
      <c r="G440" s="10">
        <f>G441</f>
        <v>0</v>
      </c>
    </row>
    <row r="441" spans="1:8" ht="31.5" hidden="1" x14ac:dyDescent="0.25">
      <c r="A441" s="466" t="s">
        <v>883</v>
      </c>
      <c r="B441" s="462" t="s">
        <v>1193</v>
      </c>
      <c r="C441" s="469" t="s">
        <v>244</v>
      </c>
      <c r="D441" s="469" t="s">
        <v>215</v>
      </c>
      <c r="E441" s="469"/>
      <c r="F441" s="469"/>
      <c r="G441" s="10">
        <f t="shared" ref="G441:G442" si="38">G442</f>
        <v>0</v>
      </c>
    </row>
    <row r="442" spans="1:8" ht="21.75" hidden="1" customHeight="1" x14ac:dyDescent="0.25">
      <c r="A442" s="466" t="s">
        <v>248</v>
      </c>
      <c r="B442" s="462" t="s">
        <v>1193</v>
      </c>
      <c r="C442" s="469" t="s">
        <v>244</v>
      </c>
      <c r="D442" s="469" t="s">
        <v>215</v>
      </c>
      <c r="E442" s="469" t="s">
        <v>249</v>
      </c>
      <c r="F442" s="469"/>
      <c r="G442" s="10">
        <f t="shared" si="38"/>
        <v>0</v>
      </c>
    </row>
    <row r="443" spans="1:8" ht="31.7" hidden="1" customHeight="1" x14ac:dyDescent="0.25">
      <c r="A443" s="466" t="s">
        <v>250</v>
      </c>
      <c r="B443" s="462" t="s">
        <v>1193</v>
      </c>
      <c r="C443" s="469" t="s">
        <v>244</v>
      </c>
      <c r="D443" s="469" t="s">
        <v>215</v>
      </c>
      <c r="E443" s="469" t="s">
        <v>251</v>
      </c>
      <c r="F443" s="469"/>
      <c r="G443" s="10">
        <f>'Пр.4 ведом.21'!G250</f>
        <v>0</v>
      </c>
    </row>
    <row r="444" spans="1:8" ht="22.7" hidden="1" customHeight="1" x14ac:dyDescent="0.25">
      <c r="A444" s="29" t="s">
        <v>148</v>
      </c>
      <c r="B444" s="462" t="s">
        <v>1193</v>
      </c>
      <c r="C444" s="469" t="s">
        <v>244</v>
      </c>
      <c r="D444" s="469" t="s">
        <v>215</v>
      </c>
      <c r="E444" s="469" t="s">
        <v>251</v>
      </c>
      <c r="F444" s="469" t="s">
        <v>641</v>
      </c>
      <c r="G444" s="10">
        <f>G443</f>
        <v>0</v>
      </c>
    </row>
    <row r="445" spans="1:8" ht="53.45" customHeight="1" x14ac:dyDescent="0.25">
      <c r="A445" s="470" t="s">
        <v>1380</v>
      </c>
      <c r="B445" s="3" t="s">
        <v>482</v>
      </c>
      <c r="C445" s="68"/>
      <c r="D445" s="68"/>
      <c r="E445" s="68"/>
      <c r="F445" s="68"/>
      <c r="G445" s="458">
        <f>G446+G457+G476+G487+G511+G494+G504</f>
        <v>58697.759999999995</v>
      </c>
      <c r="H445" s="204">
        <v>49079.7</v>
      </c>
    </row>
    <row r="446" spans="1:8" s="203" customFormat="1" ht="31.5" x14ac:dyDescent="0.25">
      <c r="A446" s="464" t="s">
        <v>937</v>
      </c>
      <c r="B446" s="465" t="s">
        <v>1268</v>
      </c>
      <c r="C446" s="7"/>
      <c r="D446" s="7"/>
      <c r="E446" s="222"/>
      <c r="F446" s="194"/>
      <c r="G446" s="59">
        <f>G447+G453</f>
        <v>47847.829999999994</v>
      </c>
      <c r="H446" s="204"/>
    </row>
    <row r="447" spans="1:8" ht="17.45" customHeight="1" x14ac:dyDescent="0.25">
      <c r="A447" s="29" t="s">
        <v>490</v>
      </c>
      <c r="B447" s="469" t="s">
        <v>1268</v>
      </c>
      <c r="C447" s="2">
        <v>11</v>
      </c>
      <c r="D447" s="68"/>
      <c r="E447" s="68"/>
      <c r="F447" s="68"/>
      <c r="G447" s="10">
        <f t="shared" ref="G447" si="39">G448</f>
        <v>46925.63</v>
      </c>
    </row>
    <row r="448" spans="1:8" ht="19.5" customHeight="1" x14ac:dyDescent="0.25">
      <c r="A448" s="29" t="s">
        <v>492</v>
      </c>
      <c r="B448" s="469" t="s">
        <v>1268</v>
      </c>
      <c r="C448" s="469" t="s">
        <v>491</v>
      </c>
      <c r="D448" s="469" t="s">
        <v>118</v>
      </c>
      <c r="E448" s="71"/>
      <c r="F448" s="5"/>
      <c r="G448" s="10">
        <f>G449</f>
        <v>46925.63</v>
      </c>
    </row>
    <row r="449" spans="1:8" ht="31.5" x14ac:dyDescent="0.25">
      <c r="A449" s="466" t="s">
        <v>1298</v>
      </c>
      <c r="B449" s="462" t="s">
        <v>1269</v>
      </c>
      <c r="C449" s="469" t="s">
        <v>491</v>
      </c>
      <c r="D449" s="469" t="s">
        <v>118</v>
      </c>
      <c r="E449" s="71"/>
      <c r="F449" s="5"/>
      <c r="G449" s="10">
        <f>G450</f>
        <v>46925.63</v>
      </c>
    </row>
    <row r="450" spans="1:8" ht="31.5" x14ac:dyDescent="0.25">
      <c r="A450" s="29" t="s">
        <v>272</v>
      </c>
      <c r="B450" s="462" t="s">
        <v>1269</v>
      </c>
      <c r="C450" s="469" t="s">
        <v>491</v>
      </c>
      <c r="D450" s="469" t="s">
        <v>118</v>
      </c>
      <c r="E450" s="469" t="s">
        <v>273</v>
      </c>
      <c r="F450" s="5"/>
      <c r="G450" s="10">
        <f>G451</f>
        <v>46925.63</v>
      </c>
    </row>
    <row r="451" spans="1:8" ht="15.75" x14ac:dyDescent="0.25">
      <c r="A451" s="29" t="s">
        <v>274</v>
      </c>
      <c r="B451" s="462" t="s">
        <v>1269</v>
      </c>
      <c r="C451" s="469" t="s">
        <v>491</v>
      </c>
      <c r="D451" s="469" t="s">
        <v>118</v>
      </c>
      <c r="E451" s="469" t="s">
        <v>275</v>
      </c>
      <c r="F451" s="5"/>
      <c r="G451" s="10">
        <f>'Пр.4 ведом.21'!G883</f>
        <v>46925.63</v>
      </c>
    </row>
    <row r="452" spans="1:8" s="203" customFormat="1" ht="31.5" x14ac:dyDescent="0.25">
      <c r="A452" s="45" t="s">
        <v>480</v>
      </c>
      <c r="B452" s="462" t="s">
        <v>1269</v>
      </c>
      <c r="C452" s="469" t="s">
        <v>491</v>
      </c>
      <c r="D452" s="469" t="s">
        <v>118</v>
      </c>
      <c r="E452" s="469" t="s">
        <v>275</v>
      </c>
      <c r="F452" s="5">
        <v>907</v>
      </c>
      <c r="G452" s="10">
        <f>G451</f>
        <v>46925.63</v>
      </c>
      <c r="H452" s="204"/>
    </row>
    <row r="453" spans="1:8" s="457" customFormat="1" ht="47.25" x14ac:dyDescent="0.25">
      <c r="A453" s="466" t="s">
        <v>1776</v>
      </c>
      <c r="B453" s="462" t="s">
        <v>1781</v>
      </c>
      <c r="C453" s="469" t="s">
        <v>491</v>
      </c>
      <c r="D453" s="469" t="s">
        <v>118</v>
      </c>
      <c r="E453" s="469"/>
      <c r="F453" s="5"/>
      <c r="G453" s="10">
        <f>G454</f>
        <v>922.2</v>
      </c>
      <c r="H453" s="204"/>
    </row>
    <row r="454" spans="1:8" s="457" customFormat="1" ht="31.5" x14ac:dyDescent="0.25">
      <c r="A454" s="466" t="s">
        <v>272</v>
      </c>
      <c r="B454" s="462" t="s">
        <v>1781</v>
      </c>
      <c r="C454" s="469" t="s">
        <v>491</v>
      </c>
      <c r="D454" s="469" t="s">
        <v>118</v>
      </c>
      <c r="E454" s="469" t="s">
        <v>273</v>
      </c>
      <c r="F454" s="5"/>
      <c r="G454" s="10">
        <f>G455</f>
        <v>922.2</v>
      </c>
      <c r="H454" s="204"/>
    </row>
    <row r="455" spans="1:8" s="457" customFormat="1" ht="15.75" x14ac:dyDescent="0.25">
      <c r="A455" s="466" t="s">
        <v>274</v>
      </c>
      <c r="B455" s="462" t="s">
        <v>1781</v>
      </c>
      <c r="C455" s="469" t="s">
        <v>491</v>
      </c>
      <c r="D455" s="469" t="s">
        <v>118</v>
      </c>
      <c r="E455" s="469" t="s">
        <v>275</v>
      </c>
      <c r="F455" s="5"/>
      <c r="G455" s="10">
        <f>'Пр.4 ведом.21'!G886</f>
        <v>922.2</v>
      </c>
      <c r="H455" s="204"/>
    </row>
    <row r="456" spans="1:8" s="457" customFormat="1" ht="31.5" x14ac:dyDescent="0.25">
      <c r="A456" s="45" t="s">
        <v>480</v>
      </c>
      <c r="B456" s="462" t="s">
        <v>1781</v>
      </c>
      <c r="C456" s="469" t="s">
        <v>491</v>
      </c>
      <c r="D456" s="469" t="s">
        <v>118</v>
      </c>
      <c r="E456" s="469" t="s">
        <v>275</v>
      </c>
      <c r="F456" s="5">
        <v>907</v>
      </c>
      <c r="G456" s="10">
        <f>G455</f>
        <v>922.2</v>
      </c>
      <c r="H456" s="204"/>
    </row>
    <row r="457" spans="1:8" s="203" customFormat="1" ht="31.5" x14ac:dyDescent="0.25">
      <c r="A457" s="464" t="s">
        <v>945</v>
      </c>
      <c r="B457" s="465" t="s">
        <v>1270</v>
      </c>
      <c r="C457" s="7"/>
      <c r="D457" s="7"/>
      <c r="E457" s="7"/>
      <c r="F457" s="194"/>
      <c r="G457" s="59">
        <f>G458</f>
        <v>1211.5</v>
      </c>
      <c r="H457" s="204"/>
    </row>
    <row r="458" spans="1:8" s="203" customFormat="1" ht="15.75" x14ac:dyDescent="0.25">
      <c r="A458" s="29" t="s">
        <v>490</v>
      </c>
      <c r="B458" s="462" t="s">
        <v>1270</v>
      </c>
      <c r="C458" s="2">
        <v>11</v>
      </c>
      <c r="D458" s="68"/>
      <c r="E458" s="68"/>
      <c r="F458" s="68"/>
      <c r="G458" s="10">
        <f>G459</f>
        <v>1211.5</v>
      </c>
      <c r="H458" s="204"/>
    </row>
    <row r="459" spans="1:8" s="203" customFormat="1" ht="16.5" x14ac:dyDescent="0.25">
      <c r="A459" s="29" t="s">
        <v>492</v>
      </c>
      <c r="B459" s="462" t="s">
        <v>1270</v>
      </c>
      <c r="C459" s="469" t="s">
        <v>491</v>
      </c>
      <c r="D459" s="469" t="s">
        <v>118</v>
      </c>
      <c r="E459" s="71"/>
      <c r="F459" s="5"/>
      <c r="G459" s="10">
        <f>G460+G464+G468+G472</f>
        <v>1211.5</v>
      </c>
      <c r="H459" s="204"/>
    </row>
    <row r="460" spans="1:8" ht="31.7" customHeight="1" x14ac:dyDescent="0.25">
      <c r="A460" s="29" t="s">
        <v>278</v>
      </c>
      <c r="B460" s="462" t="s">
        <v>1330</v>
      </c>
      <c r="C460" s="469" t="s">
        <v>491</v>
      </c>
      <c r="D460" s="469" t="s">
        <v>118</v>
      </c>
      <c r="E460" s="469"/>
      <c r="F460" s="5"/>
      <c r="G460" s="10">
        <f t="shared" ref="G460:G461" si="40">G461</f>
        <v>232.9</v>
      </c>
    </row>
    <row r="461" spans="1:8" ht="31.7" customHeight="1" x14ac:dyDescent="0.25">
      <c r="A461" s="29" t="s">
        <v>272</v>
      </c>
      <c r="B461" s="462" t="s">
        <v>1330</v>
      </c>
      <c r="C461" s="469" t="s">
        <v>491</v>
      </c>
      <c r="D461" s="469" t="s">
        <v>118</v>
      </c>
      <c r="E461" s="469" t="s">
        <v>273</v>
      </c>
      <c r="F461" s="5"/>
      <c r="G461" s="10">
        <f t="shared" si="40"/>
        <v>232.9</v>
      </c>
    </row>
    <row r="462" spans="1:8" ht="15.75" customHeight="1" x14ac:dyDescent="0.25">
      <c r="A462" s="29" t="s">
        <v>274</v>
      </c>
      <c r="B462" s="462" t="s">
        <v>1330</v>
      </c>
      <c r="C462" s="469" t="s">
        <v>491</v>
      </c>
      <c r="D462" s="469" t="s">
        <v>118</v>
      </c>
      <c r="E462" s="469" t="s">
        <v>275</v>
      </c>
      <c r="F462" s="5"/>
      <c r="G462" s="10">
        <f>'Пр.4 ведом.21'!G890</f>
        <v>232.9</v>
      </c>
    </row>
    <row r="463" spans="1:8" s="203" customFormat="1" ht="34.5" customHeight="1" x14ac:dyDescent="0.25">
      <c r="A463" s="45" t="s">
        <v>480</v>
      </c>
      <c r="B463" s="462" t="s">
        <v>1330</v>
      </c>
      <c r="C463" s="469" t="s">
        <v>491</v>
      </c>
      <c r="D463" s="469" t="s">
        <v>118</v>
      </c>
      <c r="E463" s="469" t="s">
        <v>275</v>
      </c>
      <c r="F463" s="5">
        <v>907</v>
      </c>
      <c r="G463" s="10">
        <f>G462</f>
        <v>232.9</v>
      </c>
      <c r="H463" s="204"/>
    </row>
    <row r="464" spans="1:8" ht="31.7" customHeight="1" x14ac:dyDescent="0.25">
      <c r="A464" s="29" t="s">
        <v>280</v>
      </c>
      <c r="B464" s="462" t="s">
        <v>1331</v>
      </c>
      <c r="C464" s="469" t="s">
        <v>491</v>
      </c>
      <c r="D464" s="469" t="s">
        <v>118</v>
      </c>
      <c r="E464" s="469"/>
      <c r="F464" s="5"/>
      <c r="G464" s="10">
        <f t="shared" ref="G464:G465" si="41">G465</f>
        <v>642.6</v>
      </c>
    </row>
    <row r="465" spans="1:8" ht="31.7" customHeight="1" x14ac:dyDescent="0.25">
      <c r="A465" s="29" t="s">
        <v>272</v>
      </c>
      <c r="B465" s="462" t="s">
        <v>1331</v>
      </c>
      <c r="C465" s="469" t="s">
        <v>491</v>
      </c>
      <c r="D465" s="469" t="s">
        <v>118</v>
      </c>
      <c r="E465" s="469" t="s">
        <v>273</v>
      </c>
      <c r="F465" s="5"/>
      <c r="G465" s="10">
        <f t="shared" si="41"/>
        <v>642.6</v>
      </c>
    </row>
    <row r="466" spans="1:8" ht="15.75" customHeight="1" x14ac:dyDescent="0.25">
      <c r="A466" s="29" t="s">
        <v>274</v>
      </c>
      <c r="B466" s="462" t="s">
        <v>1331</v>
      </c>
      <c r="C466" s="469" t="s">
        <v>491</v>
      </c>
      <c r="D466" s="469" t="s">
        <v>118</v>
      </c>
      <c r="E466" s="469" t="s">
        <v>275</v>
      </c>
      <c r="F466" s="5"/>
      <c r="G466" s="10">
        <f>'Пр.4 ведом.21'!G893</f>
        <v>642.6</v>
      </c>
    </row>
    <row r="467" spans="1:8" s="203" customFormat="1" ht="36" customHeight="1" x14ac:dyDescent="0.25">
      <c r="A467" s="45" t="s">
        <v>480</v>
      </c>
      <c r="B467" s="462" t="s">
        <v>1331</v>
      </c>
      <c r="C467" s="469" t="s">
        <v>491</v>
      </c>
      <c r="D467" s="469" t="s">
        <v>118</v>
      </c>
      <c r="E467" s="469" t="s">
        <v>275</v>
      </c>
      <c r="F467" s="5">
        <v>907</v>
      </c>
      <c r="G467" s="10">
        <f>G466</f>
        <v>642.6</v>
      </c>
      <c r="H467" s="204"/>
    </row>
    <row r="468" spans="1:8" s="203" customFormat="1" ht="15.75" customHeight="1" x14ac:dyDescent="0.25">
      <c r="A468" s="466" t="s">
        <v>830</v>
      </c>
      <c r="B468" s="462" t="s">
        <v>1271</v>
      </c>
      <c r="C468" s="469" t="s">
        <v>491</v>
      </c>
      <c r="D468" s="469" t="s">
        <v>118</v>
      </c>
      <c r="E468" s="469"/>
      <c r="F468" s="5"/>
      <c r="G468" s="10">
        <f>G469</f>
        <v>36</v>
      </c>
      <c r="H468" s="204"/>
    </row>
    <row r="469" spans="1:8" s="203" customFormat="1" ht="31.5" x14ac:dyDescent="0.25">
      <c r="A469" s="466" t="s">
        <v>272</v>
      </c>
      <c r="B469" s="462" t="s">
        <v>1271</v>
      </c>
      <c r="C469" s="469" t="s">
        <v>491</v>
      </c>
      <c r="D469" s="469" t="s">
        <v>118</v>
      </c>
      <c r="E469" s="469" t="s">
        <v>273</v>
      </c>
      <c r="F469" s="5"/>
      <c r="G469" s="10">
        <f>G470</f>
        <v>36</v>
      </c>
      <c r="H469" s="204"/>
    </row>
    <row r="470" spans="1:8" s="203" customFormat="1" ht="15.75" customHeight="1" x14ac:dyDescent="0.25">
      <c r="A470" s="466" t="s">
        <v>274</v>
      </c>
      <c r="B470" s="462" t="s">
        <v>1271</v>
      </c>
      <c r="C470" s="469" t="s">
        <v>491</v>
      </c>
      <c r="D470" s="469" t="s">
        <v>118</v>
      </c>
      <c r="E470" s="469" t="s">
        <v>275</v>
      </c>
      <c r="F470" s="5"/>
      <c r="G470" s="10">
        <f>'Пр.4 ведом.21'!G896</f>
        <v>36</v>
      </c>
      <c r="H470" s="204"/>
    </row>
    <row r="471" spans="1:8" s="203" customFormat="1" ht="33" customHeight="1" x14ac:dyDescent="0.25">
      <c r="A471" s="45" t="s">
        <v>480</v>
      </c>
      <c r="B471" s="462" t="s">
        <v>1271</v>
      </c>
      <c r="C471" s="469" t="s">
        <v>491</v>
      </c>
      <c r="D471" s="469" t="s">
        <v>118</v>
      </c>
      <c r="E471" s="469" t="s">
        <v>275</v>
      </c>
      <c r="F471" s="5">
        <v>907</v>
      </c>
      <c r="G471" s="10">
        <f>G470</f>
        <v>36</v>
      </c>
      <c r="H471" s="204"/>
    </row>
    <row r="472" spans="1:8" s="457" customFormat="1" ht="33" customHeight="1" x14ac:dyDescent="0.25">
      <c r="A472" s="466" t="s">
        <v>287</v>
      </c>
      <c r="B472" s="462" t="s">
        <v>1713</v>
      </c>
      <c r="C472" s="469" t="s">
        <v>491</v>
      </c>
      <c r="D472" s="469" t="s">
        <v>118</v>
      </c>
      <c r="E472" s="469"/>
      <c r="F472" s="5"/>
      <c r="G472" s="10">
        <f>G473</f>
        <v>300</v>
      </c>
      <c r="H472" s="204"/>
    </row>
    <row r="473" spans="1:8" s="457" customFormat="1" ht="33" customHeight="1" x14ac:dyDescent="0.25">
      <c r="A473" s="466" t="s">
        <v>272</v>
      </c>
      <c r="B473" s="462" t="s">
        <v>1713</v>
      </c>
      <c r="C473" s="469" t="s">
        <v>491</v>
      </c>
      <c r="D473" s="469" t="s">
        <v>118</v>
      </c>
      <c r="E473" s="469" t="s">
        <v>273</v>
      </c>
      <c r="F473" s="5"/>
      <c r="G473" s="10">
        <f>G474</f>
        <v>300</v>
      </c>
      <c r="H473" s="204"/>
    </row>
    <row r="474" spans="1:8" s="457" customFormat="1" ht="21.75" customHeight="1" x14ac:dyDescent="0.25">
      <c r="A474" s="466" t="s">
        <v>274</v>
      </c>
      <c r="B474" s="462" t="s">
        <v>1713</v>
      </c>
      <c r="C474" s="469" t="s">
        <v>491</v>
      </c>
      <c r="D474" s="469" t="s">
        <v>118</v>
      </c>
      <c r="E474" s="469" t="s">
        <v>275</v>
      </c>
      <c r="F474" s="5"/>
      <c r="G474" s="10">
        <f>'Пр.4 ведом.21'!G899</f>
        <v>300</v>
      </c>
      <c r="H474" s="204"/>
    </row>
    <row r="475" spans="1:8" s="457" customFormat="1" ht="33" customHeight="1" x14ac:dyDescent="0.25">
      <c r="A475" s="45" t="s">
        <v>480</v>
      </c>
      <c r="B475" s="462" t="s">
        <v>1713</v>
      </c>
      <c r="C475" s="469" t="s">
        <v>491</v>
      </c>
      <c r="D475" s="469" t="s">
        <v>118</v>
      </c>
      <c r="E475" s="469" t="s">
        <v>275</v>
      </c>
      <c r="F475" s="5">
        <v>907</v>
      </c>
      <c r="G475" s="10">
        <f>G474</f>
        <v>300</v>
      </c>
      <c r="H475" s="204"/>
    </row>
    <row r="476" spans="1:8" s="203" customFormat="1" ht="36" customHeight="1" x14ac:dyDescent="0.25">
      <c r="A476" s="464" t="s">
        <v>947</v>
      </c>
      <c r="B476" s="465" t="s">
        <v>1272</v>
      </c>
      <c r="C476" s="7"/>
      <c r="D476" s="7"/>
      <c r="E476" s="7"/>
      <c r="F476" s="194"/>
      <c r="G476" s="59">
        <f>G477</f>
        <v>601.79999999999995</v>
      </c>
      <c r="H476" s="204"/>
    </row>
    <row r="477" spans="1:8" s="203" customFormat="1" ht="18" customHeight="1" x14ac:dyDescent="0.25">
      <c r="A477" s="29" t="s">
        <v>490</v>
      </c>
      <c r="B477" s="462" t="s">
        <v>1272</v>
      </c>
      <c r="C477" s="2">
        <v>11</v>
      </c>
      <c r="D477" s="68"/>
      <c r="E477" s="68"/>
      <c r="F477" s="68"/>
      <c r="G477" s="10">
        <f t="shared" ref="G477" si="42">G478</f>
        <v>601.79999999999995</v>
      </c>
      <c r="H477" s="204"/>
    </row>
    <row r="478" spans="1:8" s="203" customFormat="1" ht="18" customHeight="1" x14ac:dyDescent="0.25">
      <c r="A478" s="29" t="s">
        <v>492</v>
      </c>
      <c r="B478" s="462" t="s">
        <v>1272</v>
      </c>
      <c r="C478" s="469" t="s">
        <v>491</v>
      </c>
      <c r="D478" s="469" t="s">
        <v>118</v>
      </c>
      <c r="E478" s="71"/>
      <c r="F478" s="5"/>
      <c r="G478" s="10">
        <f>G479+G483</f>
        <v>601.79999999999995</v>
      </c>
      <c r="H478" s="204"/>
    </row>
    <row r="479" spans="1:8" ht="31.7" customHeight="1" x14ac:dyDescent="0.25">
      <c r="A479" s="29" t="s">
        <v>284</v>
      </c>
      <c r="B479" s="462" t="s">
        <v>1310</v>
      </c>
      <c r="C479" s="469" t="s">
        <v>491</v>
      </c>
      <c r="D479" s="469" t="s">
        <v>118</v>
      </c>
      <c r="E479" s="469"/>
      <c r="F479" s="5"/>
      <c r="G479" s="10">
        <f t="shared" ref="G479:G480" si="43">G480</f>
        <v>74</v>
      </c>
    </row>
    <row r="480" spans="1:8" ht="31.7" customHeight="1" x14ac:dyDescent="0.25">
      <c r="A480" s="29" t="s">
        <v>272</v>
      </c>
      <c r="B480" s="462" t="s">
        <v>1310</v>
      </c>
      <c r="C480" s="469" t="s">
        <v>491</v>
      </c>
      <c r="D480" s="469" t="s">
        <v>118</v>
      </c>
      <c r="E480" s="469" t="s">
        <v>273</v>
      </c>
      <c r="F480" s="5"/>
      <c r="G480" s="10">
        <f t="shared" si="43"/>
        <v>74</v>
      </c>
    </row>
    <row r="481" spans="1:8" ht="15.75" customHeight="1" x14ac:dyDescent="0.25">
      <c r="A481" s="29" t="s">
        <v>274</v>
      </c>
      <c r="B481" s="462" t="s">
        <v>1310</v>
      </c>
      <c r="C481" s="469" t="s">
        <v>491</v>
      </c>
      <c r="D481" s="469" t="s">
        <v>118</v>
      </c>
      <c r="E481" s="469" t="s">
        <v>275</v>
      </c>
      <c r="F481" s="5"/>
      <c r="G481" s="10">
        <f>'Пр.4 ведом.21'!G903</f>
        <v>74</v>
      </c>
    </row>
    <row r="482" spans="1:8" s="203" customFormat="1" ht="39.75" customHeight="1" x14ac:dyDescent="0.25">
      <c r="A482" s="45" t="s">
        <v>480</v>
      </c>
      <c r="B482" s="462" t="s">
        <v>1310</v>
      </c>
      <c r="C482" s="469" t="s">
        <v>491</v>
      </c>
      <c r="D482" s="469" t="s">
        <v>118</v>
      </c>
      <c r="E482" s="469" t="s">
        <v>275</v>
      </c>
      <c r="F482" s="5">
        <v>907</v>
      </c>
      <c r="G482" s="10">
        <f>G481</f>
        <v>74</v>
      </c>
      <c r="H482" s="204"/>
    </row>
    <row r="483" spans="1:8" ht="31.5" x14ac:dyDescent="0.25">
      <c r="A483" s="45" t="s">
        <v>764</v>
      </c>
      <c r="B483" s="462" t="s">
        <v>1273</v>
      </c>
      <c r="C483" s="469" t="s">
        <v>491</v>
      </c>
      <c r="D483" s="469" t="s">
        <v>118</v>
      </c>
      <c r="E483" s="469"/>
      <c r="F483" s="5"/>
      <c r="G483" s="10">
        <f t="shared" ref="G483:G484" si="44">G484</f>
        <v>527.79999999999995</v>
      </c>
    </row>
    <row r="484" spans="1:8" ht="31.5" x14ac:dyDescent="0.25">
      <c r="A484" s="31" t="s">
        <v>272</v>
      </c>
      <c r="B484" s="462" t="s">
        <v>1273</v>
      </c>
      <c r="C484" s="469" t="s">
        <v>491</v>
      </c>
      <c r="D484" s="469" t="s">
        <v>118</v>
      </c>
      <c r="E484" s="469" t="s">
        <v>273</v>
      </c>
      <c r="F484" s="5"/>
      <c r="G484" s="10">
        <f t="shared" si="44"/>
        <v>527.79999999999995</v>
      </c>
    </row>
    <row r="485" spans="1:8" ht="15.75" x14ac:dyDescent="0.25">
      <c r="A485" s="31" t="s">
        <v>274</v>
      </c>
      <c r="B485" s="462" t="s">
        <v>1273</v>
      </c>
      <c r="C485" s="469" t="s">
        <v>491</v>
      </c>
      <c r="D485" s="469" t="s">
        <v>118</v>
      </c>
      <c r="E485" s="469" t="s">
        <v>275</v>
      </c>
      <c r="F485" s="5"/>
      <c r="G485" s="10">
        <f>'Пр.4 ведом.21'!G906</f>
        <v>527.79999999999995</v>
      </c>
    </row>
    <row r="486" spans="1:8" s="203" customFormat="1" ht="31.5" x14ac:dyDescent="0.25">
      <c r="A486" s="45" t="s">
        <v>480</v>
      </c>
      <c r="B486" s="462" t="s">
        <v>1273</v>
      </c>
      <c r="C486" s="469" t="s">
        <v>491</v>
      </c>
      <c r="D486" s="469" t="s">
        <v>118</v>
      </c>
      <c r="E486" s="469" t="s">
        <v>275</v>
      </c>
      <c r="F486" s="5">
        <v>907</v>
      </c>
      <c r="G486" s="10">
        <f>G485</f>
        <v>527.79999999999995</v>
      </c>
      <c r="H486" s="204"/>
    </row>
    <row r="487" spans="1:8" s="203" customFormat="1" ht="47.25" x14ac:dyDescent="0.25">
      <c r="A487" s="464" t="s">
        <v>900</v>
      </c>
      <c r="B487" s="465" t="s">
        <v>1274</v>
      </c>
      <c r="C487" s="7"/>
      <c r="D487" s="7"/>
      <c r="E487" s="7"/>
      <c r="F487" s="194"/>
      <c r="G487" s="59">
        <f>G488</f>
        <v>763.5</v>
      </c>
      <c r="H487" s="204"/>
    </row>
    <row r="488" spans="1:8" s="203" customFormat="1" ht="15.75" x14ac:dyDescent="0.25">
      <c r="A488" s="29" t="s">
        <v>490</v>
      </c>
      <c r="B488" s="462" t="s">
        <v>1274</v>
      </c>
      <c r="C488" s="2">
        <v>11</v>
      </c>
      <c r="D488" s="68"/>
      <c r="E488" s="68"/>
      <c r="F488" s="68"/>
      <c r="G488" s="10">
        <f t="shared" ref="G488" si="45">G489</f>
        <v>763.5</v>
      </c>
      <c r="H488" s="204"/>
    </row>
    <row r="489" spans="1:8" s="203" customFormat="1" ht="16.5" x14ac:dyDescent="0.25">
      <c r="A489" s="29" t="s">
        <v>492</v>
      </c>
      <c r="B489" s="462" t="s">
        <v>1274</v>
      </c>
      <c r="C489" s="469" t="s">
        <v>491</v>
      </c>
      <c r="D489" s="469" t="s">
        <v>118</v>
      </c>
      <c r="E489" s="71"/>
      <c r="F489" s="5"/>
      <c r="G489" s="10">
        <f>G490</f>
        <v>763.5</v>
      </c>
      <c r="H489" s="204"/>
    </row>
    <row r="490" spans="1:8" s="203" customFormat="1" ht="94.5" x14ac:dyDescent="0.25">
      <c r="A490" s="31" t="s">
        <v>464</v>
      </c>
      <c r="B490" s="462" t="s">
        <v>1413</v>
      </c>
      <c r="C490" s="469" t="s">
        <v>491</v>
      </c>
      <c r="D490" s="469" t="s">
        <v>118</v>
      </c>
      <c r="E490" s="469"/>
      <c r="F490" s="5"/>
      <c r="G490" s="10">
        <f>G491</f>
        <v>763.5</v>
      </c>
      <c r="H490" s="204"/>
    </row>
    <row r="491" spans="1:8" s="203" customFormat="1" ht="31.5" x14ac:dyDescent="0.25">
      <c r="A491" s="466" t="s">
        <v>272</v>
      </c>
      <c r="B491" s="462" t="s">
        <v>1413</v>
      </c>
      <c r="C491" s="469" t="s">
        <v>491</v>
      </c>
      <c r="D491" s="469" t="s">
        <v>118</v>
      </c>
      <c r="E491" s="469" t="s">
        <v>273</v>
      </c>
      <c r="F491" s="5"/>
      <c r="G491" s="10">
        <f>G492</f>
        <v>763.5</v>
      </c>
      <c r="H491" s="204"/>
    </row>
    <row r="492" spans="1:8" s="203" customFormat="1" ht="15.75" x14ac:dyDescent="0.25">
      <c r="A492" s="466" t="s">
        <v>274</v>
      </c>
      <c r="B492" s="462" t="s">
        <v>1413</v>
      </c>
      <c r="C492" s="469" t="s">
        <v>491</v>
      </c>
      <c r="D492" s="469" t="s">
        <v>118</v>
      </c>
      <c r="E492" s="469" t="s">
        <v>275</v>
      </c>
      <c r="F492" s="5"/>
      <c r="G492" s="10">
        <f>'Пр.3 Рд,пр, ЦС,ВР 21'!F1048</f>
        <v>763.5</v>
      </c>
      <c r="H492" s="204"/>
    </row>
    <row r="493" spans="1:8" s="203" customFormat="1" ht="31.5" x14ac:dyDescent="0.25">
      <c r="A493" s="45" t="s">
        <v>480</v>
      </c>
      <c r="B493" s="462" t="s">
        <v>1413</v>
      </c>
      <c r="C493" s="469" t="s">
        <v>491</v>
      </c>
      <c r="D493" s="469" t="s">
        <v>118</v>
      </c>
      <c r="E493" s="469" t="s">
        <v>275</v>
      </c>
      <c r="F493" s="5">
        <v>907</v>
      </c>
      <c r="G493" s="10">
        <f>G492</f>
        <v>763.5</v>
      </c>
      <c r="H493" s="204"/>
    </row>
    <row r="494" spans="1:8" s="203" customFormat="1" ht="31.5" x14ac:dyDescent="0.25">
      <c r="A494" s="58" t="s">
        <v>951</v>
      </c>
      <c r="B494" s="7" t="s">
        <v>1276</v>
      </c>
      <c r="C494" s="7"/>
      <c r="D494" s="7"/>
      <c r="E494" s="7"/>
      <c r="F494" s="194"/>
      <c r="G494" s="458">
        <f>G495</f>
        <v>2481.6999999999998</v>
      </c>
      <c r="H494" s="204"/>
    </row>
    <row r="495" spans="1:8" ht="15.75" x14ac:dyDescent="0.25">
      <c r="A495" s="29" t="s">
        <v>490</v>
      </c>
      <c r="B495" s="469" t="s">
        <v>1276</v>
      </c>
      <c r="C495" s="469" t="s">
        <v>491</v>
      </c>
      <c r="D495" s="469"/>
      <c r="E495" s="469"/>
      <c r="F495" s="5"/>
      <c r="G495" s="459">
        <f>G496</f>
        <v>2481.6999999999998</v>
      </c>
    </row>
    <row r="496" spans="1:8" ht="31.5" x14ac:dyDescent="0.25">
      <c r="A496" s="466" t="s">
        <v>500</v>
      </c>
      <c r="B496" s="469" t="s">
        <v>1276</v>
      </c>
      <c r="C496" s="469" t="s">
        <v>491</v>
      </c>
      <c r="D496" s="469" t="s">
        <v>234</v>
      </c>
      <c r="E496" s="469"/>
      <c r="F496" s="5"/>
      <c r="G496" s="459">
        <f>G497</f>
        <v>2481.6999999999998</v>
      </c>
    </row>
    <row r="497" spans="1:8" ht="15.75" x14ac:dyDescent="0.25">
      <c r="A497" s="29" t="s">
        <v>952</v>
      </c>
      <c r="B497" s="469" t="s">
        <v>1277</v>
      </c>
      <c r="C497" s="469" t="s">
        <v>491</v>
      </c>
      <c r="D497" s="469" t="s">
        <v>234</v>
      </c>
      <c r="E497" s="469"/>
      <c r="F497" s="5"/>
      <c r="G497" s="459">
        <f>G498+G501</f>
        <v>2481.6999999999998</v>
      </c>
    </row>
    <row r="498" spans="1:8" ht="78.75" x14ac:dyDescent="0.25">
      <c r="A498" s="466" t="s">
        <v>127</v>
      </c>
      <c r="B498" s="469" t="s">
        <v>1277</v>
      </c>
      <c r="C498" s="469" t="s">
        <v>491</v>
      </c>
      <c r="D498" s="469" t="s">
        <v>234</v>
      </c>
      <c r="E498" s="469" t="s">
        <v>128</v>
      </c>
      <c r="F498" s="5"/>
      <c r="G498" s="459">
        <f t="shared" ref="G498" si="46">G499</f>
        <v>1577.9</v>
      </c>
    </row>
    <row r="499" spans="1:8" ht="24" customHeight="1" x14ac:dyDescent="0.25">
      <c r="A499" s="466" t="s">
        <v>342</v>
      </c>
      <c r="B499" s="469" t="s">
        <v>1277</v>
      </c>
      <c r="C499" s="469" t="s">
        <v>491</v>
      </c>
      <c r="D499" s="469" t="s">
        <v>234</v>
      </c>
      <c r="E499" s="469" t="s">
        <v>209</v>
      </c>
      <c r="F499" s="5"/>
      <c r="G499" s="459">
        <f>'Пр.4 ведом.21'!G955</f>
        <v>1577.9</v>
      </c>
    </row>
    <row r="500" spans="1:8" s="203" customFormat="1" ht="33" customHeight="1" x14ac:dyDescent="0.25">
      <c r="A500" s="45" t="s">
        <v>480</v>
      </c>
      <c r="B500" s="469" t="s">
        <v>1277</v>
      </c>
      <c r="C500" s="469" t="s">
        <v>491</v>
      </c>
      <c r="D500" s="469" t="s">
        <v>234</v>
      </c>
      <c r="E500" s="469" t="s">
        <v>209</v>
      </c>
      <c r="F500" s="5">
        <v>907</v>
      </c>
      <c r="G500" s="10">
        <f>G499</f>
        <v>1577.9</v>
      </c>
      <c r="H500" s="204"/>
    </row>
    <row r="501" spans="1:8" ht="31.5" x14ac:dyDescent="0.25">
      <c r="A501" s="29" t="s">
        <v>131</v>
      </c>
      <c r="B501" s="469" t="s">
        <v>1277</v>
      </c>
      <c r="C501" s="469" t="s">
        <v>491</v>
      </c>
      <c r="D501" s="469" t="s">
        <v>234</v>
      </c>
      <c r="E501" s="469" t="s">
        <v>132</v>
      </c>
      <c r="F501" s="5"/>
      <c r="G501" s="459">
        <f t="shared" ref="G501" si="47">G502</f>
        <v>903.8</v>
      </c>
    </row>
    <row r="502" spans="1:8" ht="31.5" x14ac:dyDescent="0.25">
      <c r="A502" s="29" t="s">
        <v>133</v>
      </c>
      <c r="B502" s="469" t="s">
        <v>1277</v>
      </c>
      <c r="C502" s="469" t="s">
        <v>491</v>
      </c>
      <c r="D502" s="469" t="s">
        <v>234</v>
      </c>
      <c r="E502" s="469" t="s">
        <v>134</v>
      </c>
      <c r="F502" s="5"/>
      <c r="G502" s="459">
        <f>'Пр.4 ведом.21'!G957</f>
        <v>903.8</v>
      </c>
    </row>
    <row r="503" spans="1:8" ht="31.5" x14ac:dyDescent="0.25">
      <c r="A503" s="45" t="s">
        <v>480</v>
      </c>
      <c r="B503" s="469" t="s">
        <v>1277</v>
      </c>
      <c r="C503" s="469" t="s">
        <v>491</v>
      </c>
      <c r="D503" s="469" t="s">
        <v>234</v>
      </c>
      <c r="E503" s="469" t="s">
        <v>134</v>
      </c>
      <c r="F503" s="5">
        <v>907</v>
      </c>
      <c r="G503" s="10">
        <f>G502</f>
        <v>903.8</v>
      </c>
    </row>
    <row r="504" spans="1:8" s="457" customFormat="1" ht="47.25" x14ac:dyDescent="0.25">
      <c r="A504" s="58" t="s">
        <v>1692</v>
      </c>
      <c r="B504" s="7" t="s">
        <v>1690</v>
      </c>
      <c r="C504" s="7"/>
      <c r="D504" s="7"/>
      <c r="E504" s="7"/>
      <c r="F504" s="194"/>
      <c r="G504" s="458">
        <f>G505</f>
        <v>5022.2</v>
      </c>
      <c r="H504" s="204"/>
    </row>
    <row r="505" spans="1:8" s="457" customFormat="1" ht="15.75" x14ac:dyDescent="0.25">
      <c r="A505" s="29" t="s">
        <v>490</v>
      </c>
      <c r="B505" s="469" t="s">
        <v>1690</v>
      </c>
      <c r="C505" s="469" t="s">
        <v>491</v>
      </c>
      <c r="D505" s="469"/>
      <c r="E505" s="469"/>
      <c r="F505" s="5"/>
      <c r="G505" s="459">
        <f>G506</f>
        <v>5022.2</v>
      </c>
      <c r="H505" s="204"/>
    </row>
    <row r="506" spans="1:8" s="457" customFormat="1" ht="31.5" x14ac:dyDescent="0.25">
      <c r="A506" s="466" t="s">
        <v>500</v>
      </c>
      <c r="B506" s="469" t="s">
        <v>1690</v>
      </c>
      <c r="C506" s="469" t="s">
        <v>491</v>
      </c>
      <c r="D506" s="469" t="s">
        <v>234</v>
      </c>
      <c r="E506" s="469"/>
      <c r="F506" s="5"/>
      <c r="G506" s="459">
        <f>G507</f>
        <v>5022.2</v>
      </c>
      <c r="H506" s="204"/>
    </row>
    <row r="507" spans="1:8" s="457" customFormat="1" ht="47.25" x14ac:dyDescent="0.25">
      <c r="A507" s="31" t="s">
        <v>1693</v>
      </c>
      <c r="B507" s="469" t="s">
        <v>1691</v>
      </c>
      <c r="C507" s="469" t="s">
        <v>491</v>
      </c>
      <c r="D507" s="469" t="s">
        <v>234</v>
      </c>
      <c r="E507" s="469"/>
      <c r="F507" s="5"/>
      <c r="G507" s="459">
        <f>G508</f>
        <v>5022.2</v>
      </c>
      <c r="H507" s="204"/>
    </row>
    <row r="508" spans="1:8" s="457" customFormat="1" ht="31.5" x14ac:dyDescent="0.25">
      <c r="A508" s="29" t="s">
        <v>131</v>
      </c>
      <c r="B508" s="469" t="s">
        <v>1691</v>
      </c>
      <c r="C508" s="469" t="s">
        <v>491</v>
      </c>
      <c r="D508" s="469" t="s">
        <v>234</v>
      </c>
      <c r="E508" s="469" t="s">
        <v>132</v>
      </c>
      <c r="F508" s="5"/>
      <c r="G508" s="459">
        <f t="shared" ref="G508" si="48">G509</f>
        <v>5022.2</v>
      </c>
      <c r="H508" s="204"/>
    </row>
    <row r="509" spans="1:8" s="457" customFormat="1" ht="31.5" x14ac:dyDescent="0.25">
      <c r="A509" s="29" t="s">
        <v>133</v>
      </c>
      <c r="B509" s="469" t="s">
        <v>1691</v>
      </c>
      <c r="C509" s="469" t="s">
        <v>491</v>
      </c>
      <c r="D509" s="469" t="s">
        <v>234</v>
      </c>
      <c r="E509" s="469" t="s">
        <v>134</v>
      </c>
      <c r="F509" s="5"/>
      <c r="G509" s="459">
        <f>'Пр.4 ведом.21'!G914</f>
        <v>5022.2</v>
      </c>
      <c r="H509" s="204"/>
    </row>
    <row r="510" spans="1:8" s="457" customFormat="1" ht="31.5" x14ac:dyDescent="0.25">
      <c r="A510" s="45" t="s">
        <v>480</v>
      </c>
      <c r="B510" s="469" t="s">
        <v>1691</v>
      </c>
      <c r="C510" s="469" t="s">
        <v>491</v>
      </c>
      <c r="D510" s="469" t="s">
        <v>234</v>
      </c>
      <c r="E510" s="469" t="s">
        <v>134</v>
      </c>
      <c r="F510" s="5">
        <v>907</v>
      </c>
      <c r="G510" s="10">
        <v>5022.2</v>
      </c>
      <c r="H510" s="204"/>
    </row>
    <row r="511" spans="1:8" s="203" customFormat="1" ht="63" x14ac:dyDescent="0.25">
      <c r="A511" s="464" t="s">
        <v>1339</v>
      </c>
      <c r="B511" s="465" t="s">
        <v>1275</v>
      </c>
      <c r="C511" s="7"/>
      <c r="D511" s="7"/>
      <c r="E511" s="7"/>
      <c r="F511" s="194"/>
      <c r="G511" s="59">
        <f>G512</f>
        <v>769.23</v>
      </c>
      <c r="H511" s="204"/>
    </row>
    <row r="512" spans="1:8" s="203" customFormat="1" ht="15.75" x14ac:dyDescent="0.25">
      <c r="A512" s="29" t="s">
        <v>490</v>
      </c>
      <c r="B512" s="462" t="s">
        <v>1275</v>
      </c>
      <c r="C512" s="469" t="s">
        <v>491</v>
      </c>
      <c r="D512" s="469"/>
      <c r="E512" s="469"/>
      <c r="F512" s="5"/>
      <c r="G512" s="10">
        <f>G513</f>
        <v>769.23</v>
      </c>
      <c r="H512" s="204"/>
    </row>
    <row r="513" spans="1:11" s="203" customFormat="1" ht="15.75" x14ac:dyDescent="0.25">
      <c r="A513" s="29" t="s">
        <v>492</v>
      </c>
      <c r="B513" s="462" t="s">
        <v>1275</v>
      </c>
      <c r="C513" s="469" t="s">
        <v>491</v>
      </c>
      <c r="D513" s="469" t="s">
        <v>118</v>
      </c>
      <c r="E513" s="469"/>
      <c r="F513" s="5"/>
      <c r="G513" s="10">
        <f>G514</f>
        <v>769.23</v>
      </c>
      <c r="H513" s="204"/>
    </row>
    <row r="514" spans="1:11" s="203" customFormat="1" ht="47.25" x14ac:dyDescent="0.25">
      <c r="A514" s="466" t="s">
        <v>1198</v>
      </c>
      <c r="B514" s="462" t="s">
        <v>1332</v>
      </c>
      <c r="C514" s="469" t="s">
        <v>491</v>
      </c>
      <c r="D514" s="469" t="s">
        <v>118</v>
      </c>
      <c r="E514" s="469"/>
      <c r="F514" s="5"/>
      <c r="G514" s="10">
        <f>G515</f>
        <v>769.23</v>
      </c>
      <c r="H514" s="204"/>
    </row>
    <row r="515" spans="1:11" s="203" customFormat="1" ht="31.5" x14ac:dyDescent="0.25">
      <c r="A515" s="466" t="s">
        <v>272</v>
      </c>
      <c r="B515" s="462" t="s">
        <v>1332</v>
      </c>
      <c r="C515" s="469" t="s">
        <v>491</v>
      </c>
      <c r="D515" s="469" t="s">
        <v>118</v>
      </c>
      <c r="E515" s="469" t="s">
        <v>273</v>
      </c>
      <c r="F515" s="5"/>
      <c r="G515" s="10">
        <f>G516</f>
        <v>769.23</v>
      </c>
      <c r="H515" s="204"/>
    </row>
    <row r="516" spans="1:11" s="203" customFormat="1" ht="15.75" x14ac:dyDescent="0.25">
      <c r="A516" s="466" t="s">
        <v>274</v>
      </c>
      <c r="B516" s="462" t="s">
        <v>1332</v>
      </c>
      <c r="C516" s="469" t="s">
        <v>491</v>
      </c>
      <c r="D516" s="469" t="s">
        <v>118</v>
      </c>
      <c r="E516" s="469" t="s">
        <v>275</v>
      </c>
      <c r="F516" s="5"/>
      <c r="G516" s="10">
        <f>'Пр.4 ведом.21'!G918</f>
        <v>769.23</v>
      </c>
      <c r="H516" s="204"/>
    </row>
    <row r="517" spans="1:11" s="203" customFormat="1" ht="31.5" x14ac:dyDescent="0.25">
      <c r="A517" s="45" t="s">
        <v>480</v>
      </c>
      <c r="B517" s="462" t="s">
        <v>1332</v>
      </c>
      <c r="C517" s="469" t="s">
        <v>491</v>
      </c>
      <c r="D517" s="469" t="s">
        <v>118</v>
      </c>
      <c r="E517" s="469" t="s">
        <v>275</v>
      </c>
      <c r="F517" s="5">
        <v>907</v>
      </c>
      <c r="G517" s="10">
        <f>G511</f>
        <v>769.23</v>
      </c>
      <c r="H517" s="204"/>
    </row>
    <row r="518" spans="1:11" ht="31.5" x14ac:dyDescent="0.25">
      <c r="A518" s="470" t="s">
        <v>1362</v>
      </c>
      <c r="B518" s="7" t="s">
        <v>267</v>
      </c>
      <c r="C518" s="72"/>
      <c r="D518" s="72"/>
      <c r="E518" s="72"/>
      <c r="F518" s="3"/>
      <c r="G518" s="59">
        <f>G519+G572+G595+G614+G639+G646+G660+G667+G653</f>
        <v>87163.939999999988</v>
      </c>
      <c r="H518" s="205">
        <v>64965.4</v>
      </c>
      <c r="I518" s="224">
        <f>H518-G518</f>
        <v>-22198.539999999986</v>
      </c>
      <c r="J518">
        <v>90406.34</v>
      </c>
      <c r="K518" s="231">
        <f>J518-G518</f>
        <v>3242.4000000000087</v>
      </c>
    </row>
    <row r="519" spans="1:11" s="203" customFormat="1" ht="38.25" customHeight="1" x14ac:dyDescent="0.25">
      <c r="A519" s="464" t="s">
        <v>1304</v>
      </c>
      <c r="B519" s="465" t="s">
        <v>1208</v>
      </c>
      <c r="C519" s="7"/>
      <c r="D519" s="7"/>
      <c r="E519" s="7"/>
      <c r="F519" s="3"/>
      <c r="G519" s="59">
        <f>G540+G520+G556</f>
        <v>70878.14</v>
      </c>
      <c r="H519" s="204"/>
    </row>
    <row r="520" spans="1:11" s="203" customFormat="1" ht="18.75" customHeight="1" x14ac:dyDescent="0.25">
      <c r="A520" s="466" t="s">
        <v>263</v>
      </c>
      <c r="B520" s="462" t="s">
        <v>1208</v>
      </c>
      <c r="C520" s="469" t="s">
        <v>264</v>
      </c>
      <c r="D520" s="469"/>
      <c r="E520" s="469"/>
      <c r="F520" s="2"/>
      <c r="G520" s="10">
        <f>G521</f>
        <v>16445.52</v>
      </c>
      <c r="H520" s="204"/>
      <c r="J520" s="22">
        <f>G520+G573+G596+G615</f>
        <v>18089.620000000003</v>
      </c>
      <c r="K520" s="22">
        <v>16998.7</v>
      </c>
    </row>
    <row r="521" spans="1:11" s="203" customFormat="1" ht="19.5" customHeight="1" x14ac:dyDescent="0.25">
      <c r="A521" s="466" t="s">
        <v>265</v>
      </c>
      <c r="B521" s="462" t="s">
        <v>1208</v>
      </c>
      <c r="C521" s="469" t="s">
        <v>264</v>
      </c>
      <c r="D521" s="469" t="s">
        <v>215</v>
      </c>
      <c r="E521" s="469"/>
      <c r="F521" s="2"/>
      <c r="G521" s="10">
        <f>G522+G536+G532</f>
        <v>16445.52</v>
      </c>
      <c r="H521" s="204"/>
    </row>
    <row r="522" spans="1:11" s="203" customFormat="1" ht="18" customHeight="1" x14ac:dyDescent="0.25">
      <c r="A522" s="466" t="s">
        <v>800</v>
      </c>
      <c r="B522" s="462" t="s">
        <v>1209</v>
      </c>
      <c r="C522" s="469" t="s">
        <v>264</v>
      </c>
      <c r="D522" s="469" t="s">
        <v>215</v>
      </c>
      <c r="E522" s="469"/>
      <c r="F522" s="2"/>
      <c r="G522" s="10">
        <f>G523+G526+G529</f>
        <v>8029.82</v>
      </c>
      <c r="H522" s="204"/>
    </row>
    <row r="523" spans="1:11" s="203" customFormat="1" ht="81" customHeight="1" x14ac:dyDescent="0.25">
      <c r="A523" s="466" t="s">
        <v>127</v>
      </c>
      <c r="B523" s="462" t="s">
        <v>1209</v>
      </c>
      <c r="C523" s="469" t="s">
        <v>264</v>
      </c>
      <c r="D523" s="469" t="s">
        <v>215</v>
      </c>
      <c r="E523" s="462" t="s">
        <v>128</v>
      </c>
      <c r="F523" s="2"/>
      <c r="G523" s="10">
        <f>G524</f>
        <v>6013.12</v>
      </c>
      <c r="H523" s="204"/>
    </row>
    <row r="524" spans="1:11" s="203" customFormat="1" ht="20.25" customHeight="1" x14ac:dyDescent="0.25">
      <c r="A524" s="46" t="s">
        <v>342</v>
      </c>
      <c r="B524" s="462" t="s">
        <v>1209</v>
      </c>
      <c r="C524" s="469" t="s">
        <v>264</v>
      </c>
      <c r="D524" s="469" t="s">
        <v>215</v>
      </c>
      <c r="E524" s="462" t="s">
        <v>209</v>
      </c>
      <c r="F524" s="2"/>
      <c r="G524" s="10">
        <f>'Пр.4 ведом.21'!G324</f>
        <v>6013.12</v>
      </c>
      <c r="H524" s="204"/>
    </row>
    <row r="525" spans="1:11" s="203" customFormat="1" ht="51.75" customHeight="1" x14ac:dyDescent="0.25">
      <c r="A525" s="45" t="s">
        <v>261</v>
      </c>
      <c r="B525" s="462" t="s">
        <v>1209</v>
      </c>
      <c r="C525" s="469" t="s">
        <v>264</v>
      </c>
      <c r="D525" s="469" t="s">
        <v>215</v>
      </c>
      <c r="E525" s="462" t="s">
        <v>209</v>
      </c>
      <c r="F525" s="2">
        <v>903</v>
      </c>
      <c r="G525" s="10">
        <f>G524</f>
        <v>6013.12</v>
      </c>
      <c r="H525" s="204"/>
    </row>
    <row r="526" spans="1:11" s="203" customFormat="1" ht="38.25" customHeight="1" x14ac:dyDescent="0.25">
      <c r="A526" s="466" t="s">
        <v>131</v>
      </c>
      <c r="B526" s="462" t="s">
        <v>1209</v>
      </c>
      <c r="C526" s="469" t="s">
        <v>264</v>
      </c>
      <c r="D526" s="469" t="s">
        <v>215</v>
      </c>
      <c r="E526" s="462" t="s">
        <v>132</v>
      </c>
      <c r="F526" s="2"/>
      <c r="G526" s="10">
        <f>G527</f>
        <v>1962.3</v>
      </c>
      <c r="H526" s="204"/>
    </row>
    <row r="527" spans="1:11" s="203" customFormat="1" ht="33.75" customHeight="1" x14ac:dyDescent="0.25">
      <c r="A527" s="466" t="s">
        <v>133</v>
      </c>
      <c r="B527" s="462" t="s">
        <v>1209</v>
      </c>
      <c r="C527" s="469" t="s">
        <v>264</v>
      </c>
      <c r="D527" s="469" t="s">
        <v>215</v>
      </c>
      <c r="E527" s="462" t="s">
        <v>134</v>
      </c>
      <c r="F527" s="2"/>
      <c r="G527" s="10">
        <f>'Пр.4 ведом.21'!G326</f>
        <v>1962.3</v>
      </c>
      <c r="H527" s="204"/>
    </row>
    <row r="528" spans="1:11" s="203" customFormat="1" ht="55.5" customHeight="1" x14ac:dyDescent="0.25">
      <c r="A528" s="45" t="s">
        <v>261</v>
      </c>
      <c r="B528" s="462" t="s">
        <v>1209</v>
      </c>
      <c r="C528" s="469" t="s">
        <v>264</v>
      </c>
      <c r="D528" s="469" t="s">
        <v>215</v>
      </c>
      <c r="E528" s="462" t="s">
        <v>134</v>
      </c>
      <c r="F528" s="2">
        <v>903</v>
      </c>
      <c r="G528" s="10">
        <f>G527</f>
        <v>1962.3</v>
      </c>
      <c r="H528" s="204"/>
    </row>
    <row r="529" spans="1:11" s="203" customFormat="1" ht="19.5" customHeight="1" x14ac:dyDescent="0.25">
      <c r="A529" s="466" t="s">
        <v>135</v>
      </c>
      <c r="B529" s="462" t="s">
        <v>1209</v>
      </c>
      <c r="C529" s="469" t="s">
        <v>264</v>
      </c>
      <c r="D529" s="469" t="s">
        <v>215</v>
      </c>
      <c r="E529" s="462" t="s">
        <v>145</v>
      </c>
      <c r="F529" s="2"/>
      <c r="G529" s="10">
        <f>G530</f>
        <v>54.400000000000006</v>
      </c>
      <c r="H529" s="204"/>
    </row>
    <row r="530" spans="1:11" s="203" customFormat="1" ht="17.45" customHeight="1" x14ac:dyDescent="0.25">
      <c r="A530" s="466" t="s">
        <v>704</v>
      </c>
      <c r="B530" s="462" t="s">
        <v>1209</v>
      </c>
      <c r="C530" s="469" t="s">
        <v>264</v>
      </c>
      <c r="D530" s="469" t="s">
        <v>215</v>
      </c>
      <c r="E530" s="462" t="s">
        <v>138</v>
      </c>
      <c r="F530" s="2"/>
      <c r="G530" s="10">
        <f>'Пр.4 ведом.21'!G328</f>
        <v>54.400000000000006</v>
      </c>
      <c r="H530" s="204"/>
    </row>
    <row r="531" spans="1:11" s="203" customFormat="1" ht="56.25" customHeight="1" x14ac:dyDescent="0.25">
      <c r="A531" s="45" t="s">
        <v>261</v>
      </c>
      <c r="B531" s="462" t="s">
        <v>1209</v>
      </c>
      <c r="C531" s="469" t="s">
        <v>264</v>
      </c>
      <c r="D531" s="469" t="s">
        <v>215</v>
      </c>
      <c r="E531" s="462" t="s">
        <v>138</v>
      </c>
      <c r="F531" s="2">
        <v>903</v>
      </c>
      <c r="G531" s="10">
        <f>G530</f>
        <v>54.400000000000006</v>
      </c>
      <c r="H531" s="204"/>
    </row>
    <row r="532" spans="1:11" s="457" customFormat="1" ht="47.25" x14ac:dyDescent="0.25">
      <c r="A532" s="466" t="s">
        <v>1776</v>
      </c>
      <c r="B532" s="462" t="s">
        <v>1777</v>
      </c>
      <c r="C532" s="469" t="s">
        <v>264</v>
      </c>
      <c r="D532" s="469" t="s">
        <v>215</v>
      </c>
      <c r="E532" s="462"/>
      <c r="F532" s="2"/>
      <c r="G532" s="10">
        <f>G533</f>
        <v>182.9</v>
      </c>
      <c r="H532" s="204"/>
    </row>
    <row r="533" spans="1:11" s="457" customFormat="1" ht="78.75" x14ac:dyDescent="0.25">
      <c r="A533" s="466" t="s">
        <v>127</v>
      </c>
      <c r="B533" s="462" t="s">
        <v>1777</v>
      </c>
      <c r="C533" s="469" t="s">
        <v>264</v>
      </c>
      <c r="D533" s="469" t="s">
        <v>215</v>
      </c>
      <c r="E533" s="462" t="s">
        <v>128</v>
      </c>
      <c r="F533" s="2"/>
      <c r="G533" s="10">
        <f>G534</f>
        <v>182.9</v>
      </c>
      <c r="H533" s="204"/>
    </row>
    <row r="534" spans="1:11" s="457" customFormat="1" ht="15.75" x14ac:dyDescent="0.25">
      <c r="A534" s="46" t="s">
        <v>342</v>
      </c>
      <c r="B534" s="462" t="s">
        <v>1777</v>
      </c>
      <c r="C534" s="469" t="s">
        <v>264</v>
      </c>
      <c r="D534" s="469" t="s">
        <v>215</v>
      </c>
      <c r="E534" s="462" t="s">
        <v>209</v>
      </c>
      <c r="F534" s="2"/>
      <c r="G534" s="10">
        <f>'Пр.4 ведом.21'!G331</f>
        <v>182.9</v>
      </c>
      <c r="H534" s="204"/>
    </row>
    <row r="535" spans="1:11" s="457" customFormat="1" ht="47.25" x14ac:dyDescent="0.25">
      <c r="A535" s="45" t="s">
        <v>261</v>
      </c>
      <c r="B535" s="462" t="s">
        <v>1777</v>
      </c>
      <c r="C535" s="469" t="s">
        <v>264</v>
      </c>
      <c r="D535" s="469" t="s">
        <v>215</v>
      </c>
      <c r="E535" s="462" t="s">
        <v>209</v>
      </c>
      <c r="F535" s="2">
        <v>903</v>
      </c>
      <c r="G535" s="10">
        <f>G534</f>
        <v>182.9</v>
      </c>
      <c r="H535" s="204"/>
    </row>
    <row r="536" spans="1:11" s="203" customFormat="1" ht="31.5" x14ac:dyDescent="0.25">
      <c r="A536" s="31" t="s">
        <v>1522</v>
      </c>
      <c r="B536" s="462" t="s">
        <v>1494</v>
      </c>
      <c r="C536" s="469" t="s">
        <v>264</v>
      </c>
      <c r="D536" s="469" t="s">
        <v>215</v>
      </c>
      <c r="E536" s="462"/>
      <c r="F536" s="2"/>
      <c r="G536" s="10">
        <f>G537</f>
        <v>8232.8000000000011</v>
      </c>
      <c r="H536" s="204"/>
    </row>
    <row r="537" spans="1:11" s="203" customFormat="1" ht="78.75" x14ac:dyDescent="0.25">
      <c r="A537" s="466" t="s">
        <v>127</v>
      </c>
      <c r="B537" s="462" t="s">
        <v>1494</v>
      </c>
      <c r="C537" s="469" t="s">
        <v>264</v>
      </c>
      <c r="D537" s="469" t="s">
        <v>215</v>
      </c>
      <c r="E537" s="462" t="s">
        <v>128</v>
      </c>
      <c r="F537" s="2"/>
      <c r="G537" s="10">
        <f>G538</f>
        <v>8232.8000000000011</v>
      </c>
      <c r="H537" s="204"/>
    </row>
    <row r="538" spans="1:11" s="203" customFormat="1" ht="15.75" x14ac:dyDescent="0.25">
      <c r="A538" s="466" t="s">
        <v>208</v>
      </c>
      <c r="B538" s="462" t="s">
        <v>1494</v>
      </c>
      <c r="C538" s="469" t="s">
        <v>264</v>
      </c>
      <c r="D538" s="469" t="s">
        <v>215</v>
      </c>
      <c r="E538" s="462" t="s">
        <v>209</v>
      </c>
      <c r="F538" s="2"/>
      <c r="G538" s="10">
        <f>'Пр.4 ведом.21'!G334</f>
        <v>8232.8000000000011</v>
      </c>
      <c r="H538" s="204"/>
    </row>
    <row r="539" spans="1:11" s="203" customFormat="1" ht="47.25" x14ac:dyDescent="0.25">
      <c r="A539" s="45" t="s">
        <v>261</v>
      </c>
      <c r="B539" s="462" t="s">
        <v>1494</v>
      </c>
      <c r="C539" s="469" t="s">
        <v>264</v>
      </c>
      <c r="D539" s="469" t="s">
        <v>215</v>
      </c>
      <c r="E539" s="462" t="s">
        <v>209</v>
      </c>
      <c r="F539" s="2">
        <v>903</v>
      </c>
      <c r="G539" s="10">
        <f>G536</f>
        <v>8232.8000000000011</v>
      </c>
      <c r="H539" s="204"/>
    </row>
    <row r="540" spans="1:11" ht="15.75" x14ac:dyDescent="0.25">
      <c r="A540" s="73" t="s">
        <v>298</v>
      </c>
      <c r="B540" s="462" t="s">
        <v>1208</v>
      </c>
      <c r="C540" s="469" t="s">
        <v>299</v>
      </c>
      <c r="D540" s="73"/>
      <c r="E540" s="73"/>
      <c r="F540" s="2"/>
      <c r="G540" s="10">
        <f>G541</f>
        <v>49138.27</v>
      </c>
      <c r="J540" s="22">
        <f>G540+G586+G602+G629+G640+G647+G661+G668</f>
        <v>63518.369999999995</v>
      </c>
      <c r="K540">
        <f>67542.4</f>
        <v>67542.399999999994</v>
      </c>
    </row>
    <row r="541" spans="1:11" ht="15.75" x14ac:dyDescent="0.25">
      <c r="A541" s="73" t="s">
        <v>300</v>
      </c>
      <c r="B541" s="462" t="s">
        <v>1208</v>
      </c>
      <c r="C541" s="469" t="s">
        <v>299</v>
      </c>
      <c r="D541" s="469" t="s">
        <v>118</v>
      </c>
      <c r="E541" s="73"/>
      <c r="F541" s="2"/>
      <c r="G541" s="10">
        <f>G542+G552</f>
        <v>49138.27</v>
      </c>
    </row>
    <row r="542" spans="1:11" ht="15.75" x14ac:dyDescent="0.25">
      <c r="A542" s="466" t="s">
        <v>800</v>
      </c>
      <c r="B542" s="462" t="s">
        <v>1209</v>
      </c>
      <c r="C542" s="469" t="s">
        <v>299</v>
      </c>
      <c r="D542" s="469" t="s">
        <v>118</v>
      </c>
      <c r="E542" s="469"/>
      <c r="F542" s="2"/>
      <c r="G542" s="10">
        <f>G543+G546+G549</f>
        <v>13252.969999999996</v>
      </c>
    </row>
    <row r="543" spans="1:11" ht="78.75" x14ac:dyDescent="0.25">
      <c r="A543" s="466" t="s">
        <v>127</v>
      </c>
      <c r="B543" s="462" t="s">
        <v>1209</v>
      </c>
      <c r="C543" s="469" t="s">
        <v>299</v>
      </c>
      <c r="D543" s="469" t="s">
        <v>118</v>
      </c>
      <c r="E543" s="469" t="s">
        <v>128</v>
      </c>
      <c r="F543" s="2"/>
      <c r="G543" s="10">
        <f>G544</f>
        <v>2811.87</v>
      </c>
    </row>
    <row r="544" spans="1:11" ht="15.75" x14ac:dyDescent="0.25">
      <c r="A544" s="466" t="s">
        <v>208</v>
      </c>
      <c r="B544" s="462" t="s">
        <v>1209</v>
      </c>
      <c r="C544" s="469" t="s">
        <v>299</v>
      </c>
      <c r="D544" s="469" t="s">
        <v>118</v>
      </c>
      <c r="E544" s="469" t="s">
        <v>209</v>
      </c>
      <c r="F544" s="2"/>
      <c r="G544" s="10">
        <f>'Пр.4 ведом.21'!G402</f>
        <v>2811.87</v>
      </c>
    </row>
    <row r="545" spans="1:8" s="203" customFormat="1" ht="47.25" x14ac:dyDescent="0.25">
      <c r="A545" s="45" t="s">
        <v>261</v>
      </c>
      <c r="B545" s="462" t="s">
        <v>1209</v>
      </c>
      <c r="C545" s="469" t="s">
        <v>299</v>
      </c>
      <c r="D545" s="469" t="s">
        <v>118</v>
      </c>
      <c r="E545" s="469" t="s">
        <v>209</v>
      </c>
      <c r="F545" s="2">
        <v>903</v>
      </c>
      <c r="G545" s="10">
        <f>G544</f>
        <v>2811.87</v>
      </c>
      <c r="H545" s="204"/>
    </row>
    <row r="546" spans="1:8" ht="31.5" x14ac:dyDescent="0.25">
      <c r="A546" s="466" t="s">
        <v>131</v>
      </c>
      <c r="B546" s="462" t="s">
        <v>1209</v>
      </c>
      <c r="C546" s="469" t="s">
        <v>299</v>
      </c>
      <c r="D546" s="469" t="s">
        <v>118</v>
      </c>
      <c r="E546" s="469" t="s">
        <v>132</v>
      </c>
      <c r="F546" s="2"/>
      <c r="G546" s="10">
        <f>G547</f>
        <v>10301.199999999997</v>
      </c>
    </row>
    <row r="547" spans="1:8" ht="31.5" x14ac:dyDescent="0.25">
      <c r="A547" s="466" t="s">
        <v>133</v>
      </c>
      <c r="B547" s="462" t="s">
        <v>1209</v>
      </c>
      <c r="C547" s="469" t="s">
        <v>299</v>
      </c>
      <c r="D547" s="469" t="s">
        <v>118</v>
      </c>
      <c r="E547" s="469" t="s">
        <v>134</v>
      </c>
      <c r="F547" s="2"/>
      <c r="G547" s="10">
        <f>'Пр.4 ведом.21'!G404</f>
        <v>10301.199999999997</v>
      </c>
    </row>
    <row r="548" spans="1:8" s="203" customFormat="1" ht="47.25" x14ac:dyDescent="0.25">
      <c r="A548" s="45" t="s">
        <v>261</v>
      </c>
      <c r="B548" s="462" t="s">
        <v>1209</v>
      </c>
      <c r="C548" s="469" t="s">
        <v>299</v>
      </c>
      <c r="D548" s="469" t="s">
        <v>118</v>
      </c>
      <c r="E548" s="469" t="s">
        <v>134</v>
      </c>
      <c r="F548" s="2">
        <v>903</v>
      </c>
      <c r="G548" s="10">
        <f>G547</f>
        <v>10301.199999999997</v>
      </c>
      <c r="H548" s="204"/>
    </row>
    <row r="549" spans="1:8" ht="15.75" customHeight="1" x14ac:dyDescent="0.25">
      <c r="A549" s="466" t="s">
        <v>135</v>
      </c>
      <c r="B549" s="462" t="s">
        <v>1209</v>
      </c>
      <c r="C549" s="469" t="s">
        <v>299</v>
      </c>
      <c r="D549" s="469" t="s">
        <v>118</v>
      </c>
      <c r="E549" s="469" t="s">
        <v>145</v>
      </c>
      <c r="F549" s="2"/>
      <c r="G549" s="10">
        <f>G550</f>
        <v>139.9</v>
      </c>
    </row>
    <row r="550" spans="1:8" ht="15.75" customHeight="1" x14ac:dyDescent="0.25">
      <c r="A550" s="466" t="s">
        <v>137</v>
      </c>
      <c r="B550" s="462" t="s">
        <v>1209</v>
      </c>
      <c r="C550" s="469" t="s">
        <v>299</v>
      </c>
      <c r="D550" s="469" t="s">
        <v>118</v>
      </c>
      <c r="E550" s="469" t="s">
        <v>138</v>
      </c>
      <c r="F550" s="2"/>
      <c r="G550" s="10">
        <f>'Пр.4 ведом.21'!G406</f>
        <v>139.9</v>
      </c>
    </row>
    <row r="551" spans="1:8" s="203" customFormat="1" ht="50.25" customHeight="1" x14ac:dyDescent="0.25">
      <c r="A551" s="45" t="s">
        <v>261</v>
      </c>
      <c r="B551" s="462" t="s">
        <v>1209</v>
      </c>
      <c r="C551" s="469" t="s">
        <v>299</v>
      </c>
      <c r="D551" s="469" t="s">
        <v>118</v>
      </c>
      <c r="E551" s="469" t="s">
        <v>138</v>
      </c>
      <c r="F551" s="2">
        <v>903</v>
      </c>
      <c r="G551" s="10">
        <f>G550</f>
        <v>139.9</v>
      </c>
      <c r="H551" s="204"/>
    </row>
    <row r="552" spans="1:8" s="203" customFormat="1" ht="31.5" x14ac:dyDescent="0.25">
      <c r="A552" s="31" t="s">
        <v>1522</v>
      </c>
      <c r="B552" s="462" t="s">
        <v>1494</v>
      </c>
      <c r="C552" s="469" t="s">
        <v>299</v>
      </c>
      <c r="D552" s="469" t="s">
        <v>118</v>
      </c>
      <c r="E552" s="462"/>
      <c r="F552" s="2"/>
      <c r="G552" s="10">
        <f>G553</f>
        <v>35885.300000000003</v>
      </c>
      <c r="H552" s="204"/>
    </row>
    <row r="553" spans="1:8" s="203" customFormat="1" ht="78.75" x14ac:dyDescent="0.25">
      <c r="A553" s="466" t="s">
        <v>127</v>
      </c>
      <c r="B553" s="462" t="s">
        <v>1494</v>
      </c>
      <c r="C553" s="469" t="s">
        <v>299</v>
      </c>
      <c r="D553" s="469" t="s">
        <v>118</v>
      </c>
      <c r="E553" s="462" t="s">
        <v>128</v>
      </c>
      <c r="F553" s="2"/>
      <c r="G553" s="10">
        <f>G554</f>
        <v>35885.300000000003</v>
      </c>
      <c r="H553" s="204"/>
    </row>
    <row r="554" spans="1:8" s="203" customFormat="1" ht="15.75" x14ac:dyDescent="0.25">
      <c r="A554" s="466" t="s">
        <v>208</v>
      </c>
      <c r="B554" s="462" t="s">
        <v>1494</v>
      </c>
      <c r="C554" s="469" t="s">
        <v>299</v>
      </c>
      <c r="D554" s="469" t="s">
        <v>118</v>
      </c>
      <c r="E554" s="462" t="s">
        <v>209</v>
      </c>
      <c r="F554" s="2"/>
      <c r="G554" s="10">
        <f>'Пр.4 ведом.21'!G409</f>
        <v>35885.300000000003</v>
      </c>
      <c r="H554" s="204"/>
    </row>
    <row r="555" spans="1:8" s="203" customFormat="1" ht="47.25" x14ac:dyDescent="0.25">
      <c r="A555" s="45" t="s">
        <v>261</v>
      </c>
      <c r="B555" s="462" t="s">
        <v>1494</v>
      </c>
      <c r="C555" s="469" t="s">
        <v>299</v>
      </c>
      <c r="D555" s="469" t="s">
        <v>118</v>
      </c>
      <c r="E555" s="462" t="s">
        <v>209</v>
      </c>
      <c r="F555" s="2">
        <v>903</v>
      </c>
      <c r="G555" s="10">
        <f>G552</f>
        <v>35885.300000000003</v>
      </c>
      <c r="H555" s="204"/>
    </row>
    <row r="556" spans="1:8" s="203" customFormat="1" ht="19.5" customHeight="1" x14ac:dyDescent="0.25">
      <c r="A556" s="466" t="s">
        <v>582</v>
      </c>
      <c r="B556" s="462" t="s">
        <v>1208</v>
      </c>
      <c r="C556" s="469" t="s">
        <v>238</v>
      </c>
      <c r="D556" s="73"/>
      <c r="E556" s="73"/>
      <c r="F556" s="2"/>
      <c r="G556" s="10">
        <f>G557</f>
        <v>5294.35</v>
      </c>
      <c r="H556" s="204"/>
    </row>
    <row r="557" spans="1:8" s="203" customFormat="1" ht="23.25" customHeight="1" x14ac:dyDescent="0.25">
      <c r="A557" s="466" t="s">
        <v>583</v>
      </c>
      <c r="B557" s="462" t="s">
        <v>1208</v>
      </c>
      <c r="C557" s="469" t="s">
        <v>238</v>
      </c>
      <c r="D557" s="469" t="s">
        <v>213</v>
      </c>
      <c r="E557" s="73"/>
      <c r="F557" s="2"/>
      <c r="G557" s="10">
        <f>G558+G568</f>
        <v>5294.35</v>
      </c>
      <c r="H557" s="204"/>
    </row>
    <row r="558" spans="1:8" s="203" customFormat="1" ht="20.25" customHeight="1" x14ac:dyDescent="0.25">
      <c r="A558" s="466" t="s">
        <v>800</v>
      </c>
      <c r="B558" s="462" t="s">
        <v>1209</v>
      </c>
      <c r="C558" s="469" t="s">
        <v>238</v>
      </c>
      <c r="D558" s="469" t="s">
        <v>213</v>
      </c>
      <c r="E558" s="469"/>
      <c r="F558" s="2"/>
      <c r="G558" s="10">
        <f>G559+G562+G565</f>
        <v>5176.8</v>
      </c>
      <c r="H558" s="204"/>
    </row>
    <row r="559" spans="1:8" s="203" customFormat="1" ht="79.5" customHeight="1" x14ac:dyDescent="0.25">
      <c r="A559" s="466" t="s">
        <v>127</v>
      </c>
      <c r="B559" s="462" t="s">
        <v>1209</v>
      </c>
      <c r="C559" s="469" t="s">
        <v>238</v>
      </c>
      <c r="D559" s="469" t="s">
        <v>213</v>
      </c>
      <c r="E559" s="469" t="s">
        <v>128</v>
      </c>
      <c r="F559" s="2"/>
      <c r="G559" s="10">
        <f>G560</f>
        <v>4026.6</v>
      </c>
      <c r="H559" s="204"/>
    </row>
    <row r="560" spans="1:8" s="203" customFormat="1" ht="20.25" customHeight="1" x14ac:dyDescent="0.25">
      <c r="A560" s="466" t="s">
        <v>208</v>
      </c>
      <c r="B560" s="462" t="s">
        <v>1209</v>
      </c>
      <c r="C560" s="469" t="s">
        <v>238</v>
      </c>
      <c r="D560" s="469" t="s">
        <v>213</v>
      </c>
      <c r="E560" s="469" t="s">
        <v>209</v>
      </c>
      <c r="F560" s="2"/>
      <c r="G560" s="10">
        <f>'Пр.4 ведом.21'!G534</f>
        <v>4026.6</v>
      </c>
      <c r="H560" s="204"/>
    </row>
    <row r="561" spans="1:8" s="203" customFormat="1" ht="50.25" customHeight="1" x14ac:dyDescent="0.25">
      <c r="A561" s="45" t="s">
        <v>261</v>
      </c>
      <c r="B561" s="462" t="s">
        <v>1209</v>
      </c>
      <c r="C561" s="469" t="s">
        <v>238</v>
      </c>
      <c r="D561" s="469" t="s">
        <v>213</v>
      </c>
      <c r="E561" s="469" t="s">
        <v>209</v>
      </c>
      <c r="F561" s="2">
        <v>903</v>
      </c>
      <c r="G561" s="10">
        <f>G560</f>
        <v>4026.6</v>
      </c>
      <c r="H561" s="204"/>
    </row>
    <row r="562" spans="1:8" s="203" customFormat="1" ht="42.75" customHeight="1" x14ac:dyDescent="0.25">
      <c r="A562" s="466" t="s">
        <v>131</v>
      </c>
      <c r="B562" s="462" t="s">
        <v>1209</v>
      </c>
      <c r="C562" s="469" t="s">
        <v>238</v>
      </c>
      <c r="D562" s="469" t="s">
        <v>213</v>
      </c>
      <c r="E562" s="469" t="s">
        <v>132</v>
      </c>
      <c r="F562" s="2"/>
      <c r="G562" s="10">
        <f>G563</f>
        <v>1132.5</v>
      </c>
      <c r="H562" s="204"/>
    </row>
    <row r="563" spans="1:8" s="203" customFormat="1" ht="36" customHeight="1" x14ac:dyDescent="0.25">
      <c r="A563" s="466" t="s">
        <v>133</v>
      </c>
      <c r="B563" s="462" t="s">
        <v>1209</v>
      </c>
      <c r="C563" s="469" t="s">
        <v>238</v>
      </c>
      <c r="D563" s="469" t="s">
        <v>213</v>
      </c>
      <c r="E563" s="469" t="s">
        <v>134</v>
      </c>
      <c r="F563" s="2"/>
      <c r="G563" s="10">
        <f>'Пр.4 ведом.21'!G536</f>
        <v>1132.5</v>
      </c>
      <c r="H563" s="204"/>
    </row>
    <row r="564" spans="1:8" s="203" customFormat="1" ht="50.25" customHeight="1" x14ac:dyDescent="0.25">
      <c r="A564" s="45" t="s">
        <v>261</v>
      </c>
      <c r="B564" s="462" t="s">
        <v>1209</v>
      </c>
      <c r="C564" s="469" t="s">
        <v>238</v>
      </c>
      <c r="D564" s="469" t="s">
        <v>213</v>
      </c>
      <c r="E564" s="469" t="s">
        <v>134</v>
      </c>
      <c r="F564" s="2">
        <v>903</v>
      </c>
      <c r="G564" s="10">
        <f>G563</f>
        <v>1132.5</v>
      </c>
      <c r="H564" s="204"/>
    </row>
    <row r="565" spans="1:8" s="203" customFormat="1" ht="19.5" customHeight="1" x14ac:dyDescent="0.25">
      <c r="A565" s="466" t="s">
        <v>135</v>
      </c>
      <c r="B565" s="462" t="s">
        <v>1209</v>
      </c>
      <c r="C565" s="469" t="s">
        <v>238</v>
      </c>
      <c r="D565" s="469" t="s">
        <v>213</v>
      </c>
      <c r="E565" s="469" t="s">
        <v>145</v>
      </c>
      <c r="F565" s="2"/>
      <c r="G565" s="10">
        <f>G566</f>
        <v>17.700000000000003</v>
      </c>
      <c r="H565" s="204"/>
    </row>
    <row r="566" spans="1:8" s="203" customFormat="1" ht="23.25" customHeight="1" x14ac:dyDescent="0.25">
      <c r="A566" s="466" t="s">
        <v>137</v>
      </c>
      <c r="B566" s="462" t="s">
        <v>1209</v>
      </c>
      <c r="C566" s="469" t="s">
        <v>238</v>
      </c>
      <c r="D566" s="469" t="s">
        <v>213</v>
      </c>
      <c r="E566" s="469" t="s">
        <v>138</v>
      </c>
      <c r="F566" s="2"/>
      <c r="G566" s="10">
        <f>'Пр.4 ведом.21'!G538</f>
        <v>17.700000000000003</v>
      </c>
      <c r="H566" s="204"/>
    </row>
    <row r="567" spans="1:8" s="203" customFormat="1" ht="50.25" customHeight="1" x14ac:dyDescent="0.25">
      <c r="A567" s="45" t="s">
        <v>261</v>
      </c>
      <c r="B567" s="462" t="s">
        <v>1209</v>
      </c>
      <c r="C567" s="469" t="s">
        <v>238</v>
      </c>
      <c r="D567" s="469" t="s">
        <v>213</v>
      </c>
      <c r="E567" s="469" t="s">
        <v>138</v>
      </c>
      <c r="F567" s="2">
        <v>903</v>
      </c>
      <c r="G567" s="10">
        <f>G566</f>
        <v>17.700000000000003</v>
      </c>
      <c r="H567" s="204"/>
    </row>
    <row r="568" spans="1:8" s="457" customFormat="1" ht="47.25" x14ac:dyDescent="0.25">
      <c r="A568" s="466" t="s">
        <v>1776</v>
      </c>
      <c r="B568" s="462" t="s">
        <v>1777</v>
      </c>
      <c r="C568" s="469" t="s">
        <v>238</v>
      </c>
      <c r="D568" s="469" t="s">
        <v>213</v>
      </c>
      <c r="E568" s="469"/>
      <c r="F568" s="2"/>
      <c r="G568" s="10">
        <f>G569</f>
        <v>117.55</v>
      </c>
      <c r="H568" s="204"/>
    </row>
    <row r="569" spans="1:8" s="457" customFormat="1" ht="78.75" x14ac:dyDescent="0.25">
      <c r="A569" s="466" t="s">
        <v>127</v>
      </c>
      <c r="B569" s="462" t="s">
        <v>1777</v>
      </c>
      <c r="C569" s="469" t="s">
        <v>238</v>
      </c>
      <c r="D569" s="469" t="s">
        <v>213</v>
      </c>
      <c r="E569" s="469" t="s">
        <v>128</v>
      </c>
      <c r="F569" s="2"/>
      <c r="G569" s="10">
        <f>G570</f>
        <v>117.55</v>
      </c>
      <c r="H569" s="204"/>
    </row>
    <row r="570" spans="1:8" s="457" customFormat="1" ht="15.75" x14ac:dyDescent="0.25">
      <c r="A570" s="46" t="s">
        <v>342</v>
      </c>
      <c r="B570" s="462" t="s">
        <v>1777</v>
      </c>
      <c r="C570" s="469" t="s">
        <v>238</v>
      </c>
      <c r="D570" s="469" t="s">
        <v>213</v>
      </c>
      <c r="E570" s="469" t="s">
        <v>209</v>
      </c>
      <c r="F570" s="2"/>
      <c r="G570" s="10">
        <f>'Пр.4 ведом.21'!G541</f>
        <v>117.55</v>
      </c>
      <c r="H570" s="204"/>
    </row>
    <row r="571" spans="1:8" s="457" customFormat="1" ht="47.25" x14ac:dyDescent="0.25">
      <c r="A571" s="45" t="s">
        <v>261</v>
      </c>
      <c r="B571" s="462" t="s">
        <v>1777</v>
      </c>
      <c r="C571" s="469" t="s">
        <v>238</v>
      </c>
      <c r="D571" s="469" t="s">
        <v>213</v>
      </c>
      <c r="E571" s="469" t="s">
        <v>209</v>
      </c>
      <c r="F571" s="2">
        <v>903</v>
      </c>
      <c r="G571" s="10">
        <f>G570</f>
        <v>117.55</v>
      </c>
      <c r="H571" s="204"/>
    </row>
    <row r="572" spans="1:8" s="203" customFormat="1" ht="31.7" customHeight="1" x14ac:dyDescent="0.25">
      <c r="A572" s="216" t="s">
        <v>1306</v>
      </c>
      <c r="B572" s="465" t="s">
        <v>1210</v>
      </c>
      <c r="C572" s="7"/>
      <c r="D572" s="7"/>
      <c r="E572" s="7"/>
      <c r="F572" s="3"/>
      <c r="G572" s="59">
        <f>G573+G586</f>
        <v>1199.9000000000001</v>
      </c>
      <c r="H572" s="204"/>
    </row>
    <row r="573" spans="1:8" s="203" customFormat="1" ht="21.2" customHeight="1" x14ac:dyDescent="0.25">
      <c r="A573" s="466" t="s">
        <v>263</v>
      </c>
      <c r="B573" s="462" t="s">
        <v>1210</v>
      </c>
      <c r="C573" s="469" t="s">
        <v>264</v>
      </c>
      <c r="D573" s="469"/>
      <c r="E573" s="469"/>
      <c r="F573" s="2"/>
      <c r="G573" s="10">
        <f>G574</f>
        <v>335.5</v>
      </c>
      <c r="H573" s="204"/>
    </row>
    <row r="574" spans="1:8" s="203" customFormat="1" ht="20.25" customHeight="1" x14ac:dyDescent="0.25">
      <c r="A574" s="466" t="s">
        <v>265</v>
      </c>
      <c r="B574" s="462" t="s">
        <v>1210</v>
      </c>
      <c r="C574" s="469" t="s">
        <v>264</v>
      </c>
      <c r="D574" s="469" t="s">
        <v>215</v>
      </c>
      <c r="E574" s="469"/>
      <c r="F574" s="2"/>
      <c r="G574" s="10">
        <f>G575</f>
        <v>335.5</v>
      </c>
      <c r="H574" s="204"/>
    </row>
    <row r="575" spans="1:8" s="203" customFormat="1" ht="30.6" customHeight="1" x14ac:dyDescent="0.25">
      <c r="A575" s="195" t="s">
        <v>799</v>
      </c>
      <c r="B575" s="462" t="s">
        <v>1211</v>
      </c>
      <c r="C575" s="469" t="s">
        <v>264</v>
      </c>
      <c r="D575" s="469" t="s">
        <v>215</v>
      </c>
      <c r="E575" s="462"/>
      <c r="F575" s="2"/>
      <c r="G575" s="10">
        <f>G576+G579</f>
        <v>335.5</v>
      </c>
      <c r="H575" s="204"/>
    </row>
    <row r="576" spans="1:8" s="203" customFormat="1" ht="21.2" customHeight="1" x14ac:dyDescent="0.25">
      <c r="A576" s="466" t="s">
        <v>248</v>
      </c>
      <c r="B576" s="462" t="s">
        <v>1211</v>
      </c>
      <c r="C576" s="469" t="s">
        <v>264</v>
      </c>
      <c r="D576" s="469" t="s">
        <v>215</v>
      </c>
      <c r="E576" s="462" t="s">
        <v>249</v>
      </c>
      <c r="F576" s="2"/>
      <c r="G576" s="10">
        <f>G577</f>
        <v>45</v>
      </c>
      <c r="H576" s="204"/>
    </row>
    <row r="577" spans="1:8" s="203" customFormat="1" ht="19.5" customHeight="1" x14ac:dyDescent="0.25">
      <c r="A577" s="466" t="s">
        <v>820</v>
      </c>
      <c r="B577" s="462" t="s">
        <v>1211</v>
      </c>
      <c r="C577" s="469" t="s">
        <v>264</v>
      </c>
      <c r="D577" s="469" t="s">
        <v>215</v>
      </c>
      <c r="E577" s="462" t="s">
        <v>819</v>
      </c>
      <c r="F577" s="2"/>
      <c r="G577" s="10">
        <f>'Пр.4 ведом.21'!G338</f>
        <v>45</v>
      </c>
      <c r="H577" s="204"/>
    </row>
    <row r="578" spans="1:8" s="203" customFormat="1" ht="54" customHeight="1" x14ac:dyDescent="0.25">
      <c r="A578" s="45" t="s">
        <v>261</v>
      </c>
      <c r="B578" s="462" t="s">
        <v>1211</v>
      </c>
      <c r="C578" s="469" t="s">
        <v>264</v>
      </c>
      <c r="D578" s="469" t="s">
        <v>215</v>
      </c>
      <c r="E578" s="462" t="s">
        <v>819</v>
      </c>
      <c r="F578" s="2">
        <v>903</v>
      </c>
      <c r="G578" s="10">
        <f>G577</f>
        <v>45</v>
      </c>
      <c r="H578" s="204"/>
    </row>
    <row r="579" spans="1:8" s="203" customFormat="1" ht="31.7" customHeight="1" x14ac:dyDescent="0.25">
      <c r="A579" s="31" t="s">
        <v>816</v>
      </c>
      <c r="B579" s="462" t="s">
        <v>1212</v>
      </c>
      <c r="C579" s="469" t="s">
        <v>264</v>
      </c>
      <c r="D579" s="469" t="s">
        <v>215</v>
      </c>
      <c r="E579" s="462"/>
      <c r="F579" s="2"/>
      <c r="G579" s="10">
        <f>G580+G583</f>
        <v>290.5</v>
      </c>
      <c r="H579" s="204"/>
    </row>
    <row r="580" spans="1:8" s="203" customFormat="1" ht="31.7" customHeight="1" x14ac:dyDescent="0.25">
      <c r="A580" s="466" t="s">
        <v>127</v>
      </c>
      <c r="B580" s="462" t="s">
        <v>1212</v>
      </c>
      <c r="C580" s="469" t="s">
        <v>264</v>
      </c>
      <c r="D580" s="469" t="s">
        <v>215</v>
      </c>
      <c r="E580" s="462" t="s">
        <v>128</v>
      </c>
      <c r="F580" s="2"/>
      <c r="G580" s="10">
        <f>G581</f>
        <v>290.5</v>
      </c>
      <c r="H580" s="204"/>
    </row>
    <row r="581" spans="1:8" s="203" customFormat="1" ht="21.2" customHeight="1" x14ac:dyDescent="0.25">
      <c r="A581" s="46" t="s">
        <v>342</v>
      </c>
      <c r="B581" s="462" t="s">
        <v>1212</v>
      </c>
      <c r="C581" s="469" t="s">
        <v>264</v>
      </c>
      <c r="D581" s="469" t="s">
        <v>215</v>
      </c>
      <c r="E581" s="462" t="s">
        <v>209</v>
      </c>
      <c r="F581" s="2"/>
      <c r="G581" s="10">
        <f>'Пр.4 ведом.21'!G341</f>
        <v>290.5</v>
      </c>
      <c r="H581" s="204"/>
    </row>
    <row r="582" spans="1:8" s="203" customFormat="1" ht="52.5" customHeight="1" x14ac:dyDescent="0.25">
      <c r="A582" s="45" t="s">
        <v>261</v>
      </c>
      <c r="B582" s="462" t="s">
        <v>1212</v>
      </c>
      <c r="C582" s="469" t="s">
        <v>264</v>
      </c>
      <c r="D582" s="469" t="s">
        <v>215</v>
      </c>
      <c r="E582" s="462" t="s">
        <v>209</v>
      </c>
      <c r="F582" s="2">
        <v>903</v>
      </c>
      <c r="G582" s="10">
        <f>G581</f>
        <v>290.5</v>
      </c>
      <c r="H582" s="204"/>
    </row>
    <row r="583" spans="1:8" s="203" customFormat="1" ht="31.7" hidden="1" customHeight="1" x14ac:dyDescent="0.25">
      <c r="A583" s="466" t="s">
        <v>131</v>
      </c>
      <c r="B583" s="462" t="s">
        <v>1212</v>
      </c>
      <c r="C583" s="469" t="s">
        <v>264</v>
      </c>
      <c r="D583" s="469" t="s">
        <v>215</v>
      </c>
      <c r="E583" s="462" t="s">
        <v>132</v>
      </c>
      <c r="F583" s="2"/>
      <c r="G583" s="10">
        <f>G584</f>
        <v>0</v>
      </c>
      <c r="H583" s="204"/>
    </row>
    <row r="584" spans="1:8" s="203" customFormat="1" ht="31.7" hidden="1" customHeight="1" x14ac:dyDescent="0.25">
      <c r="A584" s="466" t="s">
        <v>133</v>
      </c>
      <c r="B584" s="462" t="s">
        <v>1212</v>
      </c>
      <c r="C584" s="469" t="s">
        <v>264</v>
      </c>
      <c r="D584" s="469" t="s">
        <v>215</v>
      </c>
      <c r="E584" s="462" t="s">
        <v>134</v>
      </c>
      <c r="F584" s="2"/>
      <c r="G584" s="10">
        <f>'Пр.4 ведом.21'!G343</f>
        <v>0</v>
      </c>
      <c r="H584" s="204"/>
    </row>
    <row r="585" spans="1:8" s="203" customFormat="1" ht="55.5" hidden="1" customHeight="1" x14ac:dyDescent="0.25">
      <c r="A585" s="45" t="s">
        <v>261</v>
      </c>
      <c r="B585" s="462" t="s">
        <v>1212</v>
      </c>
      <c r="C585" s="469" t="s">
        <v>264</v>
      </c>
      <c r="D585" s="469" t="s">
        <v>215</v>
      </c>
      <c r="E585" s="462" t="s">
        <v>134</v>
      </c>
      <c r="F585" s="2">
        <v>903</v>
      </c>
      <c r="G585" s="10">
        <f>G584</f>
        <v>0</v>
      </c>
      <c r="H585" s="204"/>
    </row>
    <row r="586" spans="1:8" s="203" customFormat="1" ht="16.5" customHeight="1" x14ac:dyDescent="0.25">
      <c r="A586" s="73" t="s">
        <v>298</v>
      </c>
      <c r="B586" s="462" t="s">
        <v>1210</v>
      </c>
      <c r="C586" s="469" t="s">
        <v>299</v>
      </c>
      <c r="D586" s="73"/>
      <c r="E586" s="73"/>
      <c r="F586" s="2"/>
      <c r="G586" s="10">
        <f>G587</f>
        <v>864.40000000000009</v>
      </c>
      <c r="H586" s="204"/>
    </row>
    <row r="587" spans="1:8" s="203" customFormat="1" ht="16.5" customHeight="1" x14ac:dyDescent="0.25">
      <c r="A587" s="73" t="s">
        <v>300</v>
      </c>
      <c r="B587" s="462" t="s">
        <v>1210</v>
      </c>
      <c r="C587" s="469" t="s">
        <v>299</v>
      </c>
      <c r="D587" s="469" t="s">
        <v>118</v>
      </c>
      <c r="E587" s="73"/>
      <c r="F587" s="2"/>
      <c r="G587" s="10">
        <f>G588+G592</f>
        <v>864.40000000000009</v>
      </c>
      <c r="H587" s="204"/>
    </row>
    <row r="588" spans="1:8" s="203" customFormat="1" ht="41.25" customHeight="1" x14ac:dyDescent="0.25">
      <c r="A588" s="31" t="s">
        <v>816</v>
      </c>
      <c r="B588" s="462" t="s">
        <v>1212</v>
      </c>
      <c r="C588" s="469" t="s">
        <v>299</v>
      </c>
      <c r="D588" s="469" t="s">
        <v>118</v>
      </c>
      <c r="E588" s="469"/>
      <c r="F588" s="2"/>
      <c r="G588" s="10">
        <f>G589</f>
        <v>487.40000000000009</v>
      </c>
      <c r="H588" s="204"/>
    </row>
    <row r="589" spans="1:8" s="203" customFormat="1" ht="83.25" customHeight="1" x14ac:dyDescent="0.25">
      <c r="A589" s="466" t="s">
        <v>127</v>
      </c>
      <c r="B589" s="462" t="s">
        <v>1212</v>
      </c>
      <c r="C589" s="469" t="s">
        <v>299</v>
      </c>
      <c r="D589" s="469" t="s">
        <v>118</v>
      </c>
      <c r="E589" s="469" t="s">
        <v>128</v>
      </c>
      <c r="F589" s="2"/>
      <c r="G589" s="10">
        <f>G590</f>
        <v>487.40000000000009</v>
      </c>
      <c r="H589" s="204"/>
    </row>
    <row r="590" spans="1:8" s="203" customFormat="1" ht="15.75" customHeight="1" x14ac:dyDescent="0.25">
      <c r="A590" s="466" t="s">
        <v>208</v>
      </c>
      <c r="B590" s="462" t="s">
        <v>1212</v>
      </c>
      <c r="C590" s="469" t="s">
        <v>299</v>
      </c>
      <c r="D590" s="469" t="s">
        <v>118</v>
      </c>
      <c r="E590" s="469" t="s">
        <v>209</v>
      </c>
      <c r="F590" s="2"/>
      <c r="G590" s="10">
        <f>'Пр.3 Рд,пр, ЦС,ВР 21'!F872</f>
        <v>487.40000000000009</v>
      </c>
      <c r="H590" s="204"/>
    </row>
    <row r="591" spans="1:8" s="203" customFormat="1" ht="40.15" customHeight="1" x14ac:dyDescent="0.25">
      <c r="A591" s="45" t="s">
        <v>261</v>
      </c>
      <c r="B591" s="462" t="s">
        <v>1212</v>
      </c>
      <c r="C591" s="469" t="s">
        <v>299</v>
      </c>
      <c r="D591" s="469" t="s">
        <v>118</v>
      </c>
      <c r="E591" s="469" t="s">
        <v>209</v>
      </c>
      <c r="F591" s="2">
        <v>903</v>
      </c>
      <c r="G591" s="10">
        <f>G590</f>
        <v>487.40000000000009</v>
      </c>
      <c r="H591" s="204"/>
    </row>
    <row r="592" spans="1:8" s="203" customFormat="1" ht="40.700000000000003" customHeight="1" x14ac:dyDescent="0.25">
      <c r="A592" s="466" t="s">
        <v>131</v>
      </c>
      <c r="B592" s="462" t="s">
        <v>1212</v>
      </c>
      <c r="C592" s="469" t="s">
        <v>299</v>
      </c>
      <c r="D592" s="469" t="s">
        <v>118</v>
      </c>
      <c r="E592" s="469" t="s">
        <v>132</v>
      </c>
      <c r="F592" s="2"/>
      <c r="G592" s="10">
        <f>G593</f>
        <v>377</v>
      </c>
      <c r="H592" s="204"/>
    </row>
    <row r="593" spans="1:8" s="203" customFormat="1" ht="40.700000000000003" customHeight="1" x14ac:dyDescent="0.25">
      <c r="A593" s="466" t="s">
        <v>133</v>
      </c>
      <c r="B593" s="462" t="s">
        <v>1212</v>
      </c>
      <c r="C593" s="469" t="s">
        <v>299</v>
      </c>
      <c r="D593" s="469" t="s">
        <v>118</v>
      </c>
      <c r="E593" s="469" t="s">
        <v>134</v>
      </c>
      <c r="F593" s="2"/>
      <c r="G593" s="10">
        <f>'Пр.3 Рд,пр, ЦС,ВР 21'!F874</f>
        <v>377</v>
      </c>
      <c r="H593" s="204"/>
    </row>
    <row r="594" spans="1:8" s="203" customFormat="1" ht="46.5" customHeight="1" x14ac:dyDescent="0.25">
      <c r="A594" s="45" t="s">
        <v>261</v>
      </c>
      <c r="B594" s="462" t="s">
        <v>1212</v>
      </c>
      <c r="C594" s="469" t="s">
        <v>299</v>
      </c>
      <c r="D594" s="469" t="s">
        <v>118</v>
      </c>
      <c r="E594" s="469" t="s">
        <v>134</v>
      </c>
      <c r="F594" s="2">
        <v>903</v>
      </c>
      <c r="G594" s="10">
        <f>G593</f>
        <v>377</v>
      </c>
      <c r="H594" s="204"/>
    </row>
    <row r="595" spans="1:8" s="203" customFormat="1" ht="35.450000000000003" customHeight="1" x14ac:dyDescent="0.25">
      <c r="A595" s="464" t="s">
        <v>947</v>
      </c>
      <c r="B595" s="465" t="s">
        <v>1213</v>
      </c>
      <c r="C595" s="7"/>
      <c r="D595" s="7"/>
      <c r="E595" s="7"/>
      <c r="F595" s="3"/>
      <c r="G595" s="59">
        <f>G604+G597+G608</f>
        <v>1449.8000000000002</v>
      </c>
      <c r="H595" s="204"/>
    </row>
    <row r="596" spans="1:8" s="203" customFormat="1" ht="18" customHeight="1" x14ac:dyDescent="0.25">
      <c r="A596" s="466" t="s">
        <v>263</v>
      </c>
      <c r="B596" s="462" t="s">
        <v>1213</v>
      </c>
      <c r="C596" s="469" t="s">
        <v>264</v>
      </c>
      <c r="D596" s="469"/>
      <c r="E596" s="469"/>
      <c r="F596" s="2"/>
      <c r="G596" s="10">
        <f>G597</f>
        <v>233.20000000000002</v>
      </c>
      <c r="H596" s="204"/>
    </row>
    <row r="597" spans="1:8" s="203" customFormat="1" ht="22.7" customHeight="1" x14ac:dyDescent="0.25">
      <c r="A597" s="466" t="s">
        <v>265</v>
      </c>
      <c r="B597" s="462" t="s">
        <v>1213</v>
      </c>
      <c r="C597" s="469" t="s">
        <v>264</v>
      </c>
      <c r="D597" s="469" t="s">
        <v>215</v>
      </c>
      <c r="E597" s="469"/>
      <c r="F597" s="2"/>
      <c r="G597" s="10">
        <f>G598</f>
        <v>233.20000000000002</v>
      </c>
      <c r="H597" s="204"/>
    </row>
    <row r="598" spans="1:8" s="203" customFormat="1" ht="49.7" customHeight="1" x14ac:dyDescent="0.25">
      <c r="A598" s="466" t="s">
        <v>839</v>
      </c>
      <c r="B598" s="462" t="s">
        <v>1214</v>
      </c>
      <c r="C598" s="469" t="s">
        <v>264</v>
      </c>
      <c r="D598" s="469" t="s">
        <v>215</v>
      </c>
      <c r="E598" s="462"/>
      <c r="F598" s="2"/>
      <c r="G598" s="10">
        <f>G599</f>
        <v>233.20000000000002</v>
      </c>
      <c r="H598" s="204"/>
    </row>
    <row r="599" spans="1:8" s="203" customFormat="1" ht="88.5" customHeight="1" x14ac:dyDescent="0.25">
      <c r="A599" s="466" t="s">
        <v>127</v>
      </c>
      <c r="B599" s="462" t="s">
        <v>1214</v>
      </c>
      <c r="C599" s="469" t="s">
        <v>264</v>
      </c>
      <c r="D599" s="469" t="s">
        <v>215</v>
      </c>
      <c r="E599" s="462" t="s">
        <v>128</v>
      </c>
      <c r="F599" s="2"/>
      <c r="G599" s="10">
        <f>G600</f>
        <v>233.20000000000002</v>
      </c>
      <c r="H599" s="204"/>
    </row>
    <row r="600" spans="1:8" s="203" customFormat="1" ht="36.75" customHeight="1" x14ac:dyDescent="0.25">
      <c r="A600" s="466" t="s">
        <v>129</v>
      </c>
      <c r="B600" s="462" t="s">
        <v>1214</v>
      </c>
      <c r="C600" s="469" t="s">
        <v>264</v>
      </c>
      <c r="D600" s="469" t="s">
        <v>215</v>
      </c>
      <c r="E600" s="462" t="s">
        <v>209</v>
      </c>
      <c r="F600" s="2"/>
      <c r="G600" s="10">
        <f>'Пр.4 ведом.21'!G347</f>
        <v>233.20000000000002</v>
      </c>
      <c r="H600" s="204"/>
    </row>
    <row r="601" spans="1:8" s="203" customFormat="1" ht="58.7" customHeight="1" x14ac:dyDescent="0.25">
      <c r="A601" s="45" t="s">
        <v>261</v>
      </c>
      <c r="B601" s="462" t="s">
        <v>1214</v>
      </c>
      <c r="C601" s="469" t="s">
        <v>264</v>
      </c>
      <c r="D601" s="469" t="s">
        <v>215</v>
      </c>
      <c r="E601" s="462" t="s">
        <v>209</v>
      </c>
      <c r="F601" s="2">
        <v>903</v>
      </c>
      <c r="G601" s="10">
        <f>G600</f>
        <v>233.20000000000002</v>
      </c>
      <c r="H601" s="204"/>
    </row>
    <row r="602" spans="1:8" s="203" customFormat="1" ht="16.5" customHeight="1" x14ac:dyDescent="0.25">
      <c r="A602" s="73" t="s">
        <v>298</v>
      </c>
      <c r="B602" s="462" t="s">
        <v>1213</v>
      </c>
      <c r="C602" s="469" t="s">
        <v>299</v>
      </c>
      <c r="D602" s="73"/>
      <c r="E602" s="73"/>
      <c r="F602" s="2"/>
      <c r="G602" s="10">
        <f>G603</f>
        <v>955.00000000000011</v>
      </c>
      <c r="H602" s="204"/>
    </row>
    <row r="603" spans="1:8" s="203" customFormat="1" ht="18.75" customHeight="1" x14ac:dyDescent="0.25">
      <c r="A603" s="73" t="s">
        <v>300</v>
      </c>
      <c r="B603" s="462" t="s">
        <v>1213</v>
      </c>
      <c r="C603" s="469" t="s">
        <v>299</v>
      </c>
      <c r="D603" s="469" t="s">
        <v>118</v>
      </c>
      <c r="E603" s="73"/>
      <c r="F603" s="2"/>
      <c r="G603" s="10">
        <f>G604</f>
        <v>955.00000000000011</v>
      </c>
      <c r="H603" s="204"/>
    </row>
    <row r="604" spans="1:8" s="203" customFormat="1" ht="43.5" customHeight="1" x14ac:dyDescent="0.25">
      <c r="A604" s="466" t="s">
        <v>839</v>
      </c>
      <c r="B604" s="462" t="s">
        <v>1214</v>
      </c>
      <c r="C604" s="469" t="s">
        <v>299</v>
      </c>
      <c r="D604" s="469" t="s">
        <v>118</v>
      </c>
      <c r="E604" s="469"/>
      <c r="F604" s="2"/>
      <c r="G604" s="10">
        <f>G605</f>
        <v>955.00000000000011</v>
      </c>
      <c r="H604" s="204"/>
    </row>
    <row r="605" spans="1:8" s="203" customFormat="1" ht="81" customHeight="1" x14ac:dyDescent="0.25">
      <c r="A605" s="466" t="s">
        <v>127</v>
      </c>
      <c r="B605" s="462" t="s">
        <v>1214</v>
      </c>
      <c r="C605" s="469" t="s">
        <v>299</v>
      </c>
      <c r="D605" s="469" t="s">
        <v>118</v>
      </c>
      <c r="E605" s="469" t="s">
        <v>128</v>
      </c>
      <c r="F605" s="2"/>
      <c r="G605" s="10">
        <f>G606</f>
        <v>955.00000000000011</v>
      </c>
      <c r="H605" s="204"/>
    </row>
    <row r="606" spans="1:8" s="203" customFormat="1" ht="38.25" customHeight="1" x14ac:dyDescent="0.25">
      <c r="A606" s="466" t="s">
        <v>129</v>
      </c>
      <c r="B606" s="462" t="s">
        <v>1214</v>
      </c>
      <c r="C606" s="469" t="s">
        <v>299</v>
      </c>
      <c r="D606" s="469" t="s">
        <v>118</v>
      </c>
      <c r="E606" s="469" t="s">
        <v>209</v>
      </c>
      <c r="F606" s="2"/>
      <c r="G606" s="10">
        <f>'Пр.3 Рд,пр, ЦС,ВР 21'!F878</f>
        <v>955.00000000000011</v>
      </c>
      <c r="H606" s="204"/>
    </row>
    <row r="607" spans="1:8" s="203" customFormat="1" ht="47.25" customHeight="1" x14ac:dyDescent="0.25">
      <c r="A607" s="45" t="s">
        <v>261</v>
      </c>
      <c r="B607" s="462" t="s">
        <v>1214</v>
      </c>
      <c r="C607" s="469" t="s">
        <v>299</v>
      </c>
      <c r="D607" s="469" t="s">
        <v>118</v>
      </c>
      <c r="E607" s="469" t="s">
        <v>209</v>
      </c>
      <c r="F607" s="2">
        <v>903</v>
      </c>
      <c r="G607" s="10">
        <f>G606</f>
        <v>955.00000000000011</v>
      </c>
      <c r="H607" s="204"/>
    </row>
    <row r="608" spans="1:8" s="203" customFormat="1" ht="16.5" customHeight="1" x14ac:dyDescent="0.25">
      <c r="A608" s="68" t="s">
        <v>582</v>
      </c>
      <c r="B608" s="462" t="s">
        <v>1213</v>
      </c>
      <c r="C608" s="469" t="s">
        <v>238</v>
      </c>
      <c r="D608" s="73"/>
      <c r="E608" s="73"/>
      <c r="F608" s="2"/>
      <c r="G608" s="10">
        <f>G609</f>
        <v>261.60000000000002</v>
      </c>
      <c r="H608" s="204"/>
    </row>
    <row r="609" spans="1:10" s="203" customFormat="1" ht="18" customHeight="1" x14ac:dyDescent="0.25">
      <c r="A609" s="466" t="s">
        <v>583</v>
      </c>
      <c r="B609" s="462" t="s">
        <v>1213</v>
      </c>
      <c r="C609" s="469" t="s">
        <v>238</v>
      </c>
      <c r="D609" s="469" t="s">
        <v>213</v>
      </c>
      <c r="E609" s="73"/>
      <c r="F609" s="2"/>
      <c r="G609" s="10">
        <f>G610</f>
        <v>261.60000000000002</v>
      </c>
      <c r="H609" s="204"/>
    </row>
    <row r="610" spans="1:10" s="203" customFormat="1" ht="47.25" customHeight="1" x14ac:dyDescent="0.25">
      <c r="A610" s="466" t="s">
        <v>839</v>
      </c>
      <c r="B610" s="462" t="s">
        <v>1214</v>
      </c>
      <c r="C610" s="469" t="s">
        <v>238</v>
      </c>
      <c r="D610" s="469" t="s">
        <v>213</v>
      </c>
      <c r="E610" s="469"/>
      <c r="F610" s="2"/>
      <c r="G610" s="10">
        <f>G611</f>
        <v>261.60000000000002</v>
      </c>
      <c r="H610" s="204"/>
    </row>
    <row r="611" spans="1:10" s="203" customFormat="1" ht="47.25" customHeight="1" x14ac:dyDescent="0.25">
      <c r="A611" s="466" t="s">
        <v>127</v>
      </c>
      <c r="B611" s="462" t="s">
        <v>1214</v>
      </c>
      <c r="C611" s="469" t="s">
        <v>238</v>
      </c>
      <c r="D611" s="469" t="s">
        <v>213</v>
      </c>
      <c r="E611" s="469" t="s">
        <v>128</v>
      </c>
      <c r="F611" s="2"/>
      <c r="G611" s="10">
        <f>G612</f>
        <v>261.60000000000002</v>
      </c>
      <c r="H611" s="204"/>
    </row>
    <row r="612" spans="1:10" s="203" customFormat="1" ht="47.25" customHeight="1" x14ac:dyDescent="0.25">
      <c r="A612" s="466" t="s">
        <v>129</v>
      </c>
      <c r="B612" s="462" t="s">
        <v>1214</v>
      </c>
      <c r="C612" s="469" t="s">
        <v>238</v>
      </c>
      <c r="D612" s="469" t="s">
        <v>213</v>
      </c>
      <c r="E612" s="469" t="s">
        <v>209</v>
      </c>
      <c r="F612" s="2"/>
      <c r="G612" s="10">
        <f>'Пр.4 ведом.21'!G545</f>
        <v>261.60000000000002</v>
      </c>
      <c r="H612" s="204"/>
    </row>
    <row r="613" spans="1:10" s="203" customFormat="1" ht="47.25" customHeight="1" x14ac:dyDescent="0.25">
      <c r="A613" s="45" t="s">
        <v>261</v>
      </c>
      <c r="B613" s="462" t="s">
        <v>1214</v>
      </c>
      <c r="C613" s="469" t="s">
        <v>238</v>
      </c>
      <c r="D613" s="469" t="s">
        <v>213</v>
      </c>
      <c r="E613" s="469" t="s">
        <v>209</v>
      </c>
      <c r="F613" s="2">
        <v>903</v>
      </c>
      <c r="G613" s="10">
        <f>G612</f>
        <v>261.60000000000002</v>
      </c>
      <c r="H613" s="204"/>
    </row>
    <row r="614" spans="1:10" s="203" customFormat="1" ht="48.2" customHeight="1" x14ac:dyDescent="0.25">
      <c r="A614" s="217" t="s">
        <v>900</v>
      </c>
      <c r="B614" s="465" t="s">
        <v>1215</v>
      </c>
      <c r="C614" s="7"/>
      <c r="D614" s="7"/>
      <c r="E614" s="7"/>
      <c r="F614" s="3"/>
      <c r="G614" s="59">
        <f>G615+G630</f>
        <v>3517.4</v>
      </c>
      <c r="H614" s="204"/>
    </row>
    <row r="615" spans="1:10" s="203" customFormat="1" ht="21.75" customHeight="1" x14ac:dyDescent="0.25">
      <c r="A615" s="466" t="s">
        <v>263</v>
      </c>
      <c r="B615" s="462" t="s">
        <v>1215</v>
      </c>
      <c r="C615" s="469" t="s">
        <v>264</v>
      </c>
      <c r="D615" s="469"/>
      <c r="E615" s="469"/>
      <c r="F615" s="2"/>
      <c r="G615" s="10">
        <f>G616</f>
        <v>1075.4000000000001</v>
      </c>
      <c r="H615" s="204"/>
    </row>
    <row r="616" spans="1:10" s="203" customFormat="1" ht="18" customHeight="1" x14ac:dyDescent="0.25">
      <c r="A616" s="466" t="s">
        <v>265</v>
      </c>
      <c r="B616" s="462" t="s">
        <v>1215</v>
      </c>
      <c r="C616" s="469" t="s">
        <v>264</v>
      </c>
      <c r="D616" s="469" t="s">
        <v>215</v>
      </c>
      <c r="E616" s="469"/>
      <c r="F616" s="2"/>
      <c r="G616" s="10">
        <f>G621+G625+G617</f>
        <v>1075.4000000000001</v>
      </c>
      <c r="H616" s="204"/>
    </row>
    <row r="617" spans="1:10" s="203" customFormat="1" ht="97.15" customHeight="1" x14ac:dyDescent="0.25">
      <c r="A617" s="31" t="s">
        <v>293</v>
      </c>
      <c r="B617" s="462" t="s">
        <v>1414</v>
      </c>
      <c r="C617" s="469" t="s">
        <v>264</v>
      </c>
      <c r="D617" s="469" t="s">
        <v>215</v>
      </c>
      <c r="E617" s="462"/>
      <c r="F617" s="2"/>
      <c r="G617" s="10">
        <f>G618</f>
        <v>671</v>
      </c>
      <c r="H617" s="204"/>
      <c r="J617" s="231">
        <f>G617+G631</f>
        <v>2771.6</v>
      </c>
    </row>
    <row r="618" spans="1:10" s="203" customFormat="1" ht="84.2" customHeight="1" x14ac:dyDescent="0.25">
      <c r="A618" s="466" t="s">
        <v>127</v>
      </c>
      <c r="B618" s="462" t="s">
        <v>1414</v>
      </c>
      <c r="C618" s="469" t="s">
        <v>264</v>
      </c>
      <c r="D618" s="469" t="s">
        <v>215</v>
      </c>
      <c r="E618" s="462" t="s">
        <v>128</v>
      </c>
      <c r="F618" s="2"/>
      <c r="G618" s="10">
        <f>G619</f>
        <v>671</v>
      </c>
      <c r="H618" s="204"/>
    </row>
    <row r="619" spans="1:10" s="203" customFormat="1" ht="15" customHeight="1" x14ac:dyDescent="0.25">
      <c r="A619" s="46" t="s">
        <v>342</v>
      </c>
      <c r="B619" s="462" t="s">
        <v>1414</v>
      </c>
      <c r="C619" s="469" t="s">
        <v>264</v>
      </c>
      <c r="D619" s="469" t="s">
        <v>215</v>
      </c>
      <c r="E619" s="462" t="s">
        <v>209</v>
      </c>
      <c r="F619" s="2"/>
      <c r="G619" s="10">
        <f>'Пр.4 ведом.21'!G351</f>
        <v>671</v>
      </c>
      <c r="H619" s="204"/>
    </row>
    <row r="620" spans="1:10" s="203" customFormat="1" ht="57.75" customHeight="1" x14ac:dyDescent="0.25">
      <c r="A620" s="45" t="s">
        <v>261</v>
      </c>
      <c r="B620" s="462" t="s">
        <v>1414</v>
      </c>
      <c r="C620" s="469" t="s">
        <v>264</v>
      </c>
      <c r="D620" s="469" t="s">
        <v>215</v>
      </c>
      <c r="E620" s="462" t="s">
        <v>209</v>
      </c>
      <c r="F620" s="2">
        <v>903</v>
      </c>
      <c r="G620" s="10">
        <f>G619</f>
        <v>671</v>
      </c>
      <c r="H620" s="204"/>
    </row>
    <row r="621" spans="1:10" s="203" customFormat="1" ht="74.25" customHeight="1" x14ac:dyDescent="0.25">
      <c r="A621" s="31" t="s">
        <v>289</v>
      </c>
      <c r="B621" s="462" t="s">
        <v>1216</v>
      </c>
      <c r="C621" s="469" t="s">
        <v>264</v>
      </c>
      <c r="D621" s="469" t="s">
        <v>215</v>
      </c>
      <c r="E621" s="462"/>
      <c r="F621" s="2"/>
      <c r="G621" s="10">
        <f>G622</f>
        <v>106</v>
      </c>
      <c r="H621" s="204"/>
    </row>
    <row r="622" spans="1:10" s="203" customFormat="1" ht="79.5" customHeight="1" x14ac:dyDescent="0.25">
      <c r="A622" s="466" t="s">
        <v>127</v>
      </c>
      <c r="B622" s="462" t="s">
        <v>1216</v>
      </c>
      <c r="C622" s="469" t="s">
        <v>264</v>
      </c>
      <c r="D622" s="469" t="s">
        <v>215</v>
      </c>
      <c r="E622" s="462" t="s">
        <v>128</v>
      </c>
      <c r="F622" s="2"/>
      <c r="G622" s="10">
        <f>G623</f>
        <v>106</v>
      </c>
      <c r="H622" s="204"/>
    </row>
    <row r="623" spans="1:10" s="203" customFormat="1" ht="20.25" customHeight="1" x14ac:dyDescent="0.25">
      <c r="A623" s="46" t="s">
        <v>342</v>
      </c>
      <c r="B623" s="462" t="s">
        <v>1216</v>
      </c>
      <c r="C623" s="469" t="s">
        <v>264</v>
      </c>
      <c r="D623" s="469" t="s">
        <v>215</v>
      </c>
      <c r="E623" s="462" t="s">
        <v>209</v>
      </c>
      <c r="F623" s="2"/>
      <c r="G623" s="10">
        <f>'Пр.4 ведом.21'!G354</f>
        <v>106</v>
      </c>
      <c r="H623" s="204"/>
    </row>
    <row r="624" spans="1:10" s="203" customFormat="1" ht="58.7" customHeight="1" x14ac:dyDescent="0.25">
      <c r="A624" s="45" t="s">
        <v>261</v>
      </c>
      <c r="B624" s="462" t="s">
        <v>1216</v>
      </c>
      <c r="C624" s="469" t="s">
        <v>264</v>
      </c>
      <c r="D624" s="469" t="s">
        <v>215</v>
      </c>
      <c r="E624" s="462" t="s">
        <v>209</v>
      </c>
      <c r="F624" s="2">
        <v>903</v>
      </c>
      <c r="G624" s="10">
        <f>G623</f>
        <v>106</v>
      </c>
      <c r="H624" s="204"/>
    </row>
    <row r="625" spans="1:8" s="203" customFormat="1" ht="69.75" customHeight="1" x14ac:dyDescent="0.25">
      <c r="A625" s="31" t="s">
        <v>291</v>
      </c>
      <c r="B625" s="462" t="s">
        <v>1217</v>
      </c>
      <c r="C625" s="469" t="s">
        <v>264</v>
      </c>
      <c r="D625" s="469" t="s">
        <v>215</v>
      </c>
      <c r="E625" s="462"/>
      <c r="F625" s="2"/>
      <c r="G625" s="10">
        <f>G626</f>
        <v>298.40000000000003</v>
      </c>
      <c r="H625" s="204"/>
    </row>
    <row r="626" spans="1:8" s="203" customFormat="1" ht="86.25" customHeight="1" x14ac:dyDescent="0.25">
      <c r="A626" s="466" t="s">
        <v>127</v>
      </c>
      <c r="B626" s="462" t="s">
        <v>1217</v>
      </c>
      <c r="C626" s="469" t="s">
        <v>264</v>
      </c>
      <c r="D626" s="469" t="s">
        <v>215</v>
      </c>
      <c r="E626" s="462" t="s">
        <v>128</v>
      </c>
      <c r="F626" s="2"/>
      <c r="G626" s="10">
        <f>G627</f>
        <v>298.40000000000003</v>
      </c>
      <c r="H626" s="204"/>
    </row>
    <row r="627" spans="1:8" s="203" customFormat="1" ht="23.25" customHeight="1" x14ac:dyDescent="0.25">
      <c r="A627" s="46" t="s">
        <v>342</v>
      </c>
      <c r="B627" s="462" t="s">
        <v>1217</v>
      </c>
      <c r="C627" s="469" t="s">
        <v>264</v>
      </c>
      <c r="D627" s="469" t="s">
        <v>215</v>
      </c>
      <c r="E627" s="462" t="s">
        <v>209</v>
      </c>
      <c r="F627" s="2"/>
      <c r="G627" s="10">
        <f>'Пр.4 ведом.21'!G357</f>
        <v>298.40000000000003</v>
      </c>
      <c r="H627" s="204"/>
    </row>
    <row r="628" spans="1:8" s="203" customFormat="1" ht="55.5" customHeight="1" x14ac:dyDescent="0.25">
      <c r="A628" s="45" t="s">
        <v>261</v>
      </c>
      <c r="B628" s="462" t="s">
        <v>1217</v>
      </c>
      <c r="C628" s="469" t="s">
        <v>264</v>
      </c>
      <c r="D628" s="469" t="s">
        <v>215</v>
      </c>
      <c r="E628" s="462" t="s">
        <v>209</v>
      </c>
      <c r="F628" s="2">
        <v>903</v>
      </c>
      <c r="G628" s="10">
        <f>G627</f>
        <v>298.40000000000003</v>
      </c>
      <c r="H628" s="204"/>
    </row>
    <row r="629" spans="1:8" s="203" customFormat="1" ht="17.45" customHeight="1" x14ac:dyDescent="0.25">
      <c r="A629" s="73" t="s">
        <v>298</v>
      </c>
      <c r="B629" s="462" t="s">
        <v>1215</v>
      </c>
      <c r="C629" s="469" t="s">
        <v>299</v>
      </c>
      <c r="D629" s="73"/>
      <c r="E629" s="73"/>
      <c r="F629" s="2"/>
      <c r="G629" s="10">
        <f>G630</f>
        <v>2442</v>
      </c>
      <c r="H629" s="204"/>
    </row>
    <row r="630" spans="1:8" s="203" customFormat="1" ht="18" customHeight="1" x14ac:dyDescent="0.25">
      <c r="A630" s="73" t="s">
        <v>300</v>
      </c>
      <c r="B630" s="462" t="s">
        <v>1215</v>
      </c>
      <c r="C630" s="469" t="s">
        <v>299</v>
      </c>
      <c r="D630" s="469" t="s">
        <v>118</v>
      </c>
      <c r="E630" s="73"/>
      <c r="F630" s="2"/>
      <c r="G630" s="10">
        <f>G631+G635</f>
        <v>2442</v>
      </c>
      <c r="H630" s="204"/>
    </row>
    <row r="631" spans="1:8" s="203" customFormat="1" ht="103.9" customHeight="1" x14ac:dyDescent="0.25">
      <c r="A631" s="31" t="s">
        <v>293</v>
      </c>
      <c r="B631" s="462" t="s">
        <v>1414</v>
      </c>
      <c r="C631" s="469" t="s">
        <v>299</v>
      </c>
      <c r="D631" s="469" t="s">
        <v>118</v>
      </c>
      <c r="E631" s="469"/>
      <c r="F631" s="2"/>
      <c r="G631" s="10">
        <f>G632</f>
        <v>2100.6</v>
      </c>
      <c r="H631" s="204"/>
    </row>
    <row r="632" spans="1:8" s="203" customFormat="1" ht="79.5" customHeight="1" x14ac:dyDescent="0.25">
      <c r="A632" s="466" t="s">
        <v>127</v>
      </c>
      <c r="B632" s="462" t="s">
        <v>1414</v>
      </c>
      <c r="C632" s="469" t="s">
        <v>299</v>
      </c>
      <c r="D632" s="469" t="s">
        <v>118</v>
      </c>
      <c r="E632" s="469" t="s">
        <v>128</v>
      </c>
      <c r="F632" s="2"/>
      <c r="G632" s="10">
        <f>G633</f>
        <v>2100.6</v>
      </c>
      <c r="H632" s="204"/>
    </row>
    <row r="633" spans="1:8" s="203" customFormat="1" ht="19.149999999999999" customHeight="1" x14ac:dyDescent="0.25">
      <c r="A633" s="466" t="s">
        <v>208</v>
      </c>
      <c r="B633" s="462" t="s">
        <v>1414</v>
      </c>
      <c r="C633" s="469" t="s">
        <v>299</v>
      </c>
      <c r="D633" s="469" t="s">
        <v>118</v>
      </c>
      <c r="E633" s="469" t="s">
        <v>209</v>
      </c>
      <c r="F633" s="2"/>
      <c r="G633" s="10">
        <f>'Пр.3 Рд,пр, ЦС,ВР 21'!F882</f>
        <v>2100.6</v>
      </c>
      <c r="H633" s="204"/>
    </row>
    <row r="634" spans="1:8" s="203" customFormat="1" ht="44.1" customHeight="1" x14ac:dyDescent="0.25">
      <c r="A634" s="45" t="s">
        <v>261</v>
      </c>
      <c r="B634" s="462" t="s">
        <v>1414</v>
      </c>
      <c r="C634" s="469" t="s">
        <v>299</v>
      </c>
      <c r="D634" s="469" t="s">
        <v>118</v>
      </c>
      <c r="E634" s="469" t="s">
        <v>209</v>
      </c>
      <c r="F634" s="2">
        <v>903</v>
      </c>
      <c r="G634" s="10">
        <f>G633</f>
        <v>2100.6</v>
      </c>
      <c r="H634" s="204"/>
    </row>
    <row r="635" spans="1:8" s="203" customFormat="1" ht="70.5" customHeight="1" x14ac:dyDescent="0.25">
      <c r="A635" s="466" t="s">
        <v>331</v>
      </c>
      <c r="B635" s="462" t="s">
        <v>1296</v>
      </c>
      <c r="C635" s="462" t="s">
        <v>299</v>
      </c>
      <c r="D635" s="462" t="s">
        <v>118</v>
      </c>
      <c r="E635" s="462"/>
      <c r="F635" s="462"/>
      <c r="G635" s="10">
        <f>G636</f>
        <v>341.4</v>
      </c>
      <c r="H635" s="204"/>
    </row>
    <row r="636" spans="1:8" s="203" customFormat="1" ht="82.5" customHeight="1" x14ac:dyDescent="0.25">
      <c r="A636" s="466" t="s">
        <v>127</v>
      </c>
      <c r="B636" s="462" t="s">
        <v>1296</v>
      </c>
      <c r="C636" s="462" t="s">
        <v>299</v>
      </c>
      <c r="D636" s="462" t="s">
        <v>118</v>
      </c>
      <c r="E636" s="462" t="s">
        <v>128</v>
      </c>
      <c r="F636" s="462"/>
      <c r="G636" s="10">
        <f>G637</f>
        <v>341.4</v>
      </c>
      <c r="H636" s="204"/>
    </row>
    <row r="637" spans="1:8" s="203" customFormat="1" ht="21.75" customHeight="1" x14ac:dyDescent="0.25">
      <c r="A637" s="466" t="s">
        <v>208</v>
      </c>
      <c r="B637" s="462" t="s">
        <v>1296</v>
      </c>
      <c r="C637" s="462" t="s">
        <v>299</v>
      </c>
      <c r="D637" s="462" t="s">
        <v>118</v>
      </c>
      <c r="E637" s="462" t="s">
        <v>209</v>
      </c>
      <c r="F637" s="462"/>
      <c r="G637" s="10">
        <f>'Пр.4 ведом.21'!G426</f>
        <v>341.4</v>
      </c>
      <c r="H637" s="204"/>
    </row>
    <row r="638" spans="1:8" s="203" customFormat="1" ht="51" customHeight="1" x14ac:dyDescent="0.25">
      <c r="A638" s="45" t="s">
        <v>261</v>
      </c>
      <c r="B638" s="462" t="s">
        <v>1296</v>
      </c>
      <c r="C638" s="462" t="s">
        <v>299</v>
      </c>
      <c r="D638" s="462" t="s">
        <v>118</v>
      </c>
      <c r="E638" s="462" t="s">
        <v>209</v>
      </c>
      <c r="F638" s="462" t="s">
        <v>627</v>
      </c>
      <c r="G638" s="10">
        <f>G637</f>
        <v>341.4</v>
      </c>
      <c r="H638" s="204"/>
    </row>
    <row r="639" spans="1:8" s="203" customFormat="1" ht="36" customHeight="1" x14ac:dyDescent="0.25">
      <c r="A639" s="464" t="s">
        <v>902</v>
      </c>
      <c r="B639" s="465" t="s">
        <v>1220</v>
      </c>
      <c r="C639" s="469"/>
      <c r="D639" s="469"/>
      <c r="E639" s="469"/>
      <c r="F639" s="2"/>
      <c r="G639" s="59">
        <f>G640</f>
        <v>50</v>
      </c>
      <c r="H639" s="204"/>
    </row>
    <row r="640" spans="1:8" s="203" customFormat="1" ht="20.100000000000001" customHeight="1" x14ac:dyDescent="0.25">
      <c r="A640" s="73" t="s">
        <v>298</v>
      </c>
      <c r="B640" s="462" t="s">
        <v>1220</v>
      </c>
      <c r="C640" s="469" t="s">
        <v>299</v>
      </c>
      <c r="D640" s="469"/>
      <c r="E640" s="469"/>
      <c r="F640" s="2"/>
      <c r="G640" s="10">
        <f>G641</f>
        <v>50</v>
      </c>
      <c r="H640" s="204"/>
    </row>
    <row r="641" spans="1:8" s="203" customFormat="1" ht="20.100000000000001" customHeight="1" x14ac:dyDescent="0.25">
      <c r="A641" s="73" t="s">
        <v>300</v>
      </c>
      <c r="B641" s="462" t="s">
        <v>1220</v>
      </c>
      <c r="C641" s="469" t="s">
        <v>299</v>
      </c>
      <c r="D641" s="469" t="s">
        <v>118</v>
      </c>
      <c r="E641" s="469"/>
      <c r="F641" s="2"/>
      <c r="G641" s="10">
        <f>G642</f>
        <v>50</v>
      </c>
      <c r="H641" s="204"/>
    </row>
    <row r="642" spans="1:8" s="203" customFormat="1" ht="35.450000000000003" customHeight="1" x14ac:dyDescent="0.25">
      <c r="A642" s="466" t="s">
        <v>821</v>
      </c>
      <c r="B642" s="462" t="s">
        <v>1221</v>
      </c>
      <c r="C642" s="469" t="s">
        <v>299</v>
      </c>
      <c r="D642" s="469" t="s">
        <v>118</v>
      </c>
      <c r="E642" s="469"/>
      <c r="F642" s="2"/>
      <c r="G642" s="10">
        <f>G643</f>
        <v>50</v>
      </c>
      <c r="H642" s="204"/>
    </row>
    <row r="643" spans="1:8" s="203" customFormat="1" ht="36.75" customHeight="1" x14ac:dyDescent="0.25">
      <c r="A643" s="466" t="s">
        <v>131</v>
      </c>
      <c r="B643" s="462" t="s">
        <v>1221</v>
      </c>
      <c r="C643" s="469" t="s">
        <v>299</v>
      </c>
      <c r="D643" s="469" t="s">
        <v>118</v>
      </c>
      <c r="E643" s="469" t="s">
        <v>132</v>
      </c>
      <c r="F643" s="2"/>
      <c r="G643" s="10">
        <f>G644</f>
        <v>50</v>
      </c>
      <c r="H643" s="204"/>
    </row>
    <row r="644" spans="1:8" s="203" customFormat="1" ht="33" customHeight="1" x14ac:dyDescent="0.25">
      <c r="A644" s="466" t="s">
        <v>133</v>
      </c>
      <c r="B644" s="462" t="s">
        <v>1221</v>
      </c>
      <c r="C644" s="469" t="s">
        <v>299</v>
      </c>
      <c r="D644" s="469" t="s">
        <v>118</v>
      </c>
      <c r="E644" s="469" t="s">
        <v>134</v>
      </c>
      <c r="F644" s="2"/>
      <c r="G644" s="10">
        <f>'Пр.4 ведом.21'!G430</f>
        <v>50</v>
      </c>
      <c r="H644" s="204"/>
    </row>
    <row r="645" spans="1:8" s="203" customFormat="1" ht="51" customHeight="1" x14ac:dyDescent="0.25">
      <c r="A645" s="45" t="s">
        <v>261</v>
      </c>
      <c r="B645" s="462" t="s">
        <v>1221</v>
      </c>
      <c r="C645" s="469" t="s">
        <v>299</v>
      </c>
      <c r="D645" s="469" t="s">
        <v>118</v>
      </c>
      <c r="E645" s="469" t="s">
        <v>134</v>
      </c>
      <c r="F645" s="2">
        <v>903</v>
      </c>
      <c r="G645" s="10">
        <f>G644</f>
        <v>50</v>
      </c>
      <c r="H645" s="204"/>
    </row>
    <row r="646" spans="1:8" s="203" customFormat="1" ht="39.200000000000003" customHeight="1" x14ac:dyDescent="0.25">
      <c r="A646" s="464" t="s">
        <v>1010</v>
      </c>
      <c r="B646" s="465" t="s">
        <v>1222</v>
      </c>
      <c r="C646" s="7"/>
      <c r="D646" s="7"/>
      <c r="E646" s="7"/>
      <c r="F646" s="3"/>
      <c r="G646" s="59">
        <f>G647</f>
        <v>68.7</v>
      </c>
      <c r="H646" s="204"/>
    </row>
    <row r="647" spans="1:8" s="203" customFormat="1" ht="20.100000000000001" customHeight="1" x14ac:dyDescent="0.25">
      <c r="A647" s="68" t="s">
        <v>298</v>
      </c>
      <c r="B647" s="462" t="s">
        <v>1222</v>
      </c>
      <c r="C647" s="469" t="s">
        <v>299</v>
      </c>
      <c r="D647" s="469"/>
      <c r="E647" s="469"/>
      <c r="F647" s="74"/>
      <c r="G647" s="10">
        <f t="shared" ref="G647" si="49">G648</f>
        <v>68.7</v>
      </c>
      <c r="H647" s="204"/>
    </row>
    <row r="648" spans="1:8" s="203" customFormat="1" ht="20.100000000000001" customHeight="1" x14ac:dyDescent="0.25">
      <c r="A648" s="68" t="s">
        <v>300</v>
      </c>
      <c r="B648" s="462" t="s">
        <v>1222</v>
      </c>
      <c r="C648" s="469" t="s">
        <v>299</v>
      </c>
      <c r="D648" s="469" t="s">
        <v>118</v>
      </c>
      <c r="E648" s="469"/>
      <c r="F648" s="74"/>
      <c r="G648" s="10">
        <f>G649</f>
        <v>68.7</v>
      </c>
      <c r="H648" s="204"/>
    </row>
    <row r="649" spans="1:8" s="203" customFormat="1" ht="31.5" x14ac:dyDescent="0.25">
      <c r="A649" s="466" t="s">
        <v>1497</v>
      </c>
      <c r="B649" s="462" t="s">
        <v>1223</v>
      </c>
      <c r="C649" s="469" t="s">
        <v>299</v>
      </c>
      <c r="D649" s="469" t="s">
        <v>118</v>
      </c>
      <c r="E649" s="469"/>
      <c r="F649" s="2"/>
      <c r="G649" s="10">
        <f>G650</f>
        <v>68.7</v>
      </c>
      <c r="H649" s="204"/>
    </row>
    <row r="650" spans="1:8" s="203" customFormat="1" ht="39.200000000000003" customHeight="1" x14ac:dyDescent="0.25">
      <c r="A650" s="466" t="s">
        <v>131</v>
      </c>
      <c r="B650" s="462" t="s">
        <v>1223</v>
      </c>
      <c r="C650" s="469" t="s">
        <v>299</v>
      </c>
      <c r="D650" s="469" t="s">
        <v>118</v>
      </c>
      <c r="E650" s="469" t="s">
        <v>132</v>
      </c>
      <c r="F650" s="2"/>
      <c r="G650" s="10">
        <f>G651</f>
        <v>68.7</v>
      </c>
      <c r="H650" s="204"/>
    </row>
    <row r="651" spans="1:8" s="203" customFormat="1" ht="36.75" customHeight="1" x14ac:dyDescent="0.25">
      <c r="A651" s="466" t="s">
        <v>133</v>
      </c>
      <c r="B651" s="462" t="s">
        <v>1223</v>
      </c>
      <c r="C651" s="469" t="s">
        <v>299</v>
      </c>
      <c r="D651" s="469" t="s">
        <v>118</v>
      </c>
      <c r="E651" s="469" t="s">
        <v>134</v>
      </c>
      <c r="F651" s="2"/>
      <c r="G651" s="10">
        <f>'Пр.4 ведом.21'!G434</f>
        <v>68.7</v>
      </c>
      <c r="H651" s="204"/>
    </row>
    <row r="652" spans="1:8" s="203" customFormat="1" ht="54.75" customHeight="1" x14ac:dyDescent="0.25">
      <c r="A652" s="45" t="s">
        <v>261</v>
      </c>
      <c r="B652" s="462" t="s">
        <v>1223</v>
      </c>
      <c r="C652" s="469" t="s">
        <v>299</v>
      </c>
      <c r="D652" s="469" t="s">
        <v>118</v>
      </c>
      <c r="E652" s="469" t="s">
        <v>134</v>
      </c>
      <c r="F652" s="2">
        <v>903</v>
      </c>
      <c r="G652" s="10">
        <f>G651</f>
        <v>68.7</v>
      </c>
      <c r="H652" s="204"/>
    </row>
    <row r="653" spans="1:8" s="457" customFormat="1" ht="31.5" hidden="1" x14ac:dyDescent="0.25">
      <c r="A653" s="34" t="s">
        <v>1668</v>
      </c>
      <c r="B653" s="465" t="s">
        <v>1670</v>
      </c>
      <c r="C653" s="469"/>
      <c r="D653" s="469"/>
      <c r="E653" s="469"/>
      <c r="F653" s="2"/>
      <c r="G653" s="59">
        <f>G654</f>
        <v>0</v>
      </c>
      <c r="H653" s="204"/>
    </row>
    <row r="654" spans="1:8" s="457" customFormat="1" ht="15.75" hidden="1" x14ac:dyDescent="0.25">
      <c r="A654" s="68" t="s">
        <v>298</v>
      </c>
      <c r="B654" s="462" t="s">
        <v>1670</v>
      </c>
      <c r="C654" s="469" t="s">
        <v>299</v>
      </c>
      <c r="D654" s="469"/>
      <c r="E654" s="469"/>
      <c r="F654" s="2"/>
      <c r="G654" s="10">
        <f>G655</f>
        <v>0</v>
      </c>
      <c r="H654" s="204"/>
    </row>
    <row r="655" spans="1:8" s="457" customFormat="1" ht="15.75" hidden="1" x14ac:dyDescent="0.25">
      <c r="A655" s="68" t="s">
        <v>300</v>
      </c>
      <c r="B655" s="462" t="s">
        <v>1670</v>
      </c>
      <c r="C655" s="469" t="s">
        <v>299</v>
      </c>
      <c r="D655" s="469" t="s">
        <v>118</v>
      </c>
      <c r="E655" s="469"/>
      <c r="F655" s="2"/>
      <c r="G655" s="10">
        <f>G656</f>
        <v>0</v>
      </c>
      <c r="H655" s="204"/>
    </row>
    <row r="656" spans="1:8" s="457" customFormat="1" ht="63" hidden="1" x14ac:dyDescent="0.25">
      <c r="A656" s="31" t="s">
        <v>1669</v>
      </c>
      <c r="B656" s="462" t="s">
        <v>1671</v>
      </c>
      <c r="C656" s="469" t="s">
        <v>299</v>
      </c>
      <c r="D656" s="469" t="s">
        <v>118</v>
      </c>
      <c r="E656" s="469"/>
      <c r="F656" s="2"/>
      <c r="G656" s="10">
        <f>G657</f>
        <v>0</v>
      </c>
      <c r="H656" s="204"/>
    </row>
    <row r="657" spans="1:8" s="457" customFormat="1" ht="31.5" hidden="1" x14ac:dyDescent="0.25">
      <c r="A657" s="466" t="s">
        <v>131</v>
      </c>
      <c r="B657" s="462" t="s">
        <v>1671</v>
      </c>
      <c r="C657" s="469" t="s">
        <v>299</v>
      </c>
      <c r="D657" s="469" t="s">
        <v>118</v>
      </c>
      <c r="E657" s="469" t="s">
        <v>132</v>
      </c>
      <c r="F657" s="2"/>
      <c r="G657" s="10">
        <f>G658</f>
        <v>0</v>
      </c>
      <c r="H657" s="204"/>
    </row>
    <row r="658" spans="1:8" s="457" customFormat="1" ht="31.5" hidden="1" x14ac:dyDescent="0.25">
      <c r="A658" s="466" t="s">
        <v>133</v>
      </c>
      <c r="B658" s="462" t="s">
        <v>1671</v>
      </c>
      <c r="C658" s="469" t="s">
        <v>299</v>
      </c>
      <c r="D658" s="469" t="s">
        <v>118</v>
      </c>
      <c r="E658" s="469" t="s">
        <v>134</v>
      </c>
      <c r="F658" s="2"/>
      <c r="G658" s="10">
        <f>'Пр.4 ведом.21'!G438</f>
        <v>0</v>
      </c>
      <c r="H658" s="204"/>
    </row>
    <row r="659" spans="1:8" s="457" customFormat="1" ht="31.5" hidden="1" x14ac:dyDescent="0.25">
      <c r="A659" s="466" t="s">
        <v>133</v>
      </c>
      <c r="B659" s="462" t="s">
        <v>1671</v>
      </c>
      <c r="C659" s="469" t="s">
        <v>299</v>
      </c>
      <c r="D659" s="469" t="s">
        <v>118</v>
      </c>
      <c r="E659" s="469" t="s">
        <v>134</v>
      </c>
      <c r="F659" s="2">
        <v>903</v>
      </c>
      <c r="G659" s="10">
        <f>G658</f>
        <v>0</v>
      </c>
      <c r="H659" s="204"/>
    </row>
    <row r="660" spans="1:8" s="203" customFormat="1" ht="33.75" hidden="1" customHeight="1" x14ac:dyDescent="0.25">
      <c r="A660" s="210" t="s">
        <v>1184</v>
      </c>
      <c r="B660" s="465" t="s">
        <v>1218</v>
      </c>
      <c r="C660" s="465"/>
      <c r="D660" s="465"/>
      <c r="E660" s="469"/>
      <c r="F660" s="2"/>
      <c r="G660" s="59">
        <f>G663</f>
        <v>0</v>
      </c>
      <c r="H660" s="204"/>
    </row>
    <row r="661" spans="1:8" s="203" customFormat="1" ht="19.5" hidden="1" customHeight="1" x14ac:dyDescent="0.25">
      <c r="A661" s="68" t="s">
        <v>298</v>
      </c>
      <c r="B661" s="462" t="s">
        <v>1218</v>
      </c>
      <c r="C661" s="462" t="s">
        <v>299</v>
      </c>
      <c r="D661" s="462"/>
      <c r="E661" s="469"/>
      <c r="F661" s="2"/>
      <c r="G661" s="10">
        <f>G662</f>
        <v>0</v>
      </c>
      <c r="H661" s="204"/>
    </row>
    <row r="662" spans="1:8" s="203" customFormat="1" ht="18" hidden="1" customHeight="1" x14ac:dyDescent="0.25">
      <c r="A662" s="68" t="s">
        <v>300</v>
      </c>
      <c r="B662" s="462" t="s">
        <v>1218</v>
      </c>
      <c r="C662" s="462" t="s">
        <v>299</v>
      </c>
      <c r="D662" s="462" t="s">
        <v>118</v>
      </c>
      <c r="E662" s="469"/>
      <c r="F662" s="2"/>
      <c r="G662" s="10">
        <f>G663</f>
        <v>0</v>
      </c>
      <c r="H662" s="204"/>
    </row>
    <row r="663" spans="1:8" s="203" customFormat="1" ht="18" hidden="1" customHeight="1" x14ac:dyDescent="0.25">
      <c r="A663" s="98" t="s">
        <v>1191</v>
      </c>
      <c r="B663" s="462" t="s">
        <v>1219</v>
      </c>
      <c r="C663" s="462" t="s">
        <v>299</v>
      </c>
      <c r="D663" s="462" t="s">
        <v>118</v>
      </c>
      <c r="E663" s="469"/>
      <c r="F663" s="2"/>
      <c r="G663" s="10">
        <f>G664</f>
        <v>0</v>
      </c>
      <c r="H663" s="204"/>
    </row>
    <row r="664" spans="1:8" s="203" customFormat="1" ht="35.450000000000003" hidden="1" customHeight="1" x14ac:dyDescent="0.25">
      <c r="A664" s="466" t="s">
        <v>131</v>
      </c>
      <c r="B664" s="462" t="s">
        <v>1219</v>
      </c>
      <c r="C664" s="462" t="s">
        <v>299</v>
      </c>
      <c r="D664" s="462" t="s">
        <v>118</v>
      </c>
      <c r="E664" s="469" t="s">
        <v>132</v>
      </c>
      <c r="F664" s="2"/>
      <c r="G664" s="10">
        <f>G665</f>
        <v>0</v>
      </c>
      <c r="H664" s="204"/>
    </row>
    <row r="665" spans="1:8" s="203" customFormat="1" ht="36" hidden="1" customHeight="1" x14ac:dyDescent="0.25">
      <c r="A665" s="466" t="s">
        <v>133</v>
      </c>
      <c r="B665" s="462" t="s">
        <v>1219</v>
      </c>
      <c r="C665" s="462" t="s">
        <v>299</v>
      </c>
      <c r="D665" s="462" t="s">
        <v>118</v>
      </c>
      <c r="E665" s="469" t="s">
        <v>134</v>
      </c>
      <c r="F665" s="2"/>
      <c r="G665" s="10">
        <f>'Пр.4 ведом.21'!G442</f>
        <v>0</v>
      </c>
      <c r="H665" s="204"/>
    </row>
    <row r="666" spans="1:8" s="203" customFormat="1" ht="50.25" hidden="1" customHeight="1" x14ac:dyDescent="0.25">
      <c r="A666" s="45" t="s">
        <v>261</v>
      </c>
      <c r="B666" s="462" t="s">
        <v>1219</v>
      </c>
      <c r="C666" s="462" t="s">
        <v>299</v>
      </c>
      <c r="D666" s="462" t="s">
        <v>118</v>
      </c>
      <c r="E666" s="469" t="s">
        <v>134</v>
      </c>
      <c r="F666" s="2">
        <v>903</v>
      </c>
      <c r="G666" s="10">
        <f>G660</f>
        <v>0</v>
      </c>
      <c r="H666" s="204"/>
    </row>
    <row r="667" spans="1:8" s="203" customFormat="1" ht="31.5" x14ac:dyDescent="0.25">
      <c r="A667" s="346" t="s">
        <v>1184</v>
      </c>
      <c r="B667" s="465" t="s">
        <v>1218</v>
      </c>
      <c r="C667" s="462"/>
      <c r="D667" s="462"/>
      <c r="E667" s="469"/>
      <c r="F667" s="2"/>
      <c r="G667" s="59">
        <f>G668</f>
        <v>10000</v>
      </c>
      <c r="H667" s="204"/>
    </row>
    <row r="668" spans="1:8" s="203" customFormat="1" ht="18.75" customHeight="1" x14ac:dyDescent="0.25">
      <c r="A668" s="68" t="s">
        <v>298</v>
      </c>
      <c r="B668" s="462" t="s">
        <v>1317</v>
      </c>
      <c r="C668" s="462" t="s">
        <v>299</v>
      </c>
      <c r="D668" s="462"/>
      <c r="E668" s="469"/>
      <c r="F668" s="2"/>
      <c r="G668" s="10">
        <f>G669</f>
        <v>10000</v>
      </c>
      <c r="H668" s="204"/>
    </row>
    <row r="669" spans="1:8" s="203" customFormat="1" ht="14.25" customHeight="1" x14ac:dyDescent="0.25">
      <c r="A669" s="68" t="s">
        <v>300</v>
      </c>
      <c r="B669" s="462" t="s">
        <v>1317</v>
      </c>
      <c r="C669" s="462" t="s">
        <v>299</v>
      </c>
      <c r="D669" s="462" t="s">
        <v>118</v>
      </c>
      <c r="E669" s="469"/>
      <c r="F669" s="2"/>
      <c r="G669" s="10">
        <f>G670</f>
        <v>10000</v>
      </c>
      <c r="H669" s="204"/>
    </row>
    <row r="670" spans="1:8" s="203" customFormat="1" ht="51" customHeight="1" x14ac:dyDescent="0.25">
      <c r="A670" s="584" t="s">
        <v>1761</v>
      </c>
      <c r="B670" s="462" t="s">
        <v>1760</v>
      </c>
      <c r="C670" s="462" t="s">
        <v>299</v>
      </c>
      <c r="D670" s="462" t="s">
        <v>118</v>
      </c>
      <c r="E670" s="469"/>
      <c r="F670" s="2"/>
      <c r="G670" s="10">
        <f>G671</f>
        <v>10000</v>
      </c>
      <c r="H670" s="204"/>
    </row>
    <row r="671" spans="1:8" s="203" customFormat="1" ht="36.75" customHeight="1" x14ac:dyDescent="0.25">
      <c r="A671" s="466" t="s">
        <v>131</v>
      </c>
      <c r="B671" s="462" t="s">
        <v>1760</v>
      </c>
      <c r="C671" s="462" t="s">
        <v>299</v>
      </c>
      <c r="D671" s="462" t="s">
        <v>118</v>
      </c>
      <c r="E671" s="469" t="s">
        <v>132</v>
      </c>
      <c r="F671" s="2"/>
      <c r="G671" s="10">
        <f>G672</f>
        <v>10000</v>
      </c>
      <c r="H671" s="204"/>
    </row>
    <row r="672" spans="1:8" s="203" customFormat="1" ht="33.75" customHeight="1" x14ac:dyDescent="0.25">
      <c r="A672" s="466" t="s">
        <v>133</v>
      </c>
      <c r="B672" s="462" t="s">
        <v>1760</v>
      </c>
      <c r="C672" s="462" t="s">
        <v>299</v>
      </c>
      <c r="D672" s="462" t="s">
        <v>118</v>
      </c>
      <c r="E672" s="469" t="s">
        <v>134</v>
      </c>
      <c r="F672" s="2"/>
      <c r="G672" s="10">
        <f>'Пр.4 ведом.21'!G446</f>
        <v>10000</v>
      </c>
      <c r="H672" s="204"/>
    </row>
    <row r="673" spans="1:8" s="203" customFormat="1" ht="43.5" customHeight="1" x14ac:dyDescent="0.25">
      <c r="A673" s="45" t="s">
        <v>261</v>
      </c>
      <c r="B673" s="462" t="s">
        <v>1760</v>
      </c>
      <c r="C673" s="462" t="s">
        <v>299</v>
      </c>
      <c r="D673" s="462" t="s">
        <v>118</v>
      </c>
      <c r="E673" s="469" t="s">
        <v>134</v>
      </c>
      <c r="F673" s="2">
        <v>903</v>
      </c>
      <c r="G673" s="10">
        <f>G672</f>
        <v>10000</v>
      </c>
      <c r="H673" s="204"/>
    </row>
    <row r="674" spans="1:8" s="1" customFormat="1" ht="51" customHeight="1" x14ac:dyDescent="0.25">
      <c r="A674" s="470" t="s">
        <v>1368</v>
      </c>
      <c r="B674" s="7" t="s">
        <v>324</v>
      </c>
      <c r="C674" s="72"/>
      <c r="D674" s="72"/>
      <c r="E674" s="72"/>
      <c r="F674" s="72"/>
      <c r="G674" s="59">
        <f>G675</f>
        <v>108.5</v>
      </c>
      <c r="H674" s="204"/>
    </row>
    <row r="675" spans="1:8" s="204" customFormat="1" ht="64.5" customHeight="1" x14ac:dyDescent="0.25">
      <c r="A675" s="34" t="s">
        <v>1025</v>
      </c>
      <c r="B675" s="7" t="s">
        <v>934</v>
      </c>
      <c r="C675" s="7"/>
      <c r="D675" s="7"/>
      <c r="E675" s="72"/>
      <c r="F675" s="72"/>
      <c r="G675" s="59">
        <f>G676+G682+G693+G699</f>
        <v>108.5</v>
      </c>
    </row>
    <row r="676" spans="1:8" s="204" customFormat="1" ht="18.75" hidden="1" customHeight="1" x14ac:dyDescent="0.25">
      <c r="A676" s="31" t="s">
        <v>390</v>
      </c>
      <c r="B676" s="469" t="s">
        <v>934</v>
      </c>
      <c r="C676" s="469" t="s">
        <v>234</v>
      </c>
      <c r="D676" s="469"/>
      <c r="E676" s="72"/>
      <c r="F676" s="72"/>
      <c r="G676" s="10">
        <f>G677</f>
        <v>0</v>
      </c>
    </row>
    <row r="677" spans="1:8" s="204" customFormat="1" ht="37.5" hidden="1" customHeight="1" x14ac:dyDescent="0.25">
      <c r="A677" s="31" t="s">
        <v>569</v>
      </c>
      <c r="B677" s="469" t="s">
        <v>934</v>
      </c>
      <c r="C677" s="469" t="s">
        <v>234</v>
      </c>
      <c r="D677" s="469" t="s">
        <v>234</v>
      </c>
      <c r="E677" s="72"/>
      <c r="F677" s="72"/>
      <c r="G677" s="10">
        <f>G678</f>
        <v>0</v>
      </c>
    </row>
    <row r="678" spans="1:8" s="204" customFormat="1" ht="51.75" hidden="1" customHeight="1" x14ac:dyDescent="0.25">
      <c r="A678" s="31" t="s">
        <v>1083</v>
      </c>
      <c r="B678" s="462" t="s">
        <v>1026</v>
      </c>
      <c r="C678" s="469" t="s">
        <v>234</v>
      </c>
      <c r="D678" s="469" t="s">
        <v>234</v>
      </c>
      <c r="E678" s="72"/>
      <c r="F678" s="72"/>
      <c r="G678" s="10">
        <f>G679</f>
        <v>0</v>
      </c>
    </row>
    <row r="679" spans="1:8" s="204" customFormat="1" ht="35.450000000000003" hidden="1" customHeight="1" x14ac:dyDescent="0.25">
      <c r="A679" s="466" t="s">
        <v>131</v>
      </c>
      <c r="B679" s="462" t="s">
        <v>1026</v>
      </c>
      <c r="C679" s="469" t="s">
        <v>234</v>
      </c>
      <c r="D679" s="469" t="s">
        <v>234</v>
      </c>
      <c r="E679" s="2">
        <v>200</v>
      </c>
      <c r="F679" s="72"/>
      <c r="G679" s="10">
        <f>G680</f>
        <v>0</v>
      </c>
    </row>
    <row r="680" spans="1:8" s="204" customFormat="1" ht="34.5" hidden="1" customHeight="1" x14ac:dyDescent="0.25">
      <c r="A680" s="466" t="s">
        <v>133</v>
      </c>
      <c r="B680" s="462" t="s">
        <v>1026</v>
      </c>
      <c r="C680" s="469" t="s">
        <v>234</v>
      </c>
      <c r="D680" s="469" t="s">
        <v>234</v>
      </c>
      <c r="E680" s="2">
        <v>240</v>
      </c>
      <c r="F680" s="72"/>
      <c r="G680" s="10">
        <f>G681</f>
        <v>0</v>
      </c>
    </row>
    <row r="681" spans="1:8" s="204" customFormat="1" ht="37.35" hidden="1" customHeight="1" x14ac:dyDescent="0.25">
      <c r="A681" s="45" t="s">
        <v>623</v>
      </c>
      <c r="B681" s="462" t="s">
        <v>1026</v>
      </c>
      <c r="C681" s="469" t="s">
        <v>234</v>
      </c>
      <c r="D681" s="469" t="s">
        <v>234</v>
      </c>
      <c r="E681" s="2">
        <v>240</v>
      </c>
      <c r="F681" s="2">
        <v>908</v>
      </c>
      <c r="G681" s="10">
        <f>'Пр.4 ведом.21'!G1201</f>
        <v>0</v>
      </c>
    </row>
    <row r="682" spans="1:8" s="1" customFormat="1" ht="15.75" x14ac:dyDescent="0.25">
      <c r="A682" s="466" t="s">
        <v>263</v>
      </c>
      <c r="B682" s="469" t="s">
        <v>934</v>
      </c>
      <c r="C682" s="469" t="s">
        <v>264</v>
      </c>
      <c r="D682" s="73"/>
      <c r="E682" s="73"/>
      <c r="F682" s="73"/>
      <c r="G682" s="10">
        <f>G683+G688</f>
        <v>104.5</v>
      </c>
      <c r="H682" s="204"/>
    </row>
    <row r="683" spans="1:8" s="1" customFormat="1" ht="15.75" x14ac:dyDescent="0.25">
      <c r="A683" s="466" t="s">
        <v>404</v>
      </c>
      <c r="B683" s="469" t="s">
        <v>934</v>
      </c>
      <c r="C683" s="469" t="s">
        <v>264</v>
      </c>
      <c r="D683" s="469" t="s">
        <v>118</v>
      </c>
      <c r="E683" s="73"/>
      <c r="F683" s="73"/>
      <c r="G683" s="10">
        <f>G684</f>
        <v>95</v>
      </c>
      <c r="H683" s="204"/>
    </row>
    <row r="684" spans="1:8" s="1" customFormat="1" ht="47.25" x14ac:dyDescent="0.25">
      <c r="A684" s="31" t="s">
        <v>1084</v>
      </c>
      <c r="B684" s="462" t="s">
        <v>935</v>
      </c>
      <c r="C684" s="469" t="s">
        <v>264</v>
      </c>
      <c r="D684" s="469" t="s">
        <v>118</v>
      </c>
      <c r="E684" s="72"/>
      <c r="F684" s="72"/>
      <c r="G684" s="10">
        <f>G685</f>
        <v>95</v>
      </c>
      <c r="H684" s="204"/>
    </row>
    <row r="685" spans="1:8" s="1" customFormat="1" ht="31.5" x14ac:dyDescent="0.25">
      <c r="A685" s="31" t="s">
        <v>272</v>
      </c>
      <c r="B685" s="462" t="s">
        <v>935</v>
      </c>
      <c r="C685" s="469" t="s">
        <v>264</v>
      </c>
      <c r="D685" s="469" t="s">
        <v>118</v>
      </c>
      <c r="E685" s="469" t="s">
        <v>273</v>
      </c>
      <c r="F685" s="72"/>
      <c r="G685" s="10">
        <f>G686</f>
        <v>95</v>
      </c>
      <c r="H685" s="204"/>
    </row>
    <row r="686" spans="1:8" s="1" customFormat="1" ht="15.75" x14ac:dyDescent="0.25">
      <c r="A686" s="31" t="s">
        <v>274</v>
      </c>
      <c r="B686" s="462" t="s">
        <v>935</v>
      </c>
      <c r="C686" s="469" t="s">
        <v>264</v>
      </c>
      <c r="D686" s="469" t="s">
        <v>118</v>
      </c>
      <c r="E686" s="469" t="s">
        <v>275</v>
      </c>
      <c r="F686" s="72"/>
      <c r="G686" s="10">
        <f>'Пр.4 ведом.21'!G692</f>
        <v>95</v>
      </c>
      <c r="H686" s="204"/>
    </row>
    <row r="687" spans="1:8" s="204" customFormat="1" ht="31.5" x14ac:dyDescent="0.25">
      <c r="A687" s="31" t="s">
        <v>403</v>
      </c>
      <c r="B687" s="462" t="s">
        <v>935</v>
      </c>
      <c r="C687" s="469" t="s">
        <v>264</v>
      </c>
      <c r="D687" s="469" t="s">
        <v>118</v>
      </c>
      <c r="E687" s="469" t="s">
        <v>275</v>
      </c>
      <c r="F687" s="2">
        <v>906</v>
      </c>
      <c r="G687" s="10">
        <f>G686</f>
        <v>95</v>
      </c>
    </row>
    <row r="688" spans="1:8" s="1" customFormat="1" ht="15.75" x14ac:dyDescent="0.25">
      <c r="A688" s="29" t="s">
        <v>265</v>
      </c>
      <c r="B688" s="469" t="s">
        <v>934</v>
      </c>
      <c r="C688" s="469" t="s">
        <v>264</v>
      </c>
      <c r="D688" s="469" t="s">
        <v>215</v>
      </c>
      <c r="E688" s="469"/>
      <c r="F688" s="73"/>
      <c r="G688" s="10">
        <f>G689</f>
        <v>9.5</v>
      </c>
      <c r="H688" s="204"/>
    </row>
    <row r="689" spans="1:8" s="1" customFormat="1" ht="47.25" x14ac:dyDescent="0.25">
      <c r="A689" s="31" t="s">
        <v>1083</v>
      </c>
      <c r="B689" s="462" t="s">
        <v>1026</v>
      </c>
      <c r="C689" s="469" t="s">
        <v>264</v>
      </c>
      <c r="D689" s="469" t="s">
        <v>215</v>
      </c>
      <c r="E689" s="469"/>
      <c r="F689" s="72"/>
      <c r="G689" s="10">
        <f>G690</f>
        <v>9.5</v>
      </c>
      <c r="H689" s="204"/>
    </row>
    <row r="690" spans="1:8" s="1" customFormat="1" ht="31.5" x14ac:dyDescent="0.25">
      <c r="A690" s="31" t="s">
        <v>272</v>
      </c>
      <c r="B690" s="462" t="s">
        <v>1026</v>
      </c>
      <c r="C690" s="469" t="s">
        <v>264</v>
      </c>
      <c r="D690" s="469" t="s">
        <v>215</v>
      </c>
      <c r="E690" s="469" t="s">
        <v>132</v>
      </c>
      <c r="F690" s="72"/>
      <c r="G690" s="10">
        <f>G691</f>
        <v>9.5</v>
      </c>
      <c r="H690" s="204"/>
    </row>
    <row r="691" spans="1:8" s="1" customFormat="1" ht="15.75" x14ac:dyDescent="0.25">
      <c r="A691" s="31" t="s">
        <v>274</v>
      </c>
      <c r="B691" s="462" t="s">
        <v>1026</v>
      </c>
      <c r="C691" s="469" t="s">
        <v>264</v>
      </c>
      <c r="D691" s="469" t="s">
        <v>215</v>
      </c>
      <c r="E691" s="469" t="s">
        <v>134</v>
      </c>
      <c r="F691" s="72"/>
      <c r="G691" s="10">
        <f>'Пр.4 ведом.21'!G362</f>
        <v>9.5</v>
      </c>
      <c r="H691" s="204"/>
    </row>
    <row r="692" spans="1:8" s="1" customFormat="1" ht="47.25" x14ac:dyDescent="0.25">
      <c r="A692" s="45" t="s">
        <v>261</v>
      </c>
      <c r="B692" s="462" t="s">
        <v>1026</v>
      </c>
      <c r="C692" s="469" t="s">
        <v>264</v>
      </c>
      <c r="D692" s="469" t="s">
        <v>215</v>
      </c>
      <c r="E692" s="469" t="s">
        <v>134</v>
      </c>
      <c r="F692" s="2">
        <v>903</v>
      </c>
      <c r="G692" s="10">
        <f>G691</f>
        <v>9.5</v>
      </c>
      <c r="H692" s="204"/>
    </row>
    <row r="693" spans="1:8" s="204" customFormat="1" ht="15.75" x14ac:dyDescent="0.25">
      <c r="A693" s="31" t="s">
        <v>298</v>
      </c>
      <c r="B693" s="462" t="s">
        <v>934</v>
      </c>
      <c r="C693" s="469" t="s">
        <v>299</v>
      </c>
      <c r="D693" s="469"/>
      <c r="E693" s="469"/>
      <c r="F693" s="2"/>
      <c r="G693" s="10">
        <f>G694</f>
        <v>4</v>
      </c>
    </row>
    <row r="694" spans="1:8" s="204" customFormat="1" ht="15.75" x14ac:dyDescent="0.25">
      <c r="A694" s="31" t="s">
        <v>300</v>
      </c>
      <c r="B694" s="462" t="s">
        <v>934</v>
      </c>
      <c r="C694" s="469" t="s">
        <v>299</v>
      </c>
      <c r="D694" s="469" t="s">
        <v>150</v>
      </c>
      <c r="E694" s="469"/>
      <c r="F694" s="2"/>
      <c r="G694" s="10">
        <f>G695</f>
        <v>4</v>
      </c>
    </row>
    <row r="695" spans="1:8" s="204" customFormat="1" ht="47.25" x14ac:dyDescent="0.25">
      <c r="A695" s="31" t="s">
        <v>1083</v>
      </c>
      <c r="B695" s="462" t="s">
        <v>1026</v>
      </c>
      <c r="C695" s="469" t="s">
        <v>299</v>
      </c>
      <c r="D695" s="469" t="s">
        <v>150</v>
      </c>
      <c r="E695" s="469"/>
      <c r="F695" s="2"/>
      <c r="G695" s="10">
        <f>G696</f>
        <v>4</v>
      </c>
    </row>
    <row r="696" spans="1:8" s="204" customFormat="1" ht="31.5" x14ac:dyDescent="0.25">
      <c r="A696" s="466" t="s">
        <v>131</v>
      </c>
      <c r="B696" s="462" t="s">
        <v>1026</v>
      </c>
      <c r="C696" s="469" t="s">
        <v>299</v>
      </c>
      <c r="D696" s="469" t="s">
        <v>150</v>
      </c>
      <c r="E696" s="469" t="s">
        <v>132</v>
      </c>
      <c r="F696" s="2"/>
      <c r="G696" s="10">
        <f>G697</f>
        <v>4</v>
      </c>
    </row>
    <row r="697" spans="1:8" s="204" customFormat="1" ht="31.5" x14ac:dyDescent="0.25">
      <c r="A697" s="466" t="s">
        <v>133</v>
      </c>
      <c r="B697" s="462" t="s">
        <v>1026</v>
      </c>
      <c r="C697" s="469" t="s">
        <v>299</v>
      </c>
      <c r="D697" s="469" t="s">
        <v>150</v>
      </c>
      <c r="E697" s="469" t="s">
        <v>134</v>
      </c>
      <c r="F697" s="2"/>
      <c r="G697" s="10">
        <f>'Пр.4 ведом.21'!G502</f>
        <v>4</v>
      </c>
    </row>
    <row r="698" spans="1:8" s="204" customFormat="1" ht="47.25" x14ac:dyDescent="0.25">
      <c r="A698" s="45" t="s">
        <v>261</v>
      </c>
      <c r="B698" s="462" t="s">
        <v>1026</v>
      </c>
      <c r="C698" s="469" t="s">
        <v>299</v>
      </c>
      <c r="D698" s="469" t="s">
        <v>150</v>
      </c>
      <c r="E698" s="469" t="s">
        <v>134</v>
      </c>
      <c r="F698" s="2">
        <v>903</v>
      </c>
      <c r="G698" s="392">
        <f>G695</f>
        <v>4</v>
      </c>
    </row>
    <row r="699" spans="1:8" s="1" customFormat="1" ht="15.75" hidden="1" customHeight="1" x14ac:dyDescent="0.25">
      <c r="A699" s="73" t="s">
        <v>490</v>
      </c>
      <c r="B699" s="469" t="s">
        <v>934</v>
      </c>
      <c r="C699" s="469" t="s">
        <v>491</v>
      </c>
      <c r="D699" s="73"/>
      <c r="E699" s="73"/>
      <c r="F699" s="73"/>
      <c r="G699" s="10">
        <f t="shared" ref="G699" si="50">G700</f>
        <v>0</v>
      </c>
      <c r="H699" s="204"/>
    </row>
    <row r="700" spans="1:8" s="1" customFormat="1" ht="15.75" hidden="1" customHeight="1" x14ac:dyDescent="0.25">
      <c r="A700" s="73" t="s">
        <v>492</v>
      </c>
      <c r="B700" s="469" t="s">
        <v>934</v>
      </c>
      <c r="C700" s="469" t="s">
        <v>491</v>
      </c>
      <c r="D700" s="469" t="s">
        <v>118</v>
      </c>
      <c r="E700" s="73"/>
      <c r="F700" s="73"/>
      <c r="G700" s="10">
        <f t="shared" ref="G700" si="51">G701</f>
        <v>0</v>
      </c>
      <c r="H700" s="204"/>
    </row>
    <row r="701" spans="1:8" s="1" customFormat="1" ht="47.25" hidden="1" customHeight="1" x14ac:dyDescent="0.25">
      <c r="A701" s="31" t="s">
        <v>1084</v>
      </c>
      <c r="B701" s="469" t="s">
        <v>935</v>
      </c>
      <c r="C701" s="469" t="s">
        <v>491</v>
      </c>
      <c r="D701" s="469" t="s">
        <v>118</v>
      </c>
      <c r="E701" s="73"/>
      <c r="F701" s="73"/>
      <c r="G701" s="10">
        <f>G702</f>
        <v>0</v>
      </c>
      <c r="H701" s="204"/>
    </row>
    <row r="702" spans="1:8" s="1" customFormat="1" ht="31.7" hidden="1" customHeight="1" x14ac:dyDescent="0.25">
      <c r="A702" s="466" t="s">
        <v>272</v>
      </c>
      <c r="B702" s="469" t="s">
        <v>935</v>
      </c>
      <c r="C702" s="469" t="s">
        <v>491</v>
      </c>
      <c r="D702" s="469" t="s">
        <v>118</v>
      </c>
      <c r="E702" s="469" t="s">
        <v>273</v>
      </c>
      <c r="F702" s="73"/>
      <c r="G702" s="10">
        <f>G703</f>
        <v>0</v>
      </c>
      <c r="H702" s="204"/>
    </row>
    <row r="703" spans="1:8" s="1" customFormat="1" ht="15.75" hidden="1" customHeight="1" x14ac:dyDescent="0.25">
      <c r="A703" s="466" t="s">
        <v>274</v>
      </c>
      <c r="B703" s="469" t="s">
        <v>935</v>
      </c>
      <c r="C703" s="469" t="s">
        <v>491</v>
      </c>
      <c r="D703" s="469" t="s">
        <v>118</v>
      </c>
      <c r="E703" s="469" t="s">
        <v>275</v>
      </c>
      <c r="F703" s="73"/>
      <c r="G703" s="10"/>
      <c r="H703" s="204"/>
    </row>
    <row r="704" spans="1:8" s="1" customFormat="1" ht="31.7" hidden="1" customHeight="1" x14ac:dyDescent="0.25">
      <c r="A704" s="45" t="s">
        <v>480</v>
      </c>
      <c r="B704" s="469" t="s">
        <v>935</v>
      </c>
      <c r="C704" s="469" t="s">
        <v>491</v>
      </c>
      <c r="D704" s="469" t="s">
        <v>118</v>
      </c>
      <c r="E704" s="469" t="s">
        <v>275</v>
      </c>
      <c r="F704" s="2">
        <v>907</v>
      </c>
      <c r="G704" s="10">
        <f>G703</f>
        <v>0</v>
      </c>
      <c r="H704" s="204"/>
    </row>
    <row r="705" spans="1:8" ht="37.5" customHeight="1" x14ac:dyDescent="0.25">
      <c r="A705" s="470" t="s">
        <v>1373</v>
      </c>
      <c r="B705" s="7" t="s">
        <v>543</v>
      </c>
      <c r="C705" s="2"/>
      <c r="D705" s="2"/>
      <c r="E705" s="2"/>
      <c r="F705" s="2"/>
      <c r="G705" s="59">
        <f>G706+G713+G753+G764+G771</f>
        <v>10811.800999999999</v>
      </c>
      <c r="H705" s="204">
        <v>4921.6000000000004</v>
      </c>
    </row>
    <row r="706" spans="1:8" s="203" customFormat="1" ht="47.25" hidden="1" x14ac:dyDescent="0.25">
      <c r="A706" s="464" t="s">
        <v>1443</v>
      </c>
      <c r="B706" s="7" t="s">
        <v>1278</v>
      </c>
      <c r="C706" s="7"/>
      <c r="D706" s="7"/>
      <c r="E706" s="3"/>
      <c r="F706" s="3"/>
      <c r="G706" s="59">
        <f>G707</f>
        <v>0</v>
      </c>
      <c r="H706" s="204"/>
    </row>
    <row r="707" spans="1:8" ht="15.75" hidden="1" x14ac:dyDescent="0.25">
      <c r="A707" s="73" t="s">
        <v>390</v>
      </c>
      <c r="B707" s="469" t="s">
        <v>1278</v>
      </c>
      <c r="C707" s="469" t="s">
        <v>234</v>
      </c>
      <c r="D707" s="469"/>
      <c r="E707" s="2"/>
      <c r="F707" s="2"/>
      <c r="G707" s="10">
        <f>G708</f>
        <v>0</v>
      </c>
    </row>
    <row r="708" spans="1:8" ht="15.75" hidden="1" x14ac:dyDescent="0.25">
      <c r="A708" s="73" t="s">
        <v>541</v>
      </c>
      <c r="B708" s="469" t="s">
        <v>1278</v>
      </c>
      <c r="C708" s="469" t="s">
        <v>234</v>
      </c>
      <c r="D708" s="469" t="s">
        <v>215</v>
      </c>
      <c r="E708" s="2"/>
      <c r="F708" s="2"/>
      <c r="G708" s="10">
        <f>G709</f>
        <v>0</v>
      </c>
    </row>
    <row r="709" spans="1:8" s="203" customFormat="1" ht="31.5" hidden="1" x14ac:dyDescent="0.25">
      <c r="A709" s="322" t="s">
        <v>1444</v>
      </c>
      <c r="B709" s="462" t="s">
        <v>1431</v>
      </c>
      <c r="C709" s="469" t="s">
        <v>234</v>
      </c>
      <c r="D709" s="469" t="s">
        <v>215</v>
      </c>
      <c r="E709" s="2"/>
      <c r="F709" s="2"/>
      <c r="G709" s="10">
        <f>G710</f>
        <v>0</v>
      </c>
      <c r="H709" s="204"/>
    </row>
    <row r="710" spans="1:8" s="203" customFormat="1" ht="31.5" hidden="1" x14ac:dyDescent="0.25">
      <c r="A710" s="466" t="s">
        <v>131</v>
      </c>
      <c r="B710" s="462" t="s">
        <v>1431</v>
      </c>
      <c r="C710" s="469" t="s">
        <v>234</v>
      </c>
      <c r="D710" s="469" t="s">
        <v>215</v>
      </c>
      <c r="E710" s="2">
        <v>200</v>
      </c>
      <c r="F710" s="2"/>
      <c r="G710" s="10">
        <f>G711</f>
        <v>0</v>
      </c>
      <c r="H710" s="204"/>
    </row>
    <row r="711" spans="1:8" s="203" customFormat="1" ht="31.5" hidden="1" x14ac:dyDescent="0.25">
      <c r="A711" s="466" t="s">
        <v>133</v>
      </c>
      <c r="B711" s="462" t="s">
        <v>1431</v>
      </c>
      <c r="C711" s="469" t="s">
        <v>234</v>
      </c>
      <c r="D711" s="469" t="s">
        <v>215</v>
      </c>
      <c r="E711" s="2">
        <v>240</v>
      </c>
      <c r="F711" s="2"/>
      <c r="G711" s="10">
        <f>'Пр.4 ведом.21'!G1104</f>
        <v>0</v>
      </c>
      <c r="H711" s="204"/>
    </row>
    <row r="712" spans="1:8" s="203" customFormat="1" ht="31.5" hidden="1" x14ac:dyDescent="0.25">
      <c r="A712" s="45" t="s">
        <v>623</v>
      </c>
      <c r="B712" s="462" t="s">
        <v>1431</v>
      </c>
      <c r="C712" s="469" t="s">
        <v>234</v>
      </c>
      <c r="D712" s="469" t="s">
        <v>215</v>
      </c>
      <c r="E712" s="2">
        <v>240</v>
      </c>
      <c r="F712" s="2">
        <v>908</v>
      </c>
      <c r="G712" s="10">
        <f>G709</f>
        <v>0</v>
      </c>
      <c r="H712" s="204"/>
    </row>
    <row r="713" spans="1:8" s="203" customFormat="1" ht="31.5" x14ac:dyDescent="0.25">
      <c r="A713" s="464" t="s">
        <v>1446</v>
      </c>
      <c r="B713" s="7" t="s">
        <v>1279</v>
      </c>
      <c r="C713" s="469"/>
      <c r="D713" s="469"/>
      <c r="E713" s="2"/>
      <c r="F713" s="2"/>
      <c r="G713" s="59">
        <f>G714</f>
        <v>2794.2000000000003</v>
      </c>
      <c r="H713" s="204"/>
    </row>
    <row r="714" spans="1:8" s="203" customFormat="1" ht="15.75" x14ac:dyDescent="0.25">
      <c r="A714" s="73" t="s">
        <v>390</v>
      </c>
      <c r="B714" s="469" t="s">
        <v>1279</v>
      </c>
      <c r="C714" s="469"/>
      <c r="D714" s="469"/>
      <c r="E714" s="2"/>
      <c r="F714" s="2"/>
      <c r="G714" s="10">
        <f>G715</f>
        <v>2794.2000000000003</v>
      </c>
      <c r="H714" s="204"/>
    </row>
    <row r="715" spans="1:8" s="203" customFormat="1" ht="15.75" x14ac:dyDescent="0.25">
      <c r="A715" s="73" t="s">
        <v>541</v>
      </c>
      <c r="B715" s="469" t="s">
        <v>1279</v>
      </c>
      <c r="C715" s="469"/>
      <c r="D715" s="469"/>
      <c r="E715" s="2"/>
      <c r="F715" s="2"/>
      <c r="G715" s="10">
        <f>G716+G720+G730+G734+G738+G745+G749</f>
        <v>2794.2000000000003</v>
      </c>
      <c r="H715" s="204"/>
    </row>
    <row r="716" spans="1:8" ht="15.75" customHeight="1" x14ac:dyDescent="0.25">
      <c r="A716" s="466" t="s">
        <v>546</v>
      </c>
      <c r="B716" s="462" t="s">
        <v>1442</v>
      </c>
      <c r="C716" s="469" t="s">
        <v>234</v>
      </c>
      <c r="D716" s="469" t="s">
        <v>215</v>
      </c>
      <c r="E716" s="2"/>
      <c r="F716" s="2"/>
      <c r="G716" s="10">
        <f t="shared" ref="G716:G717" si="52">G717</f>
        <v>548.29999999999995</v>
      </c>
    </row>
    <row r="717" spans="1:8" ht="41.25" customHeight="1" x14ac:dyDescent="0.25">
      <c r="A717" s="466" t="s">
        <v>131</v>
      </c>
      <c r="B717" s="462" t="s">
        <v>1442</v>
      </c>
      <c r="C717" s="469" t="s">
        <v>234</v>
      </c>
      <c r="D717" s="469" t="s">
        <v>215</v>
      </c>
      <c r="E717" s="2">
        <v>200</v>
      </c>
      <c r="F717" s="2"/>
      <c r="G717" s="10">
        <f t="shared" si="52"/>
        <v>548.29999999999995</v>
      </c>
    </row>
    <row r="718" spans="1:8" ht="31.7" customHeight="1" x14ac:dyDescent="0.25">
      <c r="A718" s="466" t="s">
        <v>133</v>
      </c>
      <c r="B718" s="462" t="s">
        <v>1442</v>
      </c>
      <c r="C718" s="469" t="s">
        <v>234</v>
      </c>
      <c r="D718" s="469" t="s">
        <v>215</v>
      </c>
      <c r="E718" s="2">
        <v>240</v>
      </c>
      <c r="F718" s="2"/>
      <c r="G718" s="10">
        <f>'Пр.4 ведом.21'!G1108</f>
        <v>548.29999999999995</v>
      </c>
    </row>
    <row r="719" spans="1:8" s="203" customFormat="1" ht="31.7" customHeight="1" x14ac:dyDescent="0.25">
      <c r="A719" s="45" t="s">
        <v>623</v>
      </c>
      <c r="B719" s="462" t="s">
        <v>1442</v>
      </c>
      <c r="C719" s="469" t="s">
        <v>234</v>
      </c>
      <c r="D719" s="469" t="s">
        <v>215</v>
      </c>
      <c r="E719" s="2">
        <v>240</v>
      </c>
      <c r="F719" s="2">
        <v>908</v>
      </c>
      <c r="G719" s="10">
        <f>G718</f>
        <v>548.29999999999995</v>
      </c>
      <c r="H719" s="204"/>
    </row>
    <row r="720" spans="1:8" ht="17.45" customHeight="1" x14ac:dyDescent="0.25">
      <c r="A720" s="466" t="s">
        <v>548</v>
      </c>
      <c r="B720" s="462" t="s">
        <v>1430</v>
      </c>
      <c r="C720" s="469" t="s">
        <v>234</v>
      </c>
      <c r="D720" s="469" t="s">
        <v>215</v>
      </c>
      <c r="E720" s="2"/>
      <c r="F720" s="2"/>
      <c r="G720" s="10">
        <f>G721+G724+G727</f>
        <v>1922.8000000000002</v>
      </c>
    </row>
    <row r="721" spans="1:8" ht="31.5" x14ac:dyDescent="0.25">
      <c r="A721" s="466" t="s">
        <v>131</v>
      </c>
      <c r="B721" s="462" t="s">
        <v>1430</v>
      </c>
      <c r="C721" s="469" t="s">
        <v>234</v>
      </c>
      <c r="D721" s="469" t="s">
        <v>215</v>
      </c>
      <c r="E721" s="2">
        <v>200</v>
      </c>
      <c r="F721" s="2"/>
      <c r="G721" s="10">
        <f t="shared" ref="G721" si="53">G722</f>
        <v>1922.8000000000002</v>
      </c>
    </row>
    <row r="722" spans="1:8" ht="31.5" x14ac:dyDescent="0.25">
      <c r="A722" s="466" t="s">
        <v>133</v>
      </c>
      <c r="B722" s="462" t="s">
        <v>1430</v>
      </c>
      <c r="C722" s="469" t="s">
        <v>234</v>
      </c>
      <c r="D722" s="469" t="s">
        <v>215</v>
      </c>
      <c r="E722" s="2">
        <v>240</v>
      </c>
      <c r="F722" s="2"/>
      <c r="G722" s="10">
        <f>'Пр.4 ведом.21'!G1111</f>
        <v>1922.8000000000002</v>
      </c>
    </row>
    <row r="723" spans="1:8" s="203" customFormat="1" ht="37.5" customHeight="1" x14ac:dyDescent="0.25">
      <c r="A723" s="45" t="s">
        <v>623</v>
      </c>
      <c r="B723" s="462" t="s">
        <v>1430</v>
      </c>
      <c r="C723" s="469" t="s">
        <v>234</v>
      </c>
      <c r="D723" s="469" t="s">
        <v>215</v>
      </c>
      <c r="E723" s="2">
        <v>240</v>
      </c>
      <c r="F723" s="2">
        <v>908</v>
      </c>
      <c r="G723" s="10">
        <f>G722</f>
        <v>1922.8000000000002</v>
      </c>
      <c r="H723" s="204"/>
    </row>
    <row r="724" spans="1:8" ht="15.75" hidden="1" x14ac:dyDescent="0.25">
      <c r="A724" s="466" t="s">
        <v>135</v>
      </c>
      <c r="B724" s="462" t="s">
        <v>1430</v>
      </c>
      <c r="C724" s="469" t="s">
        <v>234</v>
      </c>
      <c r="D724" s="469" t="s">
        <v>215</v>
      </c>
      <c r="E724" s="2">
        <v>800</v>
      </c>
      <c r="F724" s="2"/>
      <c r="G724" s="10">
        <f>G725</f>
        <v>0</v>
      </c>
    </row>
    <row r="725" spans="1:8" s="203" customFormat="1" ht="47.25" hidden="1" x14ac:dyDescent="0.25">
      <c r="A725" s="466" t="s">
        <v>836</v>
      </c>
      <c r="B725" s="462" t="s">
        <v>1430</v>
      </c>
      <c r="C725" s="469" t="s">
        <v>234</v>
      </c>
      <c r="D725" s="469" t="s">
        <v>215</v>
      </c>
      <c r="E725" s="2">
        <v>830</v>
      </c>
      <c r="F725" s="2"/>
      <c r="G725" s="10">
        <f>'Пр.3 Рд,пр, ЦС,ВР 21'!F457</f>
        <v>0</v>
      </c>
      <c r="H725" s="204"/>
    </row>
    <row r="726" spans="1:8" s="203" customFormat="1" ht="31.5" hidden="1" x14ac:dyDescent="0.25">
      <c r="A726" s="45" t="s">
        <v>623</v>
      </c>
      <c r="B726" s="462" t="s">
        <v>1430</v>
      </c>
      <c r="C726" s="469" t="s">
        <v>234</v>
      </c>
      <c r="D726" s="469" t="s">
        <v>215</v>
      </c>
      <c r="E726" s="2">
        <v>830</v>
      </c>
      <c r="F726" s="2">
        <v>908</v>
      </c>
      <c r="G726" s="10">
        <f>G725</f>
        <v>0</v>
      </c>
      <c r="H726" s="204"/>
    </row>
    <row r="727" spans="1:8" s="203" customFormat="1" ht="15.75" hidden="1" x14ac:dyDescent="0.25">
      <c r="A727" s="466" t="s">
        <v>135</v>
      </c>
      <c r="B727" s="462" t="s">
        <v>1430</v>
      </c>
      <c r="C727" s="469" t="s">
        <v>234</v>
      </c>
      <c r="D727" s="469" t="s">
        <v>215</v>
      </c>
      <c r="E727" s="2">
        <v>800</v>
      </c>
      <c r="F727" s="2"/>
      <c r="G727" s="10">
        <f>G728</f>
        <v>0</v>
      </c>
      <c r="H727" s="204"/>
    </row>
    <row r="728" spans="1:8" ht="15.75" hidden="1" x14ac:dyDescent="0.25">
      <c r="A728" s="466" t="s">
        <v>1080</v>
      </c>
      <c r="B728" s="462" t="s">
        <v>1430</v>
      </c>
      <c r="C728" s="469" t="s">
        <v>234</v>
      </c>
      <c r="D728" s="469" t="s">
        <v>215</v>
      </c>
      <c r="E728" s="2">
        <v>850</v>
      </c>
      <c r="F728" s="2"/>
      <c r="G728" s="10">
        <f>'Пр.3 Рд,пр, ЦС,ВР 21'!F458</f>
        <v>0</v>
      </c>
    </row>
    <row r="729" spans="1:8" s="203" customFormat="1" ht="31.5" hidden="1" x14ac:dyDescent="0.25">
      <c r="A729" s="45" t="s">
        <v>623</v>
      </c>
      <c r="B729" s="462" t="s">
        <v>1430</v>
      </c>
      <c r="C729" s="469" t="s">
        <v>234</v>
      </c>
      <c r="D729" s="469" t="s">
        <v>215</v>
      </c>
      <c r="E729" s="2">
        <v>850</v>
      </c>
      <c r="F729" s="2">
        <v>908</v>
      </c>
      <c r="G729" s="10">
        <f>G728</f>
        <v>0</v>
      </c>
      <c r="H729" s="204"/>
    </row>
    <row r="730" spans="1:8" ht="15.75" hidden="1" x14ac:dyDescent="0.25">
      <c r="A730" s="466" t="s">
        <v>550</v>
      </c>
      <c r="B730" s="462" t="s">
        <v>1303</v>
      </c>
      <c r="C730" s="469" t="s">
        <v>234</v>
      </c>
      <c r="D730" s="469" t="s">
        <v>215</v>
      </c>
      <c r="E730" s="2"/>
      <c r="F730" s="2"/>
      <c r="G730" s="10">
        <f t="shared" ref="G730" si="54">G731</f>
        <v>0</v>
      </c>
    </row>
    <row r="731" spans="1:8" ht="31.5" hidden="1" x14ac:dyDescent="0.25">
      <c r="A731" s="466" t="s">
        <v>131</v>
      </c>
      <c r="B731" s="462" t="s">
        <v>1303</v>
      </c>
      <c r="C731" s="469" t="s">
        <v>234</v>
      </c>
      <c r="D731" s="469" t="s">
        <v>215</v>
      </c>
      <c r="E731" s="2">
        <v>200</v>
      </c>
      <c r="F731" s="2"/>
      <c r="G731" s="10">
        <f>G732</f>
        <v>0</v>
      </c>
    </row>
    <row r="732" spans="1:8" ht="31.5" hidden="1" x14ac:dyDescent="0.25">
      <c r="A732" s="466" t="s">
        <v>133</v>
      </c>
      <c r="B732" s="462" t="s">
        <v>1303</v>
      </c>
      <c r="C732" s="469" t="s">
        <v>234</v>
      </c>
      <c r="D732" s="469" t="s">
        <v>215</v>
      </c>
      <c r="E732" s="2">
        <v>240</v>
      </c>
      <c r="F732" s="2"/>
      <c r="G732" s="10">
        <f>'Пр.4 ведом.21'!G1117</f>
        <v>0</v>
      </c>
    </row>
    <row r="733" spans="1:8" ht="37.5" hidden="1" customHeight="1" x14ac:dyDescent="0.25">
      <c r="A733" s="45" t="s">
        <v>623</v>
      </c>
      <c r="B733" s="462" t="s">
        <v>1303</v>
      </c>
      <c r="C733" s="469" t="s">
        <v>234</v>
      </c>
      <c r="D733" s="469" t="s">
        <v>215</v>
      </c>
      <c r="E733" s="2">
        <v>240</v>
      </c>
      <c r="F733" s="2">
        <v>908</v>
      </c>
      <c r="G733" s="10">
        <f>G732</f>
        <v>0</v>
      </c>
    </row>
    <row r="734" spans="1:8" ht="15.75" x14ac:dyDescent="0.25">
      <c r="A734" s="466" t="s">
        <v>555</v>
      </c>
      <c r="B734" s="462" t="s">
        <v>1280</v>
      </c>
      <c r="C734" s="469" t="s">
        <v>234</v>
      </c>
      <c r="D734" s="469" t="s">
        <v>215</v>
      </c>
      <c r="E734" s="2"/>
      <c r="F734" s="2"/>
      <c r="G734" s="10">
        <f t="shared" ref="G734:G735" si="55">G735</f>
        <v>16.100000000000001</v>
      </c>
    </row>
    <row r="735" spans="1:8" ht="31.5" x14ac:dyDescent="0.25">
      <c r="A735" s="466" t="s">
        <v>131</v>
      </c>
      <c r="B735" s="462" t="s">
        <v>1280</v>
      </c>
      <c r="C735" s="469" t="s">
        <v>234</v>
      </c>
      <c r="D735" s="469" t="s">
        <v>215</v>
      </c>
      <c r="E735" s="2">
        <v>200</v>
      </c>
      <c r="F735" s="2"/>
      <c r="G735" s="10">
        <f t="shared" si="55"/>
        <v>16.100000000000001</v>
      </c>
    </row>
    <row r="736" spans="1:8" ht="31.5" x14ac:dyDescent="0.25">
      <c r="A736" s="466" t="s">
        <v>133</v>
      </c>
      <c r="B736" s="462" t="s">
        <v>1280</v>
      </c>
      <c r="C736" s="469" t="s">
        <v>234</v>
      </c>
      <c r="D736" s="469" t="s">
        <v>215</v>
      </c>
      <c r="E736" s="2">
        <v>240</v>
      </c>
      <c r="F736" s="2"/>
      <c r="G736" s="10">
        <f>'Пр.4 ведом.21'!G1120</f>
        <v>16.100000000000001</v>
      </c>
    </row>
    <row r="737" spans="1:8" s="203" customFormat="1" ht="39.200000000000003" customHeight="1" x14ac:dyDescent="0.25">
      <c r="A737" s="45" t="s">
        <v>623</v>
      </c>
      <c r="B737" s="462" t="s">
        <v>1280</v>
      </c>
      <c r="C737" s="469" t="s">
        <v>234</v>
      </c>
      <c r="D737" s="469" t="s">
        <v>215</v>
      </c>
      <c r="E737" s="2">
        <v>240</v>
      </c>
      <c r="F737" s="2">
        <v>908</v>
      </c>
      <c r="G737" s="10">
        <f>G736</f>
        <v>16.100000000000001</v>
      </c>
      <c r="H737" s="204"/>
    </row>
    <row r="738" spans="1:8" ht="31.5" x14ac:dyDescent="0.25">
      <c r="A738" s="320" t="s">
        <v>1445</v>
      </c>
      <c r="B738" s="462" t="s">
        <v>1281</v>
      </c>
      <c r="C738" s="469" t="s">
        <v>234</v>
      </c>
      <c r="D738" s="469" t="s">
        <v>215</v>
      </c>
      <c r="E738" s="2"/>
      <c r="F738" s="2"/>
      <c r="G738" s="10">
        <f>G739+G742</f>
        <v>20.5</v>
      </c>
    </row>
    <row r="739" spans="1:8" ht="31.5" x14ac:dyDescent="0.25">
      <c r="A739" s="466" t="s">
        <v>131</v>
      </c>
      <c r="B739" s="462" t="s">
        <v>1281</v>
      </c>
      <c r="C739" s="469" t="s">
        <v>234</v>
      </c>
      <c r="D739" s="469" t="s">
        <v>215</v>
      </c>
      <c r="E739" s="2">
        <v>200</v>
      </c>
      <c r="F739" s="2"/>
      <c r="G739" s="10">
        <f t="shared" ref="G739" si="56">G740</f>
        <v>20.5</v>
      </c>
    </row>
    <row r="740" spans="1:8" ht="31.5" x14ac:dyDescent="0.25">
      <c r="A740" s="466" t="s">
        <v>133</v>
      </c>
      <c r="B740" s="462" t="s">
        <v>1281</v>
      </c>
      <c r="C740" s="469" t="s">
        <v>234</v>
      </c>
      <c r="D740" s="469" t="s">
        <v>215</v>
      </c>
      <c r="E740" s="2">
        <v>240</v>
      </c>
      <c r="F740" s="2"/>
      <c r="G740" s="10">
        <f>'Пр.4 ведом.21'!G1123</f>
        <v>20.5</v>
      </c>
    </row>
    <row r="741" spans="1:8" s="203" customFormat="1" ht="42" customHeight="1" x14ac:dyDescent="0.25">
      <c r="A741" s="45" t="s">
        <v>623</v>
      </c>
      <c r="B741" s="462" t="s">
        <v>1281</v>
      </c>
      <c r="C741" s="469" t="s">
        <v>234</v>
      </c>
      <c r="D741" s="469" t="s">
        <v>215</v>
      </c>
      <c r="E741" s="2">
        <v>240</v>
      </c>
      <c r="F741" s="2">
        <v>908</v>
      </c>
      <c r="G741" s="10">
        <f>G740</f>
        <v>20.5</v>
      </c>
      <c r="H741" s="204"/>
    </row>
    <row r="742" spans="1:8" s="203" customFormat="1" ht="15.75" hidden="1" x14ac:dyDescent="0.25">
      <c r="A742" s="29" t="s">
        <v>135</v>
      </c>
      <c r="B742" s="462" t="s">
        <v>1281</v>
      </c>
      <c r="C742" s="469" t="s">
        <v>234</v>
      </c>
      <c r="D742" s="469" t="s">
        <v>215</v>
      </c>
      <c r="E742" s="2">
        <v>800</v>
      </c>
      <c r="F742" s="2"/>
      <c r="G742" s="10">
        <f>G743</f>
        <v>0</v>
      </c>
      <c r="H742" s="204"/>
    </row>
    <row r="743" spans="1:8" s="203" customFormat="1" ht="15.75" hidden="1" x14ac:dyDescent="0.25">
      <c r="A743" s="466" t="s">
        <v>704</v>
      </c>
      <c r="B743" s="462" t="s">
        <v>1281</v>
      </c>
      <c r="C743" s="469" t="s">
        <v>234</v>
      </c>
      <c r="D743" s="469" t="s">
        <v>215</v>
      </c>
      <c r="E743" s="2">
        <v>850</v>
      </c>
      <c r="F743" s="2"/>
      <c r="G743" s="10">
        <f>'Пр.4 ведом.21'!G1125</f>
        <v>0</v>
      </c>
      <c r="H743" s="204"/>
    </row>
    <row r="744" spans="1:8" s="203" customFormat="1" ht="31.5" hidden="1" x14ac:dyDescent="0.25">
      <c r="A744" s="45" t="s">
        <v>623</v>
      </c>
      <c r="B744" s="462" t="s">
        <v>1281</v>
      </c>
      <c r="C744" s="469" t="s">
        <v>234</v>
      </c>
      <c r="D744" s="469" t="s">
        <v>215</v>
      </c>
      <c r="E744" s="2">
        <v>850</v>
      </c>
      <c r="F744" s="2">
        <v>908</v>
      </c>
      <c r="G744" s="10">
        <f>G743</f>
        <v>0</v>
      </c>
      <c r="H744" s="204"/>
    </row>
    <row r="745" spans="1:8" ht="15.75" hidden="1" customHeight="1" x14ac:dyDescent="0.25">
      <c r="A745" s="45" t="s">
        <v>559</v>
      </c>
      <c r="B745" s="462" t="s">
        <v>1282</v>
      </c>
      <c r="C745" s="469" t="s">
        <v>234</v>
      </c>
      <c r="D745" s="469" t="s">
        <v>215</v>
      </c>
      <c r="E745" s="2"/>
      <c r="F745" s="2"/>
      <c r="G745" s="10">
        <f t="shared" ref="G745:G746" si="57">G746</f>
        <v>0</v>
      </c>
    </row>
    <row r="746" spans="1:8" ht="31.7" hidden="1" customHeight="1" x14ac:dyDescent="0.25">
      <c r="A746" s="466" t="s">
        <v>131</v>
      </c>
      <c r="B746" s="462" t="s">
        <v>1282</v>
      </c>
      <c r="C746" s="469" t="s">
        <v>234</v>
      </c>
      <c r="D746" s="469" t="s">
        <v>215</v>
      </c>
      <c r="E746" s="2">
        <v>200</v>
      </c>
      <c r="F746" s="2"/>
      <c r="G746" s="10">
        <f t="shared" si="57"/>
        <v>0</v>
      </c>
    </row>
    <row r="747" spans="1:8" ht="31.7" hidden="1" customHeight="1" x14ac:dyDescent="0.25">
      <c r="A747" s="466" t="s">
        <v>133</v>
      </c>
      <c r="B747" s="462" t="s">
        <v>1282</v>
      </c>
      <c r="C747" s="469" t="s">
        <v>234</v>
      </c>
      <c r="D747" s="469" t="s">
        <v>215</v>
      </c>
      <c r="E747" s="2">
        <v>240</v>
      </c>
      <c r="F747" s="2"/>
      <c r="G747" s="10">
        <f>'Пр.3 Рд,пр, ЦС,ВР 21'!F472</f>
        <v>0</v>
      </c>
    </row>
    <row r="748" spans="1:8" ht="31.5" hidden="1" x14ac:dyDescent="0.25">
      <c r="A748" s="45" t="s">
        <v>623</v>
      </c>
      <c r="B748" s="462" t="s">
        <v>1282</v>
      </c>
      <c r="C748" s="469" t="s">
        <v>234</v>
      </c>
      <c r="D748" s="469" t="s">
        <v>215</v>
      </c>
      <c r="E748" s="2">
        <v>850</v>
      </c>
      <c r="F748" s="2">
        <v>908</v>
      </c>
      <c r="G748" s="10">
        <f>G747</f>
        <v>0</v>
      </c>
    </row>
    <row r="749" spans="1:8" s="203" customFormat="1" ht="31.5" x14ac:dyDescent="0.25">
      <c r="A749" s="228" t="s">
        <v>1092</v>
      </c>
      <c r="B749" s="462" t="s">
        <v>1283</v>
      </c>
      <c r="C749" s="469" t="s">
        <v>234</v>
      </c>
      <c r="D749" s="469" t="s">
        <v>215</v>
      </c>
      <c r="E749" s="2"/>
      <c r="F749" s="2"/>
      <c r="G749" s="10">
        <f>G750</f>
        <v>286.5</v>
      </c>
      <c r="H749" s="204"/>
    </row>
    <row r="750" spans="1:8" s="203" customFormat="1" ht="31.5" x14ac:dyDescent="0.25">
      <c r="A750" s="466" t="s">
        <v>131</v>
      </c>
      <c r="B750" s="462" t="s">
        <v>1283</v>
      </c>
      <c r="C750" s="469" t="s">
        <v>234</v>
      </c>
      <c r="D750" s="469" t="s">
        <v>215</v>
      </c>
      <c r="E750" s="2">
        <v>200</v>
      </c>
      <c r="F750" s="2"/>
      <c r="G750" s="10">
        <f>G751</f>
        <v>286.5</v>
      </c>
      <c r="H750" s="204"/>
    </row>
    <row r="751" spans="1:8" s="203" customFormat="1" ht="31.5" x14ac:dyDescent="0.25">
      <c r="A751" s="466" t="s">
        <v>133</v>
      </c>
      <c r="B751" s="462" t="s">
        <v>1283</v>
      </c>
      <c r="C751" s="469" t="s">
        <v>234</v>
      </c>
      <c r="D751" s="469" t="s">
        <v>215</v>
      </c>
      <c r="E751" s="2">
        <v>240</v>
      </c>
      <c r="F751" s="2"/>
      <c r="G751" s="10">
        <f>'Пр.4 ведом.21'!G1131</f>
        <v>286.5</v>
      </c>
      <c r="H751" s="204"/>
    </row>
    <row r="752" spans="1:8" s="203" customFormat="1" ht="36.75" customHeight="1" x14ac:dyDescent="0.25">
      <c r="A752" s="45" t="s">
        <v>623</v>
      </c>
      <c r="B752" s="462" t="s">
        <v>1283</v>
      </c>
      <c r="C752" s="469" t="s">
        <v>234</v>
      </c>
      <c r="D752" s="469" t="s">
        <v>215</v>
      </c>
      <c r="E752" s="2">
        <v>240</v>
      </c>
      <c r="F752" s="2">
        <v>908</v>
      </c>
      <c r="G752" s="10">
        <f>G751</f>
        <v>286.5</v>
      </c>
      <c r="H752" s="204"/>
    </row>
    <row r="753" spans="1:8" s="203" customFormat="1" ht="31.5" x14ac:dyDescent="0.25">
      <c r="A753" s="464" t="s">
        <v>891</v>
      </c>
      <c r="B753" s="465" t="s">
        <v>1301</v>
      </c>
      <c r="C753" s="7"/>
      <c r="D753" s="7"/>
      <c r="E753" s="3"/>
      <c r="F753" s="3"/>
      <c r="G753" s="59">
        <f>G754</f>
        <v>1857.2</v>
      </c>
      <c r="H753" s="204"/>
    </row>
    <row r="754" spans="1:8" s="203" customFormat="1" ht="15.75" x14ac:dyDescent="0.25">
      <c r="A754" s="73" t="s">
        <v>390</v>
      </c>
      <c r="B754" s="462" t="s">
        <v>1301</v>
      </c>
      <c r="C754" s="469" t="s">
        <v>234</v>
      </c>
      <c r="D754" s="469"/>
      <c r="E754" s="2"/>
      <c r="F754" s="2"/>
      <c r="G754" s="10">
        <f t="shared" ref="G754" si="58">G755</f>
        <v>1857.2</v>
      </c>
      <c r="H754" s="204"/>
    </row>
    <row r="755" spans="1:8" s="203" customFormat="1" ht="15.75" x14ac:dyDescent="0.25">
      <c r="A755" s="73" t="s">
        <v>541</v>
      </c>
      <c r="B755" s="462" t="s">
        <v>1301</v>
      </c>
      <c r="C755" s="469" t="s">
        <v>234</v>
      </c>
      <c r="D755" s="469" t="s">
        <v>215</v>
      </c>
      <c r="E755" s="2"/>
      <c r="F755" s="2"/>
      <c r="G755" s="10">
        <f>G756+G760</f>
        <v>1857.2</v>
      </c>
      <c r="H755" s="204"/>
    </row>
    <row r="756" spans="1:8" s="203" customFormat="1" ht="31.5" hidden="1" x14ac:dyDescent="0.25">
      <c r="A756" s="466" t="s">
        <v>690</v>
      </c>
      <c r="B756" s="462" t="s">
        <v>1334</v>
      </c>
      <c r="C756" s="469" t="s">
        <v>234</v>
      </c>
      <c r="D756" s="469" t="s">
        <v>215</v>
      </c>
      <c r="E756" s="2"/>
      <c r="F756" s="2"/>
      <c r="G756" s="10">
        <f>G757</f>
        <v>0</v>
      </c>
      <c r="H756" s="204"/>
    </row>
    <row r="757" spans="1:8" s="203" customFormat="1" ht="31.5" hidden="1" x14ac:dyDescent="0.25">
      <c r="A757" s="466" t="s">
        <v>131</v>
      </c>
      <c r="B757" s="462" t="s">
        <v>1334</v>
      </c>
      <c r="C757" s="469" t="s">
        <v>234</v>
      </c>
      <c r="D757" s="469" t="s">
        <v>215</v>
      </c>
      <c r="E757" s="462" t="s">
        <v>132</v>
      </c>
      <c r="F757" s="2"/>
      <c r="G757" s="10">
        <f>G758</f>
        <v>0</v>
      </c>
      <c r="H757" s="204"/>
    </row>
    <row r="758" spans="1:8" s="203" customFormat="1" ht="31.5" hidden="1" x14ac:dyDescent="0.25">
      <c r="A758" s="466" t="s">
        <v>133</v>
      </c>
      <c r="B758" s="462" t="s">
        <v>1334</v>
      </c>
      <c r="C758" s="469" t="s">
        <v>234</v>
      </c>
      <c r="D758" s="469" t="s">
        <v>215</v>
      </c>
      <c r="E758" s="462" t="s">
        <v>134</v>
      </c>
      <c r="F758" s="2"/>
      <c r="G758" s="10">
        <f>'Пр.3 Рд,пр, ЦС,ВР 21'!F479</f>
        <v>0</v>
      </c>
      <c r="H758" s="204"/>
    </row>
    <row r="759" spans="1:8" s="203" customFormat="1" ht="31.5" hidden="1" x14ac:dyDescent="0.25">
      <c r="A759" s="45" t="s">
        <v>623</v>
      </c>
      <c r="B759" s="462" t="s">
        <v>1334</v>
      </c>
      <c r="C759" s="469" t="s">
        <v>234</v>
      </c>
      <c r="D759" s="469" t="s">
        <v>215</v>
      </c>
      <c r="E759" s="462" t="s">
        <v>134</v>
      </c>
      <c r="F759" s="2">
        <v>908</v>
      </c>
      <c r="G759" s="10">
        <f>G758</f>
        <v>0</v>
      </c>
      <c r="H759" s="204"/>
    </row>
    <row r="760" spans="1:8" s="203" customFormat="1" ht="63" x14ac:dyDescent="0.25">
      <c r="A760" s="466" t="s">
        <v>1073</v>
      </c>
      <c r="B760" s="462" t="s">
        <v>1300</v>
      </c>
      <c r="C760" s="469" t="s">
        <v>234</v>
      </c>
      <c r="D760" s="469" t="s">
        <v>215</v>
      </c>
      <c r="E760" s="462"/>
      <c r="F760" s="2"/>
      <c r="G760" s="10">
        <f>G761</f>
        <v>1857.2</v>
      </c>
      <c r="H760" s="204"/>
    </row>
    <row r="761" spans="1:8" s="203" customFormat="1" ht="31.5" x14ac:dyDescent="0.25">
      <c r="A761" s="466" t="s">
        <v>131</v>
      </c>
      <c r="B761" s="462" t="s">
        <v>1300</v>
      </c>
      <c r="C761" s="469" t="s">
        <v>234</v>
      </c>
      <c r="D761" s="469" t="s">
        <v>215</v>
      </c>
      <c r="E761" s="462" t="s">
        <v>132</v>
      </c>
      <c r="F761" s="2"/>
      <c r="G761" s="10">
        <f>G762</f>
        <v>1857.2</v>
      </c>
      <c r="H761" s="204"/>
    </row>
    <row r="762" spans="1:8" s="203" customFormat="1" ht="31.5" x14ac:dyDescent="0.25">
      <c r="A762" s="466" t="s">
        <v>133</v>
      </c>
      <c r="B762" s="462" t="s">
        <v>1300</v>
      </c>
      <c r="C762" s="469" t="s">
        <v>234</v>
      </c>
      <c r="D762" s="469" t="s">
        <v>215</v>
      </c>
      <c r="E762" s="462" t="s">
        <v>134</v>
      </c>
      <c r="F762" s="2"/>
      <c r="G762" s="10">
        <f>'Пр.3 Рд,пр, ЦС,ВР 21'!F482</f>
        <v>1857.2</v>
      </c>
      <c r="H762" s="204"/>
    </row>
    <row r="763" spans="1:8" s="203" customFormat="1" ht="38.25" customHeight="1" x14ac:dyDescent="0.25">
      <c r="A763" s="45" t="s">
        <v>623</v>
      </c>
      <c r="B763" s="462" t="s">
        <v>1300</v>
      </c>
      <c r="C763" s="469" t="s">
        <v>234</v>
      </c>
      <c r="D763" s="469" t="s">
        <v>215</v>
      </c>
      <c r="E763" s="462" t="s">
        <v>134</v>
      </c>
      <c r="F763" s="2">
        <v>908</v>
      </c>
      <c r="G763" s="10">
        <f>G762</f>
        <v>1857.2</v>
      </c>
      <c r="H763" s="204"/>
    </row>
    <row r="764" spans="1:8" s="457" customFormat="1" ht="31.5" x14ac:dyDescent="0.25">
      <c r="A764" s="34" t="s">
        <v>1673</v>
      </c>
      <c r="B764" s="465" t="s">
        <v>1674</v>
      </c>
      <c r="C764" s="7"/>
      <c r="D764" s="7"/>
      <c r="E764" s="465"/>
      <c r="F764" s="3"/>
      <c r="G764" s="59">
        <f>G765</f>
        <v>1523.201</v>
      </c>
      <c r="H764" s="204"/>
    </row>
    <row r="765" spans="1:8" s="457" customFormat="1" ht="15.75" x14ac:dyDescent="0.25">
      <c r="A765" s="73" t="s">
        <v>390</v>
      </c>
      <c r="B765" s="462" t="s">
        <v>1674</v>
      </c>
      <c r="C765" s="469" t="s">
        <v>234</v>
      </c>
      <c r="D765" s="469"/>
      <c r="E765" s="462"/>
      <c r="F765" s="2"/>
      <c r="G765" s="10">
        <f>G766</f>
        <v>1523.201</v>
      </c>
      <c r="H765" s="204"/>
    </row>
    <row r="766" spans="1:8" s="457" customFormat="1" ht="15.75" x14ac:dyDescent="0.25">
      <c r="A766" s="73" t="s">
        <v>541</v>
      </c>
      <c r="B766" s="462" t="s">
        <v>1674</v>
      </c>
      <c r="C766" s="469" t="s">
        <v>234</v>
      </c>
      <c r="D766" s="469" t="s">
        <v>215</v>
      </c>
      <c r="E766" s="462"/>
      <c r="F766" s="2"/>
      <c r="G766" s="10">
        <f>G767</f>
        <v>1523.201</v>
      </c>
      <c r="H766" s="204"/>
    </row>
    <row r="767" spans="1:8" s="457" customFormat="1" ht="31.5" x14ac:dyDescent="0.25">
      <c r="A767" s="31" t="s">
        <v>1672</v>
      </c>
      <c r="B767" s="462" t="s">
        <v>1675</v>
      </c>
      <c r="C767" s="469" t="s">
        <v>234</v>
      </c>
      <c r="D767" s="469" t="s">
        <v>215</v>
      </c>
      <c r="E767" s="462"/>
      <c r="F767" s="2"/>
      <c r="G767" s="10">
        <f>G768</f>
        <v>1523.201</v>
      </c>
      <c r="H767" s="204"/>
    </row>
    <row r="768" spans="1:8" s="457" customFormat="1" ht="31.5" x14ac:dyDescent="0.25">
      <c r="A768" s="466" t="s">
        <v>131</v>
      </c>
      <c r="B768" s="462" t="s">
        <v>1675</v>
      </c>
      <c r="C768" s="469" t="s">
        <v>234</v>
      </c>
      <c r="D768" s="469" t="s">
        <v>215</v>
      </c>
      <c r="E768" s="462" t="s">
        <v>132</v>
      </c>
      <c r="F768" s="2"/>
      <c r="G768" s="10">
        <f>G769</f>
        <v>1523.201</v>
      </c>
      <c r="H768" s="204"/>
    </row>
    <row r="769" spans="1:8" s="457" customFormat="1" ht="31.5" x14ac:dyDescent="0.25">
      <c r="A769" s="466" t="s">
        <v>133</v>
      </c>
      <c r="B769" s="462" t="s">
        <v>1675</v>
      </c>
      <c r="C769" s="469" t="s">
        <v>234</v>
      </c>
      <c r="D769" s="469" t="s">
        <v>215</v>
      </c>
      <c r="E769" s="462" t="s">
        <v>134</v>
      </c>
      <c r="F769" s="2"/>
      <c r="G769" s="10">
        <f>'Пр.4 ведом.21'!G1142</f>
        <v>1523.201</v>
      </c>
      <c r="H769" s="204"/>
    </row>
    <row r="770" spans="1:8" s="457" customFormat="1" ht="31.5" x14ac:dyDescent="0.25">
      <c r="A770" s="45" t="s">
        <v>623</v>
      </c>
      <c r="B770" s="462" t="s">
        <v>1675</v>
      </c>
      <c r="C770" s="469" t="s">
        <v>234</v>
      </c>
      <c r="D770" s="469" t="s">
        <v>215</v>
      </c>
      <c r="E770" s="462" t="s">
        <v>134</v>
      </c>
      <c r="F770" s="2">
        <v>908</v>
      </c>
      <c r="G770" s="10">
        <f>G769</f>
        <v>1523.201</v>
      </c>
      <c r="H770" s="204"/>
    </row>
    <row r="771" spans="1:8" s="457" customFormat="1" ht="37.5" customHeight="1" x14ac:dyDescent="0.25">
      <c r="A771" s="34" t="s">
        <v>1704</v>
      </c>
      <c r="B771" s="465" t="s">
        <v>1701</v>
      </c>
      <c r="C771" s="7"/>
      <c r="D771" s="7"/>
      <c r="E771" s="465"/>
      <c r="F771" s="3"/>
      <c r="G771" s="59">
        <f>G772</f>
        <v>4637.2</v>
      </c>
      <c r="H771" s="204"/>
    </row>
    <row r="772" spans="1:8" s="457" customFormat="1" ht="15.75" x14ac:dyDescent="0.25">
      <c r="A772" s="73" t="s">
        <v>390</v>
      </c>
      <c r="B772" s="462" t="s">
        <v>1701</v>
      </c>
      <c r="C772" s="469" t="s">
        <v>234</v>
      </c>
      <c r="D772" s="469"/>
      <c r="E772" s="462"/>
      <c r="F772" s="2"/>
      <c r="G772" s="10">
        <f>G773</f>
        <v>4637.2</v>
      </c>
      <c r="H772" s="204"/>
    </row>
    <row r="773" spans="1:8" s="457" customFormat="1" ht="15.75" x14ac:dyDescent="0.25">
      <c r="A773" s="73" t="s">
        <v>541</v>
      </c>
      <c r="B773" s="462" t="s">
        <v>1701</v>
      </c>
      <c r="C773" s="469" t="s">
        <v>234</v>
      </c>
      <c r="D773" s="469" t="s">
        <v>215</v>
      </c>
      <c r="E773" s="462"/>
      <c r="F773" s="2"/>
      <c r="G773" s="10">
        <f>G774</f>
        <v>4637.2</v>
      </c>
      <c r="H773" s="204"/>
    </row>
    <row r="774" spans="1:8" s="457" customFormat="1" ht="47.25" x14ac:dyDescent="0.25">
      <c r="A774" s="31" t="s">
        <v>1702</v>
      </c>
      <c r="B774" s="462" t="s">
        <v>1703</v>
      </c>
      <c r="C774" s="469" t="s">
        <v>234</v>
      </c>
      <c r="D774" s="469" t="s">
        <v>215</v>
      </c>
      <c r="E774" s="462"/>
      <c r="F774" s="2"/>
      <c r="G774" s="10">
        <f>G775</f>
        <v>4637.2</v>
      </c>
      <c r="H774" s="204"/>
    </row>
    <row r="775" spans="1:8" s="457" customFormat="1" ht="31.5" x14ac:dyDescent="0.25">
      <c r="A775" s="466" t="s">
        <v>131</v>
      </c>
      <c r="B775" s="462" t="s">
        <v>1703</v>
      </c>
      <c r="C775" s="469" t="s">
        <v>234</v>
      </c>
      <c r="D775" s="469" t="s">
        <v>215</v>
      </c>
      <c r="E775" s="462" t="s">
        <v>132</v>
      </c>
      <c r="F775" s="2"/>
      <c r="G775" s="10">
        <f>G776</f>
        <v>4637.2</v>
      </c>
      <c r="H775" s="204"/>
    </row>
    <row r="776" spans="1:8" s="457" customFormat="1" ht="31.5" x14ac:dyDescent="0.25">
      <c r="A776" s="466" t="s">
        <v>133</v>
      </c>
      <c r="B776" s="462" t="s">
        <v>1703</v>
      </c>
      <c r="C776" s="469" t="s">
        <v>234</v>
      </c>
      <c r="D776" s="469" t="s">
        <v>215</v>
      </c>
      <c r="E776" s="462" t="s">
        <v>134</v>
      </c>
      <c r="F776" s="2"/>
      <c r="G776" s="10">
        <f>'Пр.4 ведом.21'!G1146</f>
        <v>4637.2</v>
      </c>
      <c r="H776" s="204"/>
    </row>
    <row r="777" spans="1:8" s="457" customFormat="1" ht="31.5" x14ac:dyDescent="0.25">
      <c r="A777" s="45" t="s">
        <v>623</v>
      </c>
      <c r="B777" s="462" t="s">
        <v>1703</v>
      </c>
      <c r="C777" s="469" t="s">
        <v>234</v>
      </c>
      <c r="D777" s="469" t="s">
        <v>215</v>
      </c>
      <c r="E777" s="462" t="s">
        <v>134</v>
      </c>
      <c r="F777" s="2">
        <v>908</v>
      </c>
      <c r="G777" s="10">
        <v>4637.2</v>
      </c>
      <c r="H777" s="204"/>
    </row>
    <row r="778" spans="1:8" ht="39.75" customHeight="1" x14ac:dyDescent="0.25">
      <c r="A778" s="34" t="s">
        <v>1355</v>
      </c>
      <c r="B778" s="194" t="s">
        <v>182</v>
      </c>
      <c r="C778" s="7"/>
      <c r="D778" s="7"/>
      <c r="E778" s="7"/>
      <c r="F778" s="3"/>
      <c r="G778" s="59">
        <f>G779+G786</f>
        <v>19</v>
      </c>
      <c r="H778" s="204">
        <v>355</v>
      </c>
    </row>
    <row r="779" spans="1:8" s="203" customFormat="1" ht="31.5" x14ac:dyDescent="0.25">
      <c r="A779" s="34" t="s">
        <v>1006</v>
      </c>
      <c r="B779" s="194" t="s">
        <v>877</v>
      </c>
      <c r="C779" s="7"/>
      <c r="D779" s="7"/>
      <c r="E779" s="7"/>
      <c r="F779" s="3"/>
      <c r="G779" s="59">
        <f>G780</f>
        <v>19</v>
      </c>
      <c r="H779" s="204"/>
    </row>
    <row r="780" spans="1:8" ht="15.75" x14ac:dyDescent="0.25">
      <c r="A780" s="29" t="s">
        <v>232</v>
      </c>
      <c r="B780" s="5" t="s">
        <v>877</v>
      </c>
      <c r="C780" s="469" t="s">
        <v>150</v>
      </c>
      <c r="D780" s="469"/>
      <c r="E780" s="469"/>
      <c r="F780" s="2"/>
      <c r="G780" s="10">
        <f t="shared" ref="G780:G783" si="59">G781</f>
        <v>19</v>
      </c>
    </row>
    <row r="781" spans="1:8" ht="15.75" x14ac:dyDescent="0.25">
      <c r="A781" s="29" t="s">
        <v>233</v>
      </c>
      <c r="B781" s="30" t="s">
        <v>877</v>
      </c>
      <c r="C781" s="469" t="s">
        <v>150</v>
      </c>
      <c r="D781" s="469" t="s">
        <v>234</v>
      </c>
      <c r="E781" s="469"/>
      <c r="F781" s="2"/>
      <c r="G781" s="10">
        <f>G782</f>
        <v>19</v>
      </c>
    </row>
    <row r="782" spans="1:8" ht="31.5" x14ac:dyDescent="0.25">
      <c r="A782" s="466" t="s">
        <v>235</v>
      </c>
      <c r="B782" s="462" t="s">
        <v>898</v>
      </c>
      <c r="C782" s="469" t="s">
        <v>150</v>
      </c>
      <c r="D782" s="469" t="s">
        <v>234</v>
      </c>
      <c r="E782" s="469"/>
      <c r="F782" s="2"/>
      <c r="G782" s="10">
        <f t="shared" si="59"/>
        <v>19</v>
      </c>
    </row>
    <row r="783" spans="1:8" ht="15.75" x14ac:dyDescent="0.25">
      <c r="A783" s="29" t="s">
        <v>135</v>
      </c>
      <c r="B783" s="462" t="s">
        <v>898</v>
      </c>
      <c r="C783" s="469" t="s">
        <v>150</v>
      </c>
      <c r="D783" s="469" t="s">
        <v>234</v>
      </c>
      <c r="E783" s="469" t="s">
        <v>145</v>
      </c>
      <c r="F783" s="2"/>
      <c r="G783" s="10">
        <f t="shared" si="59"/>
        <v>19</v>
      </c>
    </row>
    <row r="784" spans="1:8" ht="47.25" x14ac:dyDescent="0.25">
      <c r="A784" s="29" t="s">
        <v>184</v>
      </c>
      <c r="B784" s="462" t="s">
        <v>898</v>
      </c>
      <c r="C784" s="469" t="s">
        <v>150</v>
      </c>
      <c r="D784" s="469" t="s">
        <v>234</v>
      </c>
      <c r="E784" s="469" t="s">
        <v>160</v>
      </c>
      <c r="F784" s="2"/>
      <c r="G784" s="10">
        <f>'Пр.4 ведом.21'!G220</f>
        <v>19</v>
      </c>
    </row>
    <row r="785" spans="1:8" ht="23.25" customHeight="1" x14ac:dyDescent="0.25">
      <c r="A785" s="29" t="s">
        <v>148</v>
      </c>
      <c r="B785" s="462" t="s">
        <v>898</v>
      </c>
      <c r="C785" s="469" t="s">
        <v>150</v>
      </c>
      <c r="D785" s="469" t="s">
        <v>234</v>
      </c>
      <c r="E785" s="469" t="s">
        <v>160</v>
      </c>
      <c r="F785" s="2">
        <v>902</v>
      </c>
      <c r="G785" s="10">
        <f>G784</f>
        <v>19</v>
      </c>
    </row>
    <row r="786" spans="1:8" s="203" customFormat="1" ht="47.25" hidden="1" x14ac:dyDescent="0.25">
      <c r="A786" s="213" t="s">
        <v>1007</v>
      </c>
      <c r="B786" s="465" t="s">
        <v>879</v>
      </c>
      <c r="C786" s="469"/>
      <c r="D786" s="469"/>
      <c r="E786" s="469"/>
      <c r="F786" s="2"/>
      <c r="G786" s="10">
        <f>G787</f>
        <v>0</v>
      </c>
      <c r="H786" s="204"/>
    </row>
    <row r="787" spans="1:8" s="203" customFormat="1" ht="15.75" hidden="1" x14ac:dyDescent="0.25">
      <c r="A787" s="29" t="s">
        <v>232</v>
      </c>
      <c r="B787" s="462" t="s">
        <v>879</v>
      </c>
      <c r="C787" s="469" t="s">
        <v>150</v>
      </c>
      <c r="D787" s="469"/>
      <c r="E787" s="469"/>
      <c r="F787" s="2"/>
      <c r="G787" s="10">
        <f>G788</f>
        <v>0</v>
      </c>
      <c r="H787" s="204"/>
    </row>
    <row r="788" spans="1:8" s="203" customFormat="1" ht="15.75" hidden="1" x14ac:dyDescent="0.25">
      <c r="A788" s="29" t="s">
        <v>233</v>
      </c>
      <c r="B788" s="462" t="s">
        <v>879</v>
      </c>
      <c r="C788" s="469" t="s">
        <v>150</v>
      </c>
      <c r="D788" s="469" t="s">
        <v>234</v>
      </c>
      <c r="E788" s="469"/>
      <c r="F788" s="2"/>
      <c r="G788" s="10">
        <f>G789</f>
        <v>0</v>
      </c>
      <c r="H788" s="204"/>
    </row>
    <row r="789" spans="1:8" s="203" customFormat="1" ht="15.75" hidden="1" x14ac:dyDescent="0.25">
      <c r="A789" s="466" t="s">
        <v>878</v>
      </c>
      <c r="B789" s="5" t="s">
        <v>899</v>
      </c>
      <c r="C789" s="469" t="s">
        <v>150</v>
      </c>
      <c r="D789" s="469" t="s">
        <v>234</v>
      </c>
      <c r="E789" s="469"/>
      <c r="F789" s="2"/>
      <c r="G789" s="10">
        <f>G790</f>
        <v>0</v>
      </c>
      <c r="H789" s="204"/>
    </row>
    <row r="790" spans="1:8" s="203" customFormat="1" ht="15.75" hidden="1" x14ac:dyDescent="0.25">
      <c r="A790" s="29" t="s">
        <v>135</v>
      </c>
      <c r="B790" s="5" t="s">
        <v>899</v>
      </c>
      <c r="C790" s="469" t="s">
        <v>150</v>
      </c>
      <c r="D790" s="469" t="s">
        <v>234</v>
      </c>
      <c r="E790" s="469" t="s">
        <v>145</v>
      </c>
      <c r="F790" s="2"/>
      <c r="G790" s="10">
        <f>G791</f>
        <v>0</v>
      </c>
      <c r="H790" s="204"/>
    </row>
    <row r="791" spans="1:8" s="203" customFormat="1" ht="47.25" hidden="1" x14ac:dyDescent="0.25">
      <c r="A791" s="29" t="s">
        <v>184</v>
      </c>
      <c r="B791" s="5" t="s">
        <v>899</v>
      </c>
      <c r="C791" s="469" t="s">
        <v>150</v>
      </c>
      <c r="D791" s="469" t="s">
        <v>234</v>
      </c>
      <c r="E791" s="469" t="s">
        <v>160</v>
      </c>
      <c r="F791" s="2"/>
      <c r="G791" s="10">
        <f>'Пр.3 Рд,пр, ЦС,ВР 21'!F299</f>
        <v>0</v>
      </c>
      <c r="H791" s="204"/>
    </row>
    <row r="792" spans="1:8" s="203" customFormat="1" ht="19.5" hidden="1" customHeight="1" x14ac:dyDescent="0.25">
      <c r="A792" s="29" t="s">
        <v>148</v>
      </c>
      <c r="B792" s="5" t="s">
        <v>899</v>
      </c>
      <c r="C792" s="469" t="s">
        <v>150</v>
      </c>
      <c r="D792" s="469" t="s">
        <v>234</v>
      </c>
      <c r="E792" s="469" t="s">
        <v>160</v>
      </c>
      <c r="F792" s="2">
        <v>902</v>
      </c>
      <c r="G792" s="10">
        <f>G791</f>
        <v>0</v>
      </c>
      <c r="H792" s="204"/>
    </row>
    <row r="793" spans="1:8" ht="52.5" customHeight="1" x14ac:dyDescent="0.25">
      <c r="A793" s="470" t="s">
        <v>1542</v>
      </c>
      <c r="B793" s="7" t="s">
        <v>518</v>
      </c>
      <c r="C793" s="7"/>
      <c r="D793" s="7"/>
      <c r="E793" s="72"/>
      <c r="F793" s="3"/>
      <c r="G793" s="59">
        <f>G794+G801+G808+G815+G822+G829+G836+G843</f>
        <v>57060.592710000004</v>
      </c>
      <c r="H793" s="204">
        <v>8940</v>
      </c>
    </row>
    <row r="794" spans="1:8" s="203" customFormat="1" ht="31.7" hidden="1" customHeight="1" x14ac:dyDescent="0.25">
      <c r="A794" s="464" t="s">
        <v>963</v>
      </c>
      <c r="B794" s="465" t="s">
        <v>965</v>
      </c>
      <c r="C794" s="469"/>
      <c r="D794" s="469"/>
      <c r="E794" s="469"/>
      <c r="F794" s="2"/>
      <c r="G794" s="59">
        <f>G795</f>
        <v>0</v>
      </c>
      <c r="H794" s="204"/>
    </row>
    <row r="795" spans="1:8" s="203" customFormat="1" ht="18" hidden="1" customHeight="1" x14ac:dyDescent="0.25">
      <c r="A795" s="29" t="s">
        <v>390</v>
      </c>
      <c r="B795" s="469" t="s">
        <v>965</v>
      </c>
      <c r="C795" s="469" t="s">
        <v>234</v>
      </c>
      <c r="D795" s="469"/>
      <c r="E795" s="73"/>
      <c r="F795" s="2"/>
      <c r="G795" s="10">
        <f t="shared" ref="G795" si="60">G796</f>
        <v>0</v>
      </c>
      <c r="H795" s="204"/>
    </row>
    <row r="796" spans="1:8" s="203" customFormat="1" ht="19.5" hidden="1" customHeight="1" x14ac:dyDescent="0.25">
      <c r="A796" s="29" t="s">
        <v>517</v>
      </c>
      <c r="B796" s="469" t="s">
        <v>965</v>
      </c>
      <c r="C796" s="469" t="s">
        <v>234</v>
      </c>
      <c r="D796" s="469" t="s">
        <v>213</v>
      </c>
      <c r="E796" s="73"/>
      <c r="F796" s="2"/>
      <c r="G796" s="10">
        <f>G797</f>
        <v>0</v>
      </c>
      <c r="H796" s="204"/>
    </row>
    <row r="797" spans="1:8" ht="15.75" hidden="1" x14ac:dyDescent="0.25">
      <c r="A797" s="45" t="s">
        <v>521</v>
      </c>
      <c r="B797" s="462" t="s">
        <v>966</v>
      </c>
      <c r="C797" s="469" t="s">
        <v>234</v>
      </c>
      <c r="D797" s="469" t="s">
        <v>213</v>
      </c>
      <c r="E797" s="469"/>
      <c r="F797" s="2"/>
      <c r="G797" s="10">
        <f t="shared" ref="G797:G798" si="61">G798</f>
        <v>0</v>
      </c>
    </row>
    <row r="798" spans="1:8" ht="31.5" hidden="1" x14ac:dyDescent="0.25">
      <c r="A798" s="31" t="s">
        <v>131</v>
      </c>
      <c r="B798" s="462" t="s">
        <v>966</v>
      </c>
      <c r="C798" s="469" t="s">
        <v>234</v>
      </c>
      <c r="D798" s="469" t="s">
        <v>213</v>
      </c>
      <c r="E798" s="469" t="s">
        <v>132</v>
      </c>
      <c r="F798" s="2"/>
      <c r="G798" s="10">
        <f t="shared" si="61"/>
        <v>0</v>
      </c>
    </row>
    <row r="799" spans="1:8" ht="31.5" hidden="1" x14ac:dyDescent="0.25">
      <c r="A799" s="31" t="s">
        <v>133</v>
      </c>
      <c r="B799" s="462" t="s">
        <v>966</v>
      </c>
      <c r="C799" s="469" t="s">
        <v>234</v>
      </c>
      <c r="D799" s="469" t="s">
        <v>213</v>
      </c>
      <c r="E799" s="469" t="s">
        <v>134</v>
      </c>
      <c r="F799" s="2"/>
      <c r="G799" s="10">
        <f>'Пр.3 Рд,пр, ЦС,ВР 21'!F404</f>
        <v>0</v>
      </c>
    </row>
    <row r="800" spans="1:8" s="203" customFormat="1" ht="36.75" hidden="1" customHeight="1" x14ac:dyDescent="0.25">
      <c r="A800" s="45" t="s">
        <v>623</v>
      </c>
      <c r="B800" s="462" t="s">
        <v>966</v>
      </c>
      <c r="C800" s="469" t="s">
        <v>234</v>
      </c>
      <c r="D800" s="469" t="s">
        <v>213</v>
      </c>
      <c r="E800" s="469" t="s">
        <v>134</v>
      </c>
      <c r="F800" s="2">
        <v>908</v>
      </c>
      <c r="G800" s="459">
        <f>G799</f>
        <v>0</v>
      </c>
      <c r="H800" s="204"/>
    </row>
    <row r="801" spans="1:8" s="203" customFormat="1" ht="31.5" x14ac:dyDescent="0.25">
      <c r="A801" s="34" t="s">
        <v>967</v>
      </c>
      <c r="B801" s="465" t="s">
        <v>968</v>
      </c>
      <c r="C801" s="469"/>
      <c r="D801" s="469"/>
      <c r="E801" s="469"/>
      <c r="F801" s="2"/>
      <c r="G801" s="59">
        <f>G802</f>
        <v>390</v>
      </c>
      <c r="H801" s="204"/>
    </row>
    <row r="802" spans="1:8" s="203" customFormat="1" ht="15.75" x14ac:dyDescent="0.25">
      <c r="A802" s="29" t="s">
        <v>390</v>
      </c>
      <c r="B802" s="469" t="s">
        <v>968</v>
      </c>
      <c r="C802" s="469" t="s">
        <v>234</v>
      </c>
      <c r="D802" s="469"/>
      <c r="E802" s="73"/>
      <c r="F802" s="2"/>
      <c r="G802" s="10">
        <f t="shared" ref="G802" si="62">G803</f>
        <v>390</v>
      </c>
      <c r="H802" s="204"/>
    </row>
    <row r="803" spans="1:8" s="203" customFormat="1" ht="15.75" x14ac:dyDescent="0.25">
      <c r="A803" s="29" t="s">
        <v>517</v>
      </c>
      <c r="B803" s="469" t="s">
        <v>968</v>
      </c>
      <c r="C803" s="469" t="s">
        <v>234</v>
      </c>
      <c r="D803" s="469" t="s">
        <v>213</v>
      </c>
      <c r="E803" s="73"/>
      <c r="F803" s="2"/>
      <c r="G803" s="10">
        <f>G804</f>
        <v>390</v>
      </c>
      <c r="H803" s="204"/>
    </row>
    <row r="804" spans="1:8" ht="15.75" customHeight="1" x14ac:dyDescent="0.25">
      <c r="A804" s="45" t="s">
        <v>523</v>
      </c>
      <c r="B804" s="462" t="s">
        <v>971</v>
      </c>
      <c r="C804" s="469" t="s">
        <v>234</v>
      </c>
      <c r="D804" s="469" t="s">
        <v>213</v>
      </c>
      <c r="E804" s="469"/>
      <c r="F804" s="2"/>
      <c r="G804" s="10">
        <f>G805</f>
        <v>390</v>
      </c>
    </row>
    <row r="805" spans="1:8" ht="31.7" customHeight="1" x14ac:dyDescent="0.25">
      <c r="A805" s="31" t="s">
        <v>131</v>
      </c>
      <c r="B805" s="462" t="s">
        <v>971</v>
      </c>
      <c r="C805" s="469" t="s">
        <v>234</v>
      </c>
      <c r="D805" s="469" t="s">
        <v>213</v>
      </c>
      <c r="E805" s="469" t="s">
        <v>132</v>
      </c>
      <c r="F805" s="2"/>
      <c r="G805" s="10">
        <f t="shared" ref="G805" si="63">G806</f>
        <v>390</v>
      </c>
    </row>
    <row r="806" spans="1:8" ht="31.7" customHeight="1" x14ac:dyDescent="0.25">
      <c r="A806" s="31" t="s">
        <v>133</v>
      </c>
      <c r="B806" s="462" t="s">
        <v>971</v>
      </c>
      <c r="C806" s="469" t="s">
        <v>234</v>
      </c>
      <c r="D806" s="469" t="s">
        <v>213</v>
      </c>
      <c r="E806" s="469" t="s">
        <v>134</v>
      </c>
      <c r="F806" s="2"/>
      <c r="G806" s="10">
        <f>'Пр.3 Рд,пр, ЦС,ВР 21'!F408</f>
        <v>390</v>
      </c>
    </row>
    <row r="807" spans="1:8" s="203" customFormat="1" ht="31.7" customHeight="1" x14ac:dyDescent="0.25">
      <c r="A807" s="45" t="s">
        <v>623</v>
      </c>
      <c r="B807" s="462" t="s">
        <v>971</v>
      </c>
      <c r="C807" s="469" t="s">
        <v>234</v>
      </c>
      <c r="D807" s="469" t="s">
        <v>213</v>
      </c>
      <c r="E807" s="469" t="s">
        <v>134</v>
      </c>
      <c r="F807" s="2">
        <v>908</v>
      </c>
      <c r="G807" s="459">
        <f>G806</f>
        <v>390</v>
      </c>
      <c r="H807" s="204"/>
    </row>
    <row r="808" spans="1:8" s="203" customFormat="1" ht="35.450000000000003" hidden="1" customHeight="1" x14ac:dyDescent="0.25">
      <c r="A808" s="58" t="s">
        <v>969</v>
      </c>
      <c r="B808" s="465" t="s">
        <v>970</v>
      </c>
      <c r="C808" s="469"/>
      <c r="D808" s="469"/>
      <c r="E808" s="469"/>
      <c r="F808" s="2"/>
      <c r="G808" s="59">
        <f>G809</f>
        <v>0</v>
      </c>
      <c r="H808" s="204"/>
    </row>
    <row r="809" spans="1:8" s="203" customFormat="1" ht="15.75" hidden="1" customHeight="1" x14ac:dyDescent="0.25">
      <c r="A809" s="29" t="s">
        <v>390</v>
      </c>
      <c r="B809" s="469" t="s">
        <v>970</v>
      </c>
      <c r="C809" s="469" t="s">
        <v>234</v>
      </c>
      <c r="D809" s="469"/>
      <c r="E809" s="73"/>
      <c r="F809" s="2"/>
      <c r="G809" s="10">
        <f t="shared" ref="G809" si="64">G810</f>
        <v>0</v>
      </c>
      <c r="H809" s="204"/>
    </row>
    <row r="810" spans="1:8" s="203" customFormat="1" ht="15.75" hidden="1" customHeight="1" x14ac:dyDescent="0.25">
      <c r="A810" s="29" t="s">
        <v>517</v>
      </c>
      <c r="B810" s="469" t="s">
        <v>970</v>
      </c>
      <c r="C810" s="469" t="s">
        <v>234</v>
      </c>
      <c r="D810" s="469" t="s">
        <v>213</v>
      </c>
      <c r="E810" s="73"/>
      <c r="F810" s="2"/>
      <c r="G810" s="10">
        <f>G811</f>
        <v>0</v>
      </c>
      <c r="H810" s="204"/>
    </row>
    <row r="811" spans="1:8" ht="15.75" hidden="1" customHeight="1" x14ac:dyDescent="0.25">
      <c r="A811" s="45" t="s">
        <v>525</v>
      </c>
      <c r="B811" s="462" t="s">
        <v>972</v>
      </c>
      <c r="C811" s="469" t="s">
        <v>234</v>
      </c>
      <c r="D811" s="469" t="s">
        <v>213</v>
      </c>
      <c r="E811" s="469"/>
      <c r="F811" s="2"/>
      <c r="G811" s="10">
        <f>G812</f>
        <v>0</v>
      </c>
    </row>
    <row r="812" spans="1:8" ht="31.7" hidden="1" customHeight="1" x14ac:dyDescent="0.25">
      <c r="A812" s="31" t="s">
        <v>131</v>
      </c>
      <c r="B812" s="462" t="s">
        <v>972</v>
      </c>
      <c r="C812" s="469" t="s">
        <v>234</v>
      </c>
      <c r="D812" s="469" t="s">
        <v>213</v>
      </c>
      <c r="E812" s="469" t="s">
        <v>132</v>
      </c>
      <c r="F812" s="2"/>
      <c r="G812" s="10">
        <f t="shared" ref="G812" si="65">G813</f>
        <v>0</v>
      </c>
    </row>
    <row r="813" spans="1:8" ht="31.7" hidden="1" customHeight="1" x14ac:dyDescent="0.25">
      <c r="A813" s="31" t="s">
        <v>133</v>
      </c>
      <c r="B813" s="462" t="s">
        <v>972</v>
      </c>
      <c r="C813" s="469" t="s">
        <v>234</v>
      </c>
      <c r="D813" s="469" t="s">
        <v>213</v>
      </c>
      <c r="E813" s="469" t="s">
        <v>134</v>
      </c>
      <c r="F813" s="2"/>
      <c r="G813" s="10">
        <f>'Пр.3 Рд,пр, ЦС,ВР 21'!F412</f>
        <v>0</v>
      </c>
    </row>
    <row r="814" spans="1:8" s="203" customFormat="1" ht="31.7" hidden="1" customHeight="1" x14ac:dyDescent="0.25">
      <c r="A814" s="45" t="s">
        <v>623</v>
      </c>
      <c r="B814" s="462" t="s">
        <v>972</v>
      </c>
      <c r="C814" s="469" t="s">
        <v>234</v>
      </c>
      <c r="D814" s="469" t="s">
        <v>213</v>
      </c>
      <c r="E814" s="469" t="s">
        <v>134</v>
      </c>
      <c r="F814" s="2">
        <v>908</v>
      </c>
      <c r="G814" s="459">
        <f>G813</f>
        <v>0</v>
      </c>
      <c r="H814" s="204"/>
    </row>
    <row r="815" spans="1:8" s="203" customFormat="1" ht="35.450000000000003" customHeight="1" x14ac:dyDescent="0.25">
      <c r="A815" s="58" t="s">
        <v>973</v>
      </c>
      <c r="B815" s="465" t="s">
        <v>974</v>
      </c>
      <c r="C815" s="469"/>
      <c r="D815" s="469"/>
      <c r="E815" s="469"/>
      <c r="F815" s="2"/>
      <c r="G815" s="59">
        <f>G816</f>
        <v>261.7</v>
      </c>
      <c r="H815" s="204"/>
    </row>
    <row r="816" spans="1:8" s="203" customFormat="1" ht="15.75" customHeight="1" x14ac:dyDescent="0.25">
      <c r="A816" s="29" t="s">
        <v>390</v>
      </c>
      <c r="B816" s="469" t="s">
        <v>974</v>
      </c>
      <c r="C816" s="469" t="s">
        <v>234</v>
      </c>
      <c r="D816" s="469"/>
      <c r="E816" s="73"/>
      <c r="F816" s="2"/>
      <c r="G816" s="10">
        <f>G817</f>
        <v>261.7</v>
      </c>
      <c r="H816" s="204"/>
    </row>
    <row r="817" spans="1:8" s="203" customFormat="1" ht="15.75" customHeight="1" x14ac:dyDescent="0.25">
      <c r="A817" s="29" t="s">
        <v>517</v>
      </c>
      <c r="B817" s="469" t="s">
        <v>974</v>
      </c>
      <c r="C817" s="469" t="s">
        <v>234</v>
      </c>
      <c r="D817" s="469" t="s">
        <v>213</v>
      </c>
      <c r="E817" s="73"/>
      <c r="F817" s="2"/>
      <c r="G817" s="10">
        <f>G818</f>
        <v>261.7</v>
      </c>
      <c r="H817" s="204"/>
    </row>
    <row r="818" spans="1:8" ht="15.75" x14ac:dyDescent="0.25">
      <c r="A818" s="45" t="s">
        <v>527</v>
      </c>
      <c r="B818" s="462" t="s">
        <v>975</v>
      </c>
      <c r="C818" s="469" t="s">
        <v>234</v>
      </c>
      <c r="D818" s="469" t="s">
        <v>213</v>
      </c>
      <c r="E818" s="469"/>
      <c r="F818" s="2"/>
      <c r="G818" s="10">
        <f t="shared" ref="G818:G819" si="66">G819</f>
        <v>261.7</v>
      </c>
    </row>
    <row r="819" spans="1:8" ht="31.5" x14ac:dyDescent="0.25">
      <c r="A819" s="31" t="s">
        <v>131</v>
      </c>
      <c r="B819" s="462" t="s">
        <v>975</v>
      </c>
      <c r="C819" s="469" t="s">
        <v>234</v>
      </c>
      <c r="D819" s="469" t="s">
        <v>213</v>
      </c>
      <c r="E819" s="469" t="s">
        <v>132</v>
      </c>
      <c r="F819" s="2"/>
      <c r="G819" s="10">
        <f t="shared" si="66"/>
        <v>261.7</v>
      </c>
    </row>
    <row r="820" spans="1:8" ht="31.5" x14ac:dyDescent="0.25">
      <c r="A820" s="31" t="s">
        <v>133</v>
      </c>
      <c r="B820" s="462" t="s">
        <v>975</v>
      </c>
      <c r="C820" s="469" t="s">
        <v>234</v>
      </c>
      <c r="D820" s="469" t="s">
        <v>213</v>
      </c>
      <c r="E820" s="469" t="s">
        <v>134</v>
      </c>
      <c r="F820" s="2"/>
      <c r="G820" s="10">
        <f>'Пр.3 Рд,пр, ЦС,ВР 21'!F416</f>
        <v>261.7</v>
      </c>
    </row>
    <row r="821" spans="1:8" s="203" customFormat="1" ht="39.200000000000003" customHeight="1" x14ac:dyDescent="0.25">
      <c r="A821" s="45" t="s">
        <v>623</v>
      </c>
      <c r="B821" s="462" t="s">
        <v>975</v>
      </c>
      <c r="C821" s="469" t="s">
        <v>234</v>
      </c>
      <c r="D821" s="469" t="s">
        <v>213</v>
      </c>
      <c r="E821" s="469" t="s">
        <v>134</v>
      </c>
      <c r="F821" s="2">
        <v>908</v>
      </c>
      <c r="G821" s="459">
        <f>G820</f>
        <v>261.7</v>
      </c>
      <c r="H821" s="204"/>
    </row>
    <row r="822" spans="1:8" s="203" customFormat="1" ht="31.5" hidden="1" x14ac:dyDescent="0.25">
      <c r="A822" s="34" t="s">
        <v>1014</v>
      </c>
      <c r="B822" s="465" t="s">
        <v>1015</v>
      </c>
      <c r="C822" s="469"/>
      <c r="D822" s="469"/>
      <c r="E822" s="469"/>
      <c r="F822" s="2"/>
      <c r="G822" s="59">
        <f>G823</f>
        <v>30.3</v>
      </c>
      <c r="H822" s="204"/>
    </row>
    <row r="823" spans="1:8" s="203" customFormat="1" ht="15.75" hidden="1" x14ac:dyDescent="0.25">
      <c r="A823" s="29" t="s">
        <v>390</v>
      </c>
      <c r="B823" s="469" t="s">
        <v>518</v>
      </c>
      <c r="C823" s="469" t="s">
        <v>234</v>
      </c>
      <c r="D823" s="469"/>
      <c r="E823" s="73"/>
      <c r="F823" s="2"/>
      <c r="G823" s="10">
        <f t="shared" ref="G823" si="67">G824</f>
        <v>30.3</v>
      </c>
      <c r="H823" s="204"/>
    </row>
    <row r="824" spans="1:8" s="203" customFormat="1" ht="15.75" hidden="1" x14ac:dyDescent="0.25">
      <c r="A824" s="29" t="s">
        <v>517</v>
      </c>
      <c r="B824" s="469" t="s">
        <v>518</v>
      </c>
      <c r="C824" s="469" t="s">
        <v>234</v>
      </c>
      <c r="D824" s="469" t="s">
        <v>213</v>
      </c>
      <c r="E824" s="73"/>
      <c r="F824" s="2"/>
      <c r="G824" s="10">
        <f>G825</f>
        <v>30.3</v>
      </c>
      <c r="H824" s="204"/>
    </row>
    <row r="825" spans="1:8" ht="15.75" hidden="1" customHeight="1" x14ac:dyDescent="0.25">
      <c r="A825" s="45" t="s">
        <v>529</v>
      </c>
      <c r="B825" s="462" t="s">
        <v>1018</v>
      </c>
      <c r="C825" s="469" t="s">
        <v>234</v>
      </c>
      <c r="D825" s="469" t="s">
        <v>213</v>
      </c>
      <c r="E825" s="469"/>
      <c r="F825" s="2"/>
      <c r="G825" s="10">
        <f t="shared" ref="G825:G826" si="68">G826</f>
        <v>30.3</v>
      </c>
    </row>
    <row r="826" spans="1:8" ht="31.7" hidden="1" customHeight="1" x14ac:dyDescent="0.25">
      <c r="A826" s="31" t="s">
        <v>131</v>
      </c>
      <c r="B826" s="462" t="s">
        <v>1018</v>
      </c>
      <c r="C826" s="469" t="s">
        <v>234</v>
      </c>
      <c r="D826" s="469" t="s">
        <v>213</v>
      </c>
      <c r="E826" s="469" t="s">
        <v>132</v>
      </c>
      <c r="F826" s="2"/>
      <c r="G826" s="10">
        <f t="shared" si="68"/>
        <v>30.3</v>
      </c>
    </row>
    <row r="827" spans="1:8" ht="31.7" hidden="1" customHeight="1" x14ac:dyDescent="0.25">
      <c r="A827" s="31" t="s">
        <v>133</v>
      </c>
      <c r="B827" s="462" t="s">
        <v>1018</v>
      </c>
      <c r="C827" s="469" t="s">
        <v>234</v>
      </c>
      <c r="D827" s="469" t="s">
        <v>213</v>
      </c>
      <c r="E827" s="469" t="s">
        <v>134</v>
      </c>
      <c r="F827" s="2"/>
      <c r="G827" s="10">
        <f>'Пр.3 Рд,пр, ЦС,ВР 21'!F420</f>
        <v>30.3</v>
      </c>
    </row>
    <row r="828" spans="1:8" s="203" customFormat="1" ht="31.7" hidden="1" customHeight="1" x14ac:dyDescent="0.25">
      <c r="A828" s="45" t="s">
        <v>623</v>
      </c>
      <c r="B828" s="462" t="s">
        <v>1018</v>
      </c>
      <c r="C828" s="469" t="s">
        <v>234</v>
      </c>
      <c r="D828" s="469" t="s">
        <v>213</v>
      </c>
      <c r="E828" s="469" t="s">
        <v>134</v>
      </c>
      <c r="F828" s="2">
        <v>908</v>
      </c>
      <c r="G828" s="459">
        <f>G827</f>
        <v>30.3</v>
      </c>
      <c r="H828" s="204"/>
    </row>
    <row r="829" spans="1:8" s="203" customFormat="1" ht="31.7" hidden="1" customHeight="1" x14ac:dyDescent="0.25">
      <c r="A829" s="219" t="s">
        <v>1016</v>
      </c>
      <c r="B829" s="465" t="s">
        <v>1017</v>
      </c>
      <c r="C829" s="469"/>
      <c r="D829" s="469"/>
      <c r="E829" s="469"/>
      <c r="F829" s="2"/>
      <c r="G829" s="59">
        <f>G830</f>
        <v>0</v>
      </c>
      <c r="H829" s="204"/>
    </row>
    <row r="830" spans="1:8" s="203" customFormat="1" ht="16.5" hidden="1" customHeight="1" x14ac:dyDescent="0.25">
      <c r="A830" s="29" t="s">
        <v>390</v>
      </c>
      <c r="B830" s="469" t="s">
        <v>518</v>
      </c>
      <c r="C830" s="469" t="s">
        <v>234</v>
      </c>
      <c r="D830" s="469"/>
      <c r="E830" s="73"/>
      <c r="F830" s="2"/>
      <c r="G830" s="10">
        <f t="shared" ref="G830" si="69">G831</f>
        <v>0</v>
      </c>
      <c r="H830" s="204"/>
    </row>
    <row r="831" spans="1:8" s="203" customFormat="1" ht="19.5" hidden="1" customHeight="1" x14ac:dyDescent="0.25">
      <c r="A831" s="29" t="s">
        <v>517</v>
      </c>
      <c r="B831" s="469" t="s">
        <v>518</v>
      </c>
      <c r="C831" s="469" t="s">
        <v>234</v>
      </c>
      <c r="D831" s="469" t="s">
        <v>213</v>
      </c>
      <c r="E831" s="73"/>
      <c r="F831" s="2"/>
      <c r="G831" s="10">
        <f>G832</f>
        <v>0</v>
      </c>
      <c r="H831" s="204"/>
    </row>
    <row r="832" spans="1:8" ht="31.7" hidden="1" customHeight="1" x14ac:dyDescent="0.25">
      <c r="A832" s="174" t="s">
        <v>531</v>
      </c>
      <c r="B832" s="462" t="s">
        <v>1019</v>
      </c>
      <c r="C832" s="469" t="s">
        <v>234</v>
      </c>
      <c r="D832" s="469" t="s">
        <v>213</v>
      </c>
      <c r="E832" s="469"/>
      <c r="F832" s="2"/>
      <c r="G832" s="10">
        <f t="shared" ref="G832:G833" si="70">G833</f>
        <v>0</v>
      </c>
    </row>
    <row r="833" spans="1:8" ht="31.7" hidden="1" customHeight="1" x14ac:dyDescent="0.25">
      <c r="A833" s="31" t="s">
        <v>131</v>
      </c>
      <c r="B833" s="462" t="s">
        <v>1019</v>
      </c>
      <c r="C833" s="469" t="s">
        <v>234</v>
      </c>
      <c r="D833" s="469" t="s">
        <v>213</v>
      </c>
      <c r="E833" s="469" t="s">
        <v>132</v>
      </c>
      <c r="F833" s="2"/>
      <c r="G833" s="10">
        <f t="shared" si="70"/>
        <v>0</v>
      </c>
    </row>
    <row r="834" spans="1:8" ht="31.7" hidden="1" customHeight="1" x14ac:dyDescent="0.25">
      <c r="A834" s="31" t="s">
        <v>133</v>
      </c>
      <c r="B834" s="462" t="s">
        <v>1019</v>
      </c>
      <c r="C834" s="469" t="s">
        <v>234</v>
      </c>
      <c r="D834" s="469" t="s">
        <v>213</v>
      </c>
      <c r="E834" s="469" t="s">
        <v>134</v>
      </c>
      <c r="F834" s="2"/>
      <c r="G834" s="10">
        <f>'Пр.3 Рд,пр, ЦС,ВР 21'!F424</f>
        <v>0</v>
      </c>
    </row>
    <row r="835" spans="1:8" s="203" customFormat="1" ht="31.7" hidden="1" customHeight="1" x14ac:dyDescent="0.25">
      <c r="A835" s="45" t="s">
        <v>623</v>
      </c>
      <c r="B835" s="462" t="s">
        <v>1019</v>
      </c>
      <c r="C835" s="469" t="s">
        <v>234</v>
      </c>
      <c r="D835" s="469" t="s">
        <v>213</v>
      </c>
      <c r="E835" s="469" t="s">
        <v>134</v>
      </c>
      <c r="F835" s="2">
        <v>908</v>
      </c>
      <c r="G835" s="459">
        <f>G834</f>
        <v>0</v>
      </c>
      <c r="H835" s="204"/>
    </row>
    <row r="836" spans="1:8" s="203" customFormat="1" ht="31.7" customHeight="1" x14ac:dyDescent="0.25">
      <c r="A836" s="219" t="s">
        <v>977</v>
      </c>
      <c r="B836" s="465" t="s">
        <v>978</v>
      </c>
      <c r="C836" s="469"/>
      <c r="D836" s="469"/>
      <c r="E836" s="469"/>
      <c r="F836" s="2"/>
      <c r="G836" s="59">
        <f>G837</f>
        <v>193.3</v>
      </c>
      <c r="H836" s="204"/>
    </row>
    <row r="837" spans="1:8" s="203" customFormat="1" ht="17.45" customHeight="1" x14ac:dyDescent="0.25">
      <c r="A837" s="29" t="s">
        <v>390</v>
      </c>
      <c r="B837" s="469" t="s">
        <v>978</v>
      </c>
      <c r="C837" s="469" t="s">
        <v>234</v>
      </c>
      <c r="D837" s="469"/>
      <c r="E837" s="73"/>
      <c r="F837" s="2"/>
      <c r="G837" s="10">
        <f>G838</f>
        <v>193.3</v>
      </c>
      <c r="H837" s="204"/>
    </row>
    <row r="838" spans="1:8" s="203" customFormat="1" ht="20.25" customHeight="1" x14ac:dyDescent="0.25">
      <c r="A838" s="29" t="s">
        <v>517</v>
      </c>
      <c r="B838" s="469" t="s">
        <v>978</v>
      </c>
      <c r="C838" s="469" t="s">
        <v>234</v>
      </c>
      <c r="D838" s="469" t="s">
        <v>213</v>
      </c>
      <c r="E838" s="73"/>
      <c r="F838" s="2"/>
      <c r="G838" s="10">
        <f>G839</f>
        <v>193.3</v>
      </c>
      <c r="H838" s="204"/>
    </row>
    <row r="839" spans="1:8" ht="15.75" x14ac:dyDescent="0.25">
      <c r="A839" s="174" t="s">
        <v>533</v>
      </c>
      <c r="B839" s="462" t="s">
        <v>976</v>
      </c>
      <c r="C839" s="469" t="s">
        <v>234</v>
      </c>
      <c r="D839" s="469" t="s">
        <v>213</v>
      </c>
      <c r="E839" s="469"/>
      <c r="F839" s="2"/>
      <c r="G839" s="10">
        <f t="shared" ref="G839:G840" si="71">G840</f>
        <v>193.3</v>
      </c>
    </row>
    <row r="840" spans="1:8" ht="31.5" x14ac:dyDescent="0.3">
      <c r="A840" s="466" t="s">
        <v>131</v>
      </c>
      <c r="B840" s="462" t="s">
        <v>976</v>
      </c>
      <c r="C840" s="469" t="s">
        <v>234</v>
      </c>
      <c r="D840" s="469" t="s">
        <v>213</v>
      </c>
      <c r="E840" s="2">
        <v>200</v>
      </c>
      <c r="F840" s="77"/>
      <c r="G840" s="459">
        <f t="shared" si="71"/>
        <v>193.3</v>
      </c>
    </row>
    <row r="841" spans="1:8" ht="31.5" x14ac:dyDescent="0.3">
      <c r="A841" s="466" t="s">
        <v>133</v>
      </c>
      <c r="B841" s="462" t="s">
        <v>976</v>
      </c>
      <c r="C841" s="469" t="s">
        <v>234</v>
      </c>
      <c r="D841" s="469" t="s">
        <v>213</v>
      </c>
      <c r="E841" s="2">
        <v>240</v>
      </c>
      <c r="F841" s="77"/>
      <c r="G841" s="459">
        <f>'Пр.3 Рд,пр, ЦС,ВР 21'!F428</f>
        <v>193.3</v>
      </c>
    </row>
    <row r="842" spans="1:8" ht="38.25" customHeight="1" x14ac:dyDescent="0.25">
      <c r="A842" s="45" t="s">
        <v>623</v>
      </c>
      <c r="B842" s="462" t="s">
        <v>976</v>
      </c>
      <c r="C842" s="469" t="s">
        <v>234</v>
      </c>
      <c r="D842" s="469" t="s">
        <v>213</v>
      </c>
      <c r="E842" s="2">
        <v>240</v>
      </c>
      <c r="F842" s="2">
        <v>908</v>
      </c>
      <c r="G842" s="459">
        <f>G841</f>
        <v>193.3</v>
      </c>
    </row>
    <row r="843" spans="1:8" s="457" customFormat="1" ht="31.5" x14ac:dyDescent="0.25">
      <c r="A843" s="219" t="s">
        <v>1774</v>
      </c>
      <c r="B843" s="465" t="s">
        <v>1773</v>
      </c>
      <c r="C843" s="7"/>
      <c r="D843" s="7"/>
      <c r="E843" s="3"/>
      <c r="F843" s="3"/>
      <c r="G843" s="458">
        <f>G844</f>
        <v>56185.292710000002</v>
      </c>
      <c r="H843" s="204"/>
    </row>
    <row r="844" spans="1:8" s="457" customFormat="1" ht="15.75" x14ac:dyDescent="0.25">
      <c r="A844" s="29" t="s">
        <v>390</v>
      </c>
      <c r="B844" s="469" t="s">
        <v>1773</v>
      </c>
      <c r="C844" s="469" t="s">
        <v>234</v>
      </c>
      <c r="D844" s="469"/>
      <c r="E844" s="2"/>
      <c r="F844" s="2"/>
      <c r="G844" s="459">
        <f>G845</f>
        <v>56185.292710000002</v>
      </c>
      <c r="H844" s="204"/>
    </row>
    <row r="845" spans="1:8" s="457" customFormat="1" ht="15.75" x14ac:dyDescent="0.25">
      <c r="A845" s="29" t="s">
        <v>517</v>
      </c>
      <c r="B845" s="469" t="s">
        <v>1773</v>
      </c>
      <c r="C845" s="469" t="s">
        <v>234</v>
      </c>
      <c r="D845" s="469" t="s">
        <v>213</v>
      </c>
      <c r="E845" s="2"/>
      <c r="F845" s="2"/>
      <c r="G845" s="459">
        <f>G846</f>
        <v>56185.292710000002</v>
      </c>
      <c r="H845" s="204"/>
    </row>
    <row r="846" spans="1:8" s="457" customFormat="1" ht="47.25" x14ac:dyDescent="0.25">
      <c r="A846" s="466" t="s">
        <v>1772</v>
      </c>
      <c r="B846" s="462" t="s">
        <v>1775</v>
      </c>
      <c r="C846" s="469" t="s">
        <v>234</v>
      </c>
      <c r="D846" s="469" t="s">
        <v>213</v>
      </c>
      <c r="E846" s="2"/>
      <c r="F846" s="2"/>
      <c r="G846" s="459">
        <f>G847</f>
        <v>56185.292710000002</v>
      </c>
      <c r="H846" s="204"/>
    </row>
    <row r="847" spans="1:8" s="457" customFormat="1" ht="31.5" x14ac:dyDescent="0.25">
      <c r="A847" s="466" t="s">
        <v>131</v>
      </c>
      <c r="B847" s="462" t="s">
        <v>1775</v>
      </c>
      <c r="C847" s="469" t="s">
        <v>234</v>
      </c>
      <c r="D847" s="469" t="s">
        <v>213</v>
      </c>
      <c r="E847" s="2">
        <v>200</v>
      </c>
      <c r="F847" s="2"/>
      <c r="G847" s="459">
        <f>G848</f>
        <v>56185.292710000002</v>
      </c>
      <c r="H847" s="204"/>
    </row>
    <row r="848" spans="1:8" s="457" customFormat="1" ht="31.5" x14ac:dyDescent="0.25">
      <c r="A848" s="466" t="s">
        <v>133</v>
      </c>
      <c r="B848" s="462" t="s">
        <v>1775</v>
      </c>
      <c r="C848" s="469" t="s">
        <v>234</v>
      </c>
      <c r="D848" s="469" t="s">
        <v>213</v>
      </c>
      <c r="E848" s="2">
        <v>240</v>
      </c>
      <c r="F848" s="2"/>
      <c r="G848" s="459">
        <f>'Пр.4 ведом.21'!G1088</f>
        <v>56185.292710000002</v>
      </c>
      <c r="H848" s="204"/>
    </row>
    <row r="849" spans="1:8" s="457" customFormat="1" ht="31.5" x14ac:dyDescent="0.25">
      <c r="A849" s="45" t="s">
        <v>623</v>
      </c>
      <c r="B849" s="462" t="s">
        <v>1775</v>
      </c>
      <c r="C849" s="469" t="s">
        <v>234</v>
      </c>
      <c r="D849" s="469" t="s">
        <v>213</v>
      </c>
      <c r="E849" s="2">
        <v>240</v>
      </c>
      <c r="F849" s="2">
        <v>908</v>
      </c>
      <c r="G849" s="459">
        <f>G848</f>
        <v>56185.292710000002</v>
      </c>
      <c r="H849" s="204"/>
    </row>
    <row r="850" spans="1:8" ht="39.4" customHeight="1" x14ac:dyDescent="0.25">
      <c r="A850" s="464" t="s">
        <v>1360</v>
      </c>
      <c r="B850" s="465" t="s">
        <v>335</v>
      </c>
      <c r="C850" s="7"/>
      <c r="D850" s="7"/>
      <c r="E850" s="3"/>
      <c r="F850" s="3"/>
      <c r="G850" s="458">
        <f>G851</f>
        <v>20</v>
      </c>
      <c r="H850" s="204">
        <v>275</v>
      </c>
    </row>
    <row r="851" spans="1:8" s="203" customFormat="1" ht="31.5" x14ac:dyDescent="0.25">
      <c r="A851" s="464" t="s">
        <v>1052</v>
      </c>
      <c r="B851" s="465" t="s">
        <v>1053</v>
      </c>
      <c r="C851" s="7"/>
      <c r="D851" s="7"/>
      <c r="E851" s="3"/>
      <c r="F851" s="3"/>
      <c r="G851" s="458">
        <f>G852</f>
        <v>20</v>
      </c>
      <c r="H851" s="204"/>
    </row>
    <row r="852" spans="1:8" ht="15.75" x14ac:dyDescent="0.25">
      <c r="A852" s="29" t="s">
        <v>117</v>
      </c>
      <c r="B852" s="462" t="s">
        <v>1053</v>
      </c>
      <c r="C852" s="469" t="s">
        <v>118</v>
      </c>
      <c r="D852" s="469"/>
      <c r="E852" s="2"/>
      <c r="F852" s="2"/>
      <c r="G852" s="459">
        <f>G853</f>
        <v>20</v>
      </c>
    </row>
    <row r="853" spans="1:8" ht="15.75" x14ac:dyDescent="0.25">
      <c r="A853" s="29" t="s">
        <v>139</v>
      </c>
      <c r="B853" s="462" t="s">
        <v>1053</v>
      </c>
      <c r="C853" s="469" t="s">
        <v>118</v>
      </c>
      <c r="D853" s="469" t="s">
        <v>140</v>
      </c>
      <c r="E853" s="2"/>
      <c r="F853" s="2"/>
      <c r="G853" s="459">
        <f>G854+G861+G865+G869+G873</f>
        <v>20</v>
      </c>
    </row>
    <row r="854" spans="1:8" ht="31.5" hidden="1" x14ac:dyDescent="0.25">
      <c r="A854" s="466" t="s">
        <v>336</v>
      </c>
      <c r="B854" s="462" t="s">
        <v>1054</v>
      </c>
      <c r="C854" s="469" t="s">
        <v>118</v>
      </c>
      <c r="D854" s="469" t="s">
        <v>140</v>
      </c>
      <c r="E854" s="2"/>
      <c r="F854" s="2"/>
      <c r="G854" s="459">
        <f>G855+G858</f>
        <v>0</v>
      </c>
    </row>
    <row r="855" spans="1:8" ht="31.5" hidden="1" x14ac:dyDescent="0.25">
      <c r="A855" s="466" t="s">
        <v>131</v>
      </c>
      <c r="B855" s="462" t="s">
        <v>1054</v>
      </c>
      <c r="C855" s="469" t="s">
        <v>118</v>
      </c>
      <c r="D855" s="469" t="s">
        <v>140</v>
      </c>
      <c r="E855" s="2">
        <v>200</v>
      </c>
      <c r="F855" s="2"/>
      <c r="G855" s="459">
        <f t="shared" ref="G855" si="72">G856</f>
        <v>0</v>
      </c>
    </row>
    <row r="856" spans="1:8" ht="31.5" hidden="1" x14ac:dyDescent="0.25">
      <c r="A856" s="466" t="s">
        <v>133</v>
      </c>
      <c r="B856" s="462" t="s">
        <v>1054</v>
      </c>
      <c r="C856" s="469" t="s">
        <v>118</v>
      </c>
      <c r="D856" s="469" t="s">
        <v>140</v>
      </c>
      <c r="E856" s="2">
        <v>240</v>
      </c>
      <c r="F856" s="2"/>
      <c r="G856" s="459">
        <f>'Пр.4 ведом.21'!G628</f>
        <v>0</v>
      </c>
    </row>
    <row r="857" spans="1:8" s="203" customFormat="1" ht="31.5" hidden="1" x14ac:dyDescent="0.25">
      <c r="A857" s="29" t="s">
        <v>403</v>
      </c>
      <c r="B857" s="462" t="s">
        <v>1054</v>
      </c>
      <c r="C857" s="469" t="s">
        <v>118</v>
      </c>
      <c r="D857" s="469" t="s">
        <v>140</v>
      </c>
      <c r="E857" s="2">
        <v>240</v>
      </c>
      <c r="F857" s="2">
        <v>906</v>
      </c>
      <c r="G857" s="459">
        <f>G856</f>
        <v>0</v>
      </c>
      <c r="H857" s="204"/>
    </row>
    <row r="858" spans="1:8" s="203" customFormat="1" ht="31.5" hidden="1" x14ac:dyDescent="0.25">
      <c r="A858" s="466" t="s">
        <v>131</v>
      </c>
      <c r="B858" s="462" t="s">
        <v>1054</v>
      </c>
      <c r="C858" s="469" t="s">
        <v>118</v>
      </c>
      <c r="D858" s="469" t="s">
        <v>140</v>
      </c>
      <c r="E858" s="2">
        <v>200</v>
      </c>
      <c r="F858" s="2"/>
      <c r="G858" s="459">
        <f t="shared" ref="G858" si="73">G859</f>
        <v>0</v>
      </c>
      <c r="H858" s="204"/>
    </row>
    <row r="859" spans="1:8" s="203" customFormat="1" ht="31.5" hidden="1" x14ac:dyDescent="0.25">
      <c r="A859" s="466" t="s">
        <v>133</v>
      </c>
      <c r="B859" s="462" t="s">
        <v>1054</v>
      </c>
      <c r="C859" s="469" t="s">
        <v>118</v>
      </c>
      <c r="D859" s="469" t="s">
        <v>140</v>
      </c>
      <c r="E859" s="2">
        <v>240</v>
      </c>
      <c r="F859" s="2"/>
      <c r="G859" s="459">
        <f>'Пр.4 ведом.21'!G876</f>
        <v>0</v>
      </c>
      <c r="H859" s="204"/>
    </row>
    <row r="860" spans="1:8" s="203" customFormat="1" ht="31.5" hidden="1" x14ac:dyDescent="0.25">
      <c r="A860" s="45" t="s">
        <v>480</v>
      </c>
      <c r="B860" s="462" t="s">
        <v>1054</v>
      </c>
      <c r="C860" s="469" t="s">
        <v>118</v>
      </c>
      <c r="D860" s="469" t="s">
        <v>140</v>
      </c>
      <c r="E860" s="2">
        <v>240</v>
      </c>
      <c r="F860" s="2">
        <v>907</v>
      </c>
      <c r="G860" s="459">
        <f>G859</f>
        <v>0</v>
      </c>
      <c r="H860" s="204"/>
    </row>
    <row r="861" spans="1:8" ht="23.25" customHeight="1" x14ac:dyDescent="0.25">
      <c r="A861" s="466" t="s">
        <v>338</v>
      </c>
      <c r="B861" s="462" t="s">
        <v>1055</v>
      </c>
      <c r="C861" s="469" t="s">
        <v>118</v>
      </c>
      <c r="D861" s="469" t="s">
        <v>140</v>
      </c>
      <c r="E861" s="2"/>
      <c r="F861" s="2"/>
      <c r="G861" s="459">
        <f t="shared" ref="G861:G862" si="74">G862</f>
        <v>20</v>
      </c>
    </row>
    <row r="862" spans="1:8" ht="31.5" x14ac:dyDescent="0.25">
      <c r="A862" s="466" t="s">
        <v>131</v>
      </c>
      <c r="B862" s="462" t="s">
        <v>1055</v>
      </c>
      <c r="C862" s="469" t="s">
        <v>118</v>
      </c>
      <c r="D862" s="469" t="s">
        <v>140</v>
      </c>
      <c r="E862" s="2">
        <v>200</v>
      </c>
      <c r="F862" s="2"/>
      <c r="G862" s="459">
        <f t="shared" si="74"/>
        <v>20</v>
      </c>
    </row>
    <row r="863" spans="1:8" ht="31.5" x14ac:dyDescent="0.25">
      <c r="A863" s="466" t="s">
        <v>133</v>
      </c>
      <c r="B863" s="462" t="s">
        <v>1055</v>
      </c>
      <c r="C863" s="469" t="s">
        <v>118</v>
      </c>
      <c r="D863" s="469" t="s">
        <v>140</v>
      </c>
      <c r="E863" s="2">
        <v>240</v>
      </c>
      <c r="F863" s="2"/>
      <c r="G863" s="459">
        <f>'Пр.4 ведом.21'!G278</f>
        <v>20</v>
      </c>
    </row>
    <row r="864" spans="1:8" s="203" customFormat="1" ht="47.25" x14ac:dyDescent="0.25">
      <c r="A864" s="45" t="s">
        <v>261</v>
      </c>
      <c r="B864" s="462" t="s">
        <v>1055</v>
      </c>
      <c r="C864" s="469" t="s">
        <v>118</v>
      </c>
      <c r="D864" s="469" t="s">
        <v>140</v>
      </c>
      <c r="E864" s="2">
        <v>240</v>
      </c>
      <c r="F864" s="2">
        <v>903</v>
      </c>
      <c r="G864" s="459">
        <f>G863</f>
        <v>20</v>
      </c>
      <c r="H864" s="204"/>
    </row>
    <row r="865" spans="1:9" ht="47.25" hidden="1" x14ac:dyDescent="0.25">
      <c r="A865" s="31" t="s">
        <v>771</v>
      </c>
      <c r="B865" s="462" t="s">
        <v>1056</v>
      </c>
      <c r="C865" s="469" t="s">
        <v>118</v>
      </c>
      <c r="D865" s="469" t="s">
        <v>140</v>
      </c>
      <c r="E865" s="2"/>
      <c r="F865" s="2"/>
      <c r="G865" s="459">
        <f t="shared" ref="G865:G866" si="75">G866</f>
        <v>0</v>
      </c>
    </row>
    <row r="866" spans="1:9" ht="31.5" hidden="1" x14ac:dyDescent="0.25">
      <c r="A866" s="466" t="s">
        <v>131</v>
      </c>
      <c r="B866" s="462" t="s">
        <v>1056</v>
      </c>
      <c r="C866" s="462" t="s">
        <v>118</v>
      </c>
      <c r="D866" s="462" t="s">
        <v>140</v>
      </c>
      <c r="E866" s="462" t="s">
        <v>132</v>
      </c>
      <c r="F866" s="177"/>
      <c r="G866" s="459">
        <f t="shared" si="75"/>
        <v>0</v>
      </c>
    </row>
    <row r="867" spans="1:9" ht="31.5" hidden="1" x14ac:dyDescent="0.25">
      <c r="A867" s="466" t="s">
        <v>133</v>
      </c>
      <c r="B867" s="462" t="s">
        <v>1056</v>
      </c>
      <c r="C867" s="462" t="s">
        <v>118</v>
      </c>
      <c r="D867" s="462" t="s">
        <v>140</v>
      </c>
      <c r="E867" s="462" t="s">
        <v>134</v>
      </c>
      <c r="F867" s="177"/>
      <c r="G867" s="459">
        <f>'Пр.4 ведом.21'!G281</f>
        <v>0</v>
      </c>
    </row>
    <row r="868" spans="1:9" s="203" customFormat="1" ht="47.25" hidden="1" x14ac:dyDescent="0.25">
      <c r="A868" s="45" t="s">
        <v>261</v>
      </c>
      <c r="B868" s="462" t="s">
        <v>1056</v>
      </c>
      <c r="C868" s="469" t="s">
        <v>118</v>
      </c>
      <c r="D868" s="469" t="s">
        <v>140</v>
      </c>
      <c r="E868" s="2">
        <v>240</v>
      </c>
      <c r="F868" s="2">
        <v>903</v>
      </c>
      <c r="G868" s="459">
        <f>G867</f>
        <v>0</v>
      </c>
      <c r="H868" s="204"/>
    </row>
    <row r="869" spans="1:9" ht="31.5" hidden="1" x14ac:dyDescent="0.25">
      <c r="A869" s="466" t="s">
        <v>679</v>
      </c>
      <c r="B869" s="462" t="s">
        <v>1057</v>
      </c>
      <c r="C869" s="469" t="s">
        <v>118</v>
      </c>
      <c r="D869" s="469" t="s">
        <v>140</v>
      </c>
      <c r="E869" s="2"/>
      <c r="F869" s="177"/>
      <c r="G869" s="459">
        <f t="shared" ref="G869:G870" si="76">G870</f>
        <v>0</v>
      </c>
    </row>
    <row r="870" spans="1:9" ht="31.5" hidden="1" x14ac:dyDescent="0.25">
      <c r="A870" s="466" t="s">
        <v>131</v>
      </c>
      <c r="B870" s="462" t="s">
        <v>1057</v>
      </c>
      <c r="C870" s="469" t="s">
        <v>118</v>
      </c>
      <c r="D870" s="469" t="s">
        <v>140</v>
      </c>
      <c r="E870" s="2">
        <v>200</v>
      </c>
      <c r="F870" s="177"/>
      <c r="G870" s="459">
        <f t="shared" si="76"/>
        <v>0</v>
      </c>
    </row>
    <row r="871" spans="1:9" ht="31.5" hidden="1" x14ac:dyDescent="0.25">
      <c r="A871" s="466" t="s">
        <v>133</v>
      </c>
      <c r="B871" s="462" t="s">
        <v>1057</v>
      </c>
      <c r="C871" s="469" t="s">
        <v>118</v>
      </c>
      <c r="D871" s="469" t="s">
        <v>140</v>
      </c>
      <c r="E871" s="2">
        <v>240</v>
      </c>
      <c r="F871" s="177"/>
      <c r="G871" s="459">
        <f>'Пр.4 ведом.21'!G284</f>
        <v>0</v>
      </c>
    </row>
    <row r="872" spans="1:9" s="203" customFormat="1" ht="47.25" hidden="1" x14ac:dyDescent="0.25">
      <c r="A872" s="45" t="s">
        <v>261</v>
      </c>
      <c r="B872" s="462" t="s">
        <v>1057</v>
      </c>
      <c r="C872" s="469" t="s">
        <v>118</v>
      </c>
      <c r="D872" s="469" t="s">
        <v>140</v>
      </c>
      <c r="E872" s="2">
        <v>240</v>
      </c>
      <c r="F872" s="2">
        <v>903</v>
      </c>
      <c r="G872" s="459">
        <f>G871</f>
        <v>0</v>
      </c>
      <c r="H872" s="204"/>
    </row>
    <row r="873" spans="1:9" ht="31.7" hidden="1" customHeight="1" x14ac:dyDescent="0.25">
      <c r="A873" s="31" t="s">
        <v>772</v>
      </c>
      <c r="B873" s="462" t="s">
        <v>1058</v>
      </c>
      <c r="C873" s="462" t="s">
        <v>118</v>
      </c>
      <c r="D873" s="462" t="s">
        <v>140</v>
      </c>
      <c r="E873" s="462"/>
      <c r="F873" s="177"/>
      <c r="G873" s="459">
        <f t="shared" ref="G873:G874" si="77">G874</f>
        <v>0</v>
      </c>
    </row>
    <row r="874" spans="1:9" ht="31.7" hidden="1" customHeight="1" x14ac:dyDescent="0.25">
      <c r="A874" s="466" t="s">
        <v>131</v>
      </c>
      <c r="B874" s="462" t="s">
        <v>1058</v>
      </c>
      <c r="C874" s="462" t="s">
        <v>118</v>
      </c>
      <c r="D874" s="462" t="s">
        <v>140</v>
      </c>
      <c r="E874" s="462" t="s">
        <v>132</v>
      </c>
      <c r="F874" s="177"/>
      <c r="G874" s="459">
        <f t="shared" si="77"/>
        <v>0</v>
      </c>
    </row>
    <row r="875" spans="1:9" ht="31.7" hidden="1" customHeight="1" x14ac:dyDescent="0.25">
      <c r="A875" s="466" t="s">
        <v>133</v>
      </c>
      <c r="B875" s="462" t="s">
        <v>1058</v>
      </c>
      <c r="C875" s="462" t="s">
        <v>118</v>
      </c>
      <c r="D875" s="462" t="s">
        <v>140</v>
      </c>
      <c r="E875" s="462" t="s">
        <v>134</v>
      </c>
      <c r="F875" s="177"/>
      <c r="G875" s="459">
        <f>'Пр.4 ведом.21'!G287</f>
        <v>0</v>
      </c>
    </row>
    <row r="876" spans="1:9" ht="47.25" hidden="1" x14ac:dyDescent="0.25">
      <c r="A876" s="45" t="s">
        <v>261</v>
      </c>
      <c r="B876" s="462" t="s">
        <v>1058</v>
      </c>
      <c r="C876" s="462" t="s">
        <v>118</v>
      </c>
      <c r="D876" s="462" t="s">
        <v>140</v>
      </c>
      <c r="E876" s="462" t="s">
        <v>134</v>
      </c>
      <c r="F876" s="2">
        <v>903</v>
      </c>
      <c r="G876" s="459">
        <f>G875</f>
        <v>0</v>
      </c>
    </row>
    <row r="877" spans="1:9" ht="48.75" customHeight="1" x14ac:dyDescent="0.25">
      <c r="A877" s="470" t="s">
        <v>1363</v>
      </c>
      <c r="B877" s="465" t="s">
        <v>705</v>
      </c>
      <c r="C877" s="7"/>
      <c r="D877" s="7"/>
      <c r="E877" s="3"/>
      <c r="F877" s="3"/>
      <c r="G877" s="458">
        <f>G878+G889+G928+G935</f>
        <v>4364.3999999999996</v>
      </c>
      <c r="H877" s="204">
        <v>3292.6</v>
      </c>
      <c r="I877" s="22">
        <f>H877-G877</f>
        <v>-1071.7999999999997</v>
      </c>
    </row>
    <row r="878" spans="1:9" s="203" customFormat="1" ht="48.75" customHeight="1" x14ac:dyDescent="0.25">
      <c r="A878" s="210" t="s">
        <v>846</v>
      </c>
      <c r="B878" s="465" t="s">
        <v>852</v>
      </c>
      <c r="C878" s="7"/>
      <c r="D878" s="7"/>
      <c r="E878" s="3"/>
      <c r="F878" s="3"/>
      <c r="G878" s="458">
        <f>G879</f>
        <v>5.2</v>
      </c>
      <c r="H878" s="204"/>
      <c r="I878" s="22"/>
    </row>
    <row r="879" spans="1:9" s="121" customFormat="1" ht="15.75" x14ac:dyDescent="0.25">
      <c r="A879" s="29" t="s">
        <v>117</v>
      </c>
      <c r="B879" s="462" t="s">
        <v>852</v>
      </c>
      <c r="C879" s="469" t="s">
        <v>118</v>
      </c>
      <c r="D879" s="469"/>
      <c r="E879" s="2"/>
      <c r="F879" s="2"/>
      <c r="G879" s="459">
        <f t="shared" ref="G879" si="78">G880</f>
        <v>5.2</v>
      </c>
      <c r="H879" s="206"/>
    </row>
    <row r="880" spans="1:9" s="121" customFormat="1" ht="15.75" x14ac:dyDescent="0.25">
      <c r="A880" s="29" t="s">
        <v>139</v>
      </c>
      <c r="B880" s="462" t="s">
        <v>852</v>
      </c>
      <c r="C880" s="469" t="s">
        <v>118</v>
      </c>
      <c r="D880" s="469" t="s">
        <v>140</v>
      </c>
      <c r="E880" s="2"/>
      <c r="F880" s="2"/>
      <c r="G880" s="459">
        <f>G881+G885</f>
        <v>5.2</v>
      </c>
      <c r="H880" s="206"/>
    </row>
    <row r="881" spans="1:14" ht="31.5" hidden="1" x14ac:dyDescent="0.25">
      <c r="A881" s="98" t="s">
        <v>776</v>
      </c>
      <c r="B881" s="462" t="s">
        <v>847</v>
      </c>
      <c r="C881" s="469" t="s">
        <v>118</v>
      </c>
      <c r="D881" s="469" t="s">
        <v>140</v>
      </c>
      <c r="E881" s="2"/>
      <c r="F881" s="2"/>
      <c r="G881" s="459">
        <f t="shared" ref="G881:G882" si="79">G882</f>
        <v>0</v>
      </c>
    </row>
    <row r="882" spans="1:14" ht="31.5" hidden="1" x14ac:dyDescent="0.25">
      <c r="A882" s="466" t="s">
        <v>131</v>
      </c>
      <c r="B882" s="462" t="s">
        <v>847</v>
      </c>
      <c r="C882" s="469" t="s">
        <v>118</v>
      </c>
      <c r="D882" s="469" t="s">
        <v>140</v>
      </c>
      <c r="E882" s="2">
        <v>200</v>
      </c>
      <c r="F882" s="2"/>
      <c r="G882" s="459">
        <f t="shared" si="79"/>
        <v>0</v>
      </c>
    </row>
    <row r="883" spans="1:14" ht="31.5" hidden="1" x14ac:dyDescent="0.25">
      <c r="A883" s="466" t="s">
        <v>133</v>
      </c>
      <c r="B883" s="462" t="s">
        <v>847</v>
      </c>
      <c r="C883" s="469" t="s">
        <v>118</v>
      </c>
      <c r="D883" s="469" t="s">
        <v>140</v>
      </c>
      <c r="E883" s="2">
        <v>240</v>
      </c>
      <c r="F883" s="2"/>
      <c r="G883" s="459">
        <f>'Пр.4 ведом.21'!G160</f>
        <v>0</v>
      </c>
    </row>
    <row r="884" spans="1:14" s="203" customFormat="1" ht="19.5" hidden="1" customHeight="1" x14ac:dyDescent="0.25">
      <c r="A884" s="29" t="s">
        <v>148</v>
      </c>
      <c r="B884" s="462" t="s">
        <v>847</v>
      </c>
      <c r="C884" s="469" t="s">
        <v>118</v>
      </c>
      <c r="D884" s="469" t="s">
        <v>140</v>
      </c>
      <c r="E884" s="2">
        <v>240</v>
      </c>
      <c r="F884" s="2">
        <v>902</v>
      </c>
      <c r="G884" s="459">
        <f>G883</f>
        <v>0</v>
      </c>
      <c r="H884" s="204"/>
    </row>
    <row r="885" spans="1:14" s="203" customFormat="1" ht="31.5" x14ac:dyDescent="0.25">
      <c r="A885" s="98" t="s">
        <v>776</v>
      </c>
      <c r="B885" s="462" t="s">
        <v>847</v>
      </c>
      <c r="C885" s="469" t="s">
        <v>118</v>
      </c>
      <c r="D885" s="469" t="s">
        <v>140</v>
      </c>
      <c r="E885" s="2"/>
      <c r="F885" s="2"/>
      <c r="G885" s="459">
        <f>G886</f>
        <v>5.2</v>
      </c>
      <c r="H885" s="204"/>
    </row>
    <row r="886" spans="1:14" s="203" customFormat="1" ht="31.5" x14ac:dyDescent="0.25">
      <c r="A886" s="466" t="s">
        <v>131</v>
      </c>
      <c r="B886" s="462" t="s">
        <v>847</v>
      </c>
      <c r="C886" s="469" t="s">
        <v>118</v>
      </c>
      <c r="D886" s="469" t="s">
        <v>140</v>
      </c>
      <c r="E886" s="2">
        <v>200</v>
      </c>
      <c r="F886" s="2"/>
      <c r="G886" s="459">
        <f>G887</f>
        <v>5.2</v>
      </c>
      <c r="H886" s="204"/>
    </row>
    <row r="887" spans="1:14" s="203" customFormat="1" ht="31.5" x14ac:dyDescent="0.25">
      <c r="A887" s="466" t="s">
        <v>133</v>
      </c>
      <c r="B887" s="462" t="s">
        <v>847</v>
      </c>
      <c r="C887" s="469" t="s">
        <v>118</v>
      </c>
      <c r="D887" s="469" t="s">
        <v>140</v>
      </c>
      <c r="E887" s="2">
        <v>240</v>
      </c>
      <c r="F887" s="2"/>
      <c r="G887" s="459">
        <f>'Пр.4 ведом.21'!G292</f>
        <v>5.2</v>
      </c>
      <c r="H887" s="204"/>
    </row>
    <row r="888" spans="1:14" s="203" customFormat="1" ht="47.25" x14ac:dyDescent="0.25">
      <c r="A888" s="45" t="s">
        <v>261</v>
      </c>
      <c r="B888" s="462" t="s">
        <v>847</v>
      </c>
      <c r="C888" s="469" t="s">
        <v>118</v>
      </c>
      <c r="D888" s="469" t="s">
        <v>140</v>
      </c>
      <c r="E888" s="2">
        <v>240</v>
      </c>
      <c r="F888" s="2">
        <v>903</v>
      </c>
      <c r="G888" s="459">
        <f>G887</f>
        <v>5.2</v>
      </c>
      <c r="H888" s="204"/>
    </row>
    <row r="889" spans="1:14" s="203" customFormat="1" ht="47.25" x14ac:dyDescent="0.25">
      <c r="A889" s="470" t="s">
        <v>890</v>
      </c>
      <c r="B889" s="465" t="s">
        <v>888</v>
      </c>
      <c r="C889" s="469"/>
      <c r="D889" s="469"/>
      <c r="E889" s="2"/>
      <c r="F889" s="2"/>
      <c r="G889" s="458">
        <f>G890+G910+G916+G922</f>
        <v>3744.2</v>
      </c>
      <c r="H889" s="204"/>
      <c r="K889" s="22"/>
      <c r="N889" s="231"/>
    </row>
    <row r="890" spans="1:14" s="203" customFormat="1" ht="15.75" x14ac:dyDescent="0.25">
      <c r="A890" s="29" t="s">
        <v>263</v>
      </c>
      <c r="B890" s="462" t="s">
        <v>888</v>
      </c>
      <c r="C890" s="469" t="s">
        <v>264</v>
      </c>
      <c r="D890" s="469"/>
      <c r="E890" s="2"/>
      <c r="F890" s="2"/>
      <c r="G890" s="459">
        <f>G891+G897+G901</f>
        <v>2227.9</v>
      </c>
      <c r="H890" s="204"/>
    </row>
    <row r="891" spans="1:14" s="203" customFormat="1" ht="15.75" x14ac:dyDescent="0.25">
      <c r="A891" s="29" t="s">
        <v>404</v>
      </c>
      <c r="B891" s="462" t="s">
        <v>888</v>
      </c>
      <c r="C891" s="469" t="s">
        <v>264</v>
      </c>
      <c r="D891" s="469" t="s">
        <v>118</v>
      </c>
      <c r="E891" s="2"/>
      <c r="F891" s="2"/>
      <c r="G891" s="459">
        <f>G892</f>
        <v>600.20000000000005</v>
      </c>
      <c r="H891" s="204"/>
    </row>
    <row r="892" spans="1:14" s="203" customFormat="1" ht="47.25" x14ac:dyDescent="0.25">
      <c r="A892" s="45" t="s">
        <v>780</v>
      </c>
      <c r="B892" s="462" t="s">
        <v>936</v>
      </c>
      <c r="C892" s="469" t="s">
        <v>264</v>
      </c>
      <c r="D892" s="469" t="s">
        <v>118</v>
      </c>
      <c r="E892" s="2"/>
      <c r="F892" s="2"/>
      <c r="G892" s="459">
        <f>G893</f>
        <v>600.20000000000005</v>
      </c>
      <c r="H892" s="204"/>
      <c r="N892" s="231"/>
    </row>
    <row r="893" spans="1:14" s="203" customFormat="1" ht="31.5" x14ac:dyDescent="0.25">
      <c r="A893" s="29" t="s">
        <v>272</v>
      </c>
      <c r="B893" s="462" t="s">
        <v>936</v>
      </c>
      <c r="C893" s="469" t="s">
        <v>264</v>
      </c>
      <c r="D893" s="469" t="s">
        <v>118</v>
      </c>
      <c r="E893" s="2">
        <v>600</v>
      </c>
      <c r="F893" s="2"/>
      <c r="G893" s="459">
        <f>G894</f>
        <v>600.20000000000005</v>
      </c>
      <c r="H893" s="204"/>
    </row>
    <row r="894" spans="1:14" s="203" customFormat="1" ht="15.75" x14ac:dyDescent="0.25">
      <c r="A894" s="182" t="s">
        <v>274</v>
      </c>
      <c r="B894" s="462" t="s">
        <v>936</v>
      </c>
      <c r="C894" s="469" t="s">
        <v>264</v>
      </c>
      <c r="D894" s="469" t="s">
        <v>118</v>
      </c>
      <c r="E894" s="2">
        <v>610</v>
      </c>
      <c r="F894" s="2"/>
      <c r="G894" s="459">
        <f>'Пр.4 ведом.21'!G697</f>
        <v>600.20000000000005</v>
      </c>
      <c r="H894" s="204"/>
    </row>
    <row r="895" spans="1:14" s="203" customFormat="1" ht="31.5" x14ac:dyDescent="0.25">
      <c r="A895" s="29" t="s">
        <v>403</v>
      </c>
      <c r="B895" s="462" t="s">
        <v>936</v>
      </c>
      <c r="C895" s="469" t="s">
        <v>264</v>
      </c>
      <c r="D895" s="469" t="s">
        <v>118</v>
      </c>
      <c r="E895" s="2">
        <v>610</v>
      </c>
      <c r="F895" s="2">
        <v>906</v>
      </c>
      <c r="G895" s="459">
        <f>G894</f>
        <v>600.20000000000005</v>
      </c>
      <c r="H895" s="204"/>
    </row>
    <row r="896" spans="1:14" s="203" customFormat="1" ht="15.75" x14ac:dyDescent="0.25">
      <c r="A896" s="45" t="s">
        <v>425</v>
      </c>
      <c r="B896" s="462" t="s">
        <v>888</v>
      </c>
      <c r="C896" s="469" t="s">
        <v>264</v>
      </c>
      <c r="D896" s="469" t="s">
        <v>213</v>
      </c>
      <c r="E896" s="2"/>
      <c r="F896" s="2"/>
      <c r="G896" s="459">
        <f>G897</f>
        <v>837</v>
      </c>
      <c r="H896" s="204"/>
    </row>
    <row r="897" spans="1:8" s="203" customFormat="1" ht="47.25" x14ac:dyDescent="0.25">
      <c r="A897" s="45" t="s">
        <v>780</v>
      </c>
      <c r="B897" s="462" t="s">
        <v>936</v>
      </c>
      <c r="C897" s="469" t="s">
        <v>264</v>
      </c>
      <c r="D897" s="469" t="s">
        <v>213</v>
      </c>
      <c r="E897" s="2"/>
      <c r="F897" s="2"/>
      <c r="G897" s="459">
        <f>G898</f>
        <v>837</v>
      </c>
      <c r="H897" s="204"/>
    </row>
    <row r="898" spans="1:8" s="203" customFormat="1" ht="31.5" x14ac:dyDescent="0.25">
      <c r="A898" s="29" t="s">
        <v>272</v>
      </c>
      <c r="B898" s="462" t="s">
        <v>936</v>
      </c>
      <c r="C898" s="469" t="s">
        <v>264</v>
      </c>
      <c r="D898" s="469" t="s">
        <v>213</v>
      </c>
      <c r="E898" s="2">
        <v>600</v>
      </c>
      <c r="F898" s="2"/>
      <c r="G898" s="459">
        <f>G899</f>
        <v>837</v>
      </c>
      <c r="H898" s="204"/>
    </row>
    <row r="899" spans="1:8" s="203" customFormat="1" ht="15.75" x14ac:dyDescent="0.25">
      <c r="A899" s="182" t="s">
        <v>274</v>
      </c>
      <c r="B899" s="462" t="s">
        <v>936</v>
      </c>
      <c r="C899" s="469" t="s">
        <v>264</v>
      </c>
      <c r="D899" s="469" t="s">
        <v>213</v>
      </c>
      <c r="E899" s="2">
        <v>610</v>
      </c>
      <c r="F899" s="2"/>
      <c r="G899" s="459">
        <f>'Пр.4 ведом.21'!G788</f>
        <v>837</v>
      </c>
      <c r="H899" s="204"/>
    </row>
    <row r="900" spans="1:8" s="203" customFormat="1" ht="31.5" x14ac:dyDescent="0.25">
      <c r="A900" s="29" t="s">
        <v>403</v>
      </c>
      <c r="B900" s="462" t="s">
        <v>936</v>
      </c>
      <c r="C900" s="469" t="s">
        <v>264</v>
      </c>
      <c r="D900" s="469" t="s">
        <v>213</v>
      </c>
      <c r="E900" s="2">
        <v>610</v>
      </c>
      <c r="F900" s="2">
        <v>906</v>
      </c>
      <c r="G900" s="459">
        <f>G899</f>
        <v>837</v>
      </c>
      <c r="H900" s="204"/>
    </row>
    <row r="901" spans="1:8" s="203" customFormat="1" ht="15.75" x14ac:dyDescent="0.25">
      <c r="A901" s="45" t="s">
        <v>265</v>
      </c>
      <c r="B901" s="462" t="s">
        <v>888</v>
      </c>
      <c r="C901" s="469" t="s">
        <v>264</v>
      </c>
      <c r="D901" s="469" t="s">
        <v>215</v>
      </c>
      <c r="E901" s="2"/>
      <c r="F901" s="2"/>
      <c r="G901" s="459">
        <f>G906+G902</f>
        <v>790.7</v>
      </c>
      <c r="H901" s="204"/>
    </row>
    <row r="902" spans="1:8" s="203" customFormat="1" ht="31.5" x14ac:dyDescent="0.25">
      <c r="A902" s="98" t="s">
        <v>1004</v>
      </c>
      <c r="B902" s="462" t="s">
        <v>889</v>
      </c>
      <c r="C902" s="469" t="s">
        <v>264</v>
      </c>
      <c r="D902" s="469" t="s">
        <v>215</v>
      </c>
      <c r="E902" s="2"/>
      <c r="F902" s="2"/>
      <c r="G902" s="459">
        <f>G903</f>
        <v>494.4</v>
      </c>
      <c r="H902" s="204"/>
    </row>
    <row r="903" spans="1:8" s="203" customFormat="1" ht="31.5" x14ac:dyDescent="0.25">
      <c r="A903" s="466" t="s">
        <v>131</v>
      </c>
      <c r="B903" s="462" t="s">
        <v>889</v>
      </c>
      <c r="C903" s="469" t="s">
        <v>264</v>
      </c>
      <c r="D903" s="469" t="s">
        <v>215</v>
      </c>
      <c r="E903" s="2">
        <v>200</v>
      </c>
      <c r="F903" s="2"/>
      <c r="G903" s="459">
        <f>G904</f>
        <v>494.4</v>
      </c>
      <c r="H903" s="204"/>
    </row>
    <row r="904" spans="1:8" s="203" customFormat="1" ht="31.5" x14ac:dyDescent="0.25">
      <c r="A904" s="466" t="s">
        <v>133</v>
      </c>
      <c r="B904" s="462" t="s">
        <v>889</v>
      </c>
      <c r="C904" s="469" t="s">
        <v>264</v>
      </c>
      <c r="D904" s="469" t="s">
        <v>215</v>
      </c>
      <c r="E904" s="2">
        <v>240</v>
      </c>
      <c r="F904" s="2"/>
      <c r="G904" s="459">
        <f>'Пр.4 ведом.21'!G367</f>
        <v>494.4</v>
      </c>
      <c r="H904" s="204"/>
    </row>
    <row r="905" spans="1:8" s="203" customFormat="1" ht="47.25" x14ac:dyDescent="0.25">
      <c r="A905" s="45" t="s">
        <v>261</v>
      </c>
      <c r="B905" s="462" t="s">
        <v>889</v>
      </c>
      <c r="C905" s="469" t="s">
        <v>264</v>
      </c>
      <c r="D905" s="469" t="s">
        <v>215</v>
      </c>
      <c r="E905" s="2">
        <v>240</v>
      </c>
      <c r="F905" s="2">
        <v>903</v>
      </c>
      <c r="G905" s="459">
        <f>G904</f>
        <v>494.4</v>
      </c>
      <c r="H905" s="204"/>
    </row>
    <row r="906" spans="1:8" s="203" customFormat="1" ht="47.25" x14ac:dyDescent="0.25">
      <c r="A906" s="45" t="s">
        <v>780</v>
      </c>
      <c r="B906" s="462" t="s">
        <v>936</v>
      </c>
      <c r="C906" s="469" t="s">
        <v>264</v>
      </c>
      <c r="D906" s="469" t="s">
        <v>215</v>
      </c>
      <c r="E906" s="2"/>
      <c r="F906" s="2"/>
      <c r="G906" s="459">
        <f>G907</f>
        <v>296.3</v>
      </c>
      <c r="H906" s="204"/>
    </row>
    <row r="907" spans="1:8" s="203" customFormat="1" ht="31.5" x14ac:dyDescent="0.25">
      <c r="A907" s="29" t="s">
        <v>272</v>
      </c>
      <c r="B907" s="462" t="s">
        <v>936</v>
      </c>
      <c r="C907" s="469" t="s">
        <v>264</v>
      </c>
      <c r="D907" s="469" t="s">
        <v>215</v>
      </c>
      <c r="E907" s="2">
        <v>600</v>
      </c>
      <c r="F907" s="2"/>
      <c r="G907" s="459">
        <f>G908</f>
        <v>296.3</v>
      </c>
      <c r="H907" s="204"/>
    </row>
    <row r="908" spans="1:8" s="203" customFormat="1" ht="15.75" x14ac:dyDescent="0.25">
      <c r="A908" s="182" t="s">
        <v>274</v>
      </c>
      <c r="B908" s="462" t="s">
        <v>936</v>
      </c>
      <c r="C908" s="469" t="s">
        <v>264</v>
      </c>
      <c r="D908" s="469" t="s">
        <v>215</v>
      </c>
      <c r="E908" s="2">
        <v>610</v>
      </c>
      <c r="F908" s="2"/>
      <c r="G908" s="459">
        <f>'Пр.4 ведом.21'!G827</f>
        <v>296.3</v>
      </c>
      <c r="H908" s="204"/>
    </row>
    <row r="909" spans="1:8" s="203" customFormat="1" ht="31.5" x14ac:dyDescent="0.25">
      <c r="A909" s="29" t="s">
        <v>403</v>
      </c>
      <c r="B909" s="462" t="s">
        <v>936</v>
      </c>
      <c r="C909" s="469" t="s">
        <v>264</v>
      </c>
      <c r="D909" s="469" t="s">
        <v>215</v>
      </c>
      <c r="E909" s="2">
        <v>610</v>
      </c>
      <c r="F909" s="2">
        <v>906</v>
      </c>
      <c r="G909" s="459">
        <f>G908</f>
        <v>296.3</v>
      </c>
      <c r="H909" s="204"/>
    </row>
    <row r="910" spans="1:8" s="203" customFormat="1" ht="15.75" x14ac:dyDescent="0.25">
      <c r="A910" s="466" t="s">
        <v>298</v>
      </c>
      <c r="B910" s="462" t="s">
        <v>888</v>
      </c>
      <c r="C910" s="469" t="s">
        <v>299</v>
      </c>
      <c r="D910" s="469"/>
      <c r="E910" s="2"/>
      <c r="F910" s="2"/>
      <c r="G910" s="459">
        <f>G911</f>
        <v>896</v>
      </c>
      <c r="H910" s="204"/>
    </row>
    <row r="911" spans="1:8" s="203" customFormat="1" ht="15.75" x14ac:dyDescent="0.25">
      <c r="A911" s="466" t="s">
        <v>300</v>
      </c>
      <c r="B911" s="462" t="s">
        <v>888</v>
      </c>
      <c r="C911" s="469" t="s">
        <v>299</v>
      </c>
      <c r="D911" s="469" t="s">
        <v>118</v>
      </c>
      <c r="E911" s="2"/>
      <c r="F911" s="2"/>
      <c r="G911" s="459">
        <f>G912</f>
        <v>896</v>
      </c>
      <c r="H911" s="204"/>
    </row>
    <row r="912" spans="1:8" s="203" customFormat="1" ht="31.5" x14ac:dyDescent="0.25">
      <c r="A912" s="45" t="s">
        <v>778</v>
      </c>
      <c r="B912" s="462" t="s">
        <v>889</v>
      </c>
      <c r="C912" s="469" t="s">
        <v>299</v>
      </c>
      <c r="D912" s="469" t="s">
        <v>118</v>
      </c>
      <c r="E912" s="2"/>
      <c r="F912" s="2"/>
      <c r="G912" s="459">
        <f>G913</f>
        <v>896</v>
      </c>
      <c r="H912" s="204"/>
    </row>
    <row r="913" spans="1:8" s="203" customFormat="1" ht="31.5" x14ac:dyDescent="0.25">
      <c r="A913" s="466" t="s">
        <v>131</v>
      </c>
      <c r="B913" s="462" t="s">
        <v>889</v>
      </c>
      <c r="C913" s="469" t="s">
        <v>299</v>
      </c>
      <c r="D913" s="469" t="s">
        <v>118</v>
      </c>
      <c r="E913" s="2">
        <v>200</v>
      </c>
      <c r="F913" s="2"/>
      <c r="G913" s="459">
        <f>G914</f>
        <v>896</v>
      </c>
      <c r="H913" s="204"/>
    </row>
    <row r="914" spans="1:8" s="203" customFormat="1" ht="31.5" x14ac:dyDescent="0.25">
      <c r="A914" s="466" t="s">
        <v>133</v>
      </c>
      <c r="B914" s="462" t="s">
        <v>889</v>
      </c>
      <c r="C914" s="469" t="s">
        <v>299</v>
      </c>
      <c r="D914" s="469" t="s">
        <v>118</v>
      </c>
      <c r="E914" s="2">
        <v>240</v>
      </c>
      <c r="F914" s="2"/>
      <c r="G914" s="459">
        <f>'Пр.4 ведом.21'!G456</f>
        <v>896</v>
      </c>
      <c r="H914" s="204"/>
    </row>
    <row r="915" spans="1:8" s="203" customFormat="1" ht="47.25" x14ac:dyDescent="0.25">
      <c r="A915" s="45" t="s">
        <v>261</v>
      </c>
      <c r="B915" s="462" t="s">
        <v>889</v>
      </c>
      <c r="C915" s="469" t="s">
        <v>299</v>
      </c>
      <c r="D915" s="469" t="s">
        <v>118</v>
      </c>
      <c r="E915" s="2">
        <v>240</v>
      </c>
      <c r="F915" s="2">
        <v>903</v>
      </c>
      <c r="G915" s="459">
        <f>G914</f>
        <v>896</v>
      </c>
      <c r="H915" s="204"/>
    </row>
    <row r="916" spans="1:8" s="203" customFormat="1" ht="15.75" x14ac:dyDescent="0.25">
      <c r="A916" s="466" t="s">
        <v>490</v>
      </c>
      <c r="B916" s="462" t="s">
        <v>888</v>
      </c>
      <c r="C916" s="469" t="s">
        <v>491</v>
      </c>
      <c r="D916" s="469"/>
      <c r="E916" s="2"/>
      <c r="F916" s="2"/>
      <c r="G916" s="459">
        <f>G917</f>
        <v>542.29999999999995</v>
      </c>
      <c r="H916" s="204"/>
    </row>
    <row r="917" spans="1:8" s="203" customFormat="1" ht="15.75" x14ac:dyDescent="0.25">
      <c r="A917" s="466" t="s">
        <v>1081</v>
      </c>
      <c r="B917" s="462" t="s">
        <v>888</v>
      </c>
      <c r="C917" s="469" t="s">
        <v>491</v>
      </c>
      <c r="D917" s="469" t="s">
        <v>118</v>
      </c>
      <c r="E917" s="2"/>
      <c r="F917" s="2"/>
      <c r="G917" s="459">
        <f>G918</f>
        <v>542.29999999999995</v>
      </c>
      <c r="H917" s="204"/>
    </row>
    <row r="918" spans="1:8" s="203" customFormat="1" ht="47.25" x14ac:dyDescent="0.25">
      <c r="A918" s="45" t="s">
        <v>780</v>
      </c>
      <c r="B918" s="462" t="s">
        <v>936</v>
      </c>
      <c r="C918" s="469" t="s">
        <v>491</v>
      </c>
      <c r="D918" s="469" t="s">
        <v>118</v>
      </c>
      <c r="E918" s="2"/>
      <c r="F918" s="2"/>
      <c r="G918" s="459">
        <f>G919</f>
        <v>542.29999999999995</v>
      </c>
      <c r="H918" s="204"/>
    </row>
    <row r="919" spans="1:8" s="203" customFormat="1" ht="31.5" x14ac:dyDescent="0.25">
      <c r="A919" s="29" t="s">
        <v>272</v>
      </c>
      <c r="B919" s="462" t="s">
        <v>936</v>
      </c>
      <c r="C919" s="469" t="s">
        <v>491</v>
      </c>
      <c r="D919" s="469" t="s">
        <v>118</v>
      </c>
      <c r="E919" s="2">
        <v>600</v>
      </c>
      <c r="F919" s="2"/>
      <c r="G919" s="459">
        <f>G920</f>
        <v>542.29999999999995</v>
      </c>
      <c r="H919" s="204"/>
    </row>
    <row r="920" spans="1:8" s="203" customFormat="1" ht="15.75" x14ac:dyDescent="0.25">
      <c r="A920" s="182" t="s">
        <v>274</v>
      </c>
      <c r="B920" s="462" t="s">
        <v>936</v>
      </c>
      <c r="C920" s="469" t="s">
        <v>491</v>
      </c>
      <c r="D920" s="469" t="s">
        <v>118</v>
      </c>
      <c r="E920" s="2">
        <v>610</v>
      </c>
      <c r="F920" s="2"/>
      <c r="G920" s="459">
        <f>'Пр.4 ведом.21'!G923</f>
        <v>542.29999999999995</v>
      </c>
      <c r="H920" s="204"/>
    </row>
    <row r="921" spans="1:8" s="203" customFormat="1" ht="31.5" x14ac:dyDescent="0.25">
      <c r="A921" s="45" t="s">
        <v>480</v>
      </c>
      <c r="B921" s="462" t="s">
        <v>936</v>
      </c>
      <c r="C921" s="469" t="s">
        <v>491</v>
      </c>
      <c r="D921" s="469" t="s">
        <v>118</v>
      </c>
      <c r="E921" s="2">
        <v>610</v>
      </c>
      <c r="F921" s="2">
        <v>907</v>
      </c>
      <c r="G921" s="459">
        <f>G920</f>
        <v>542.29999999999995</v>
      </c>
      <c r="H921" s="204"/>
    </row>
    <row r="922" spans="1:8" s="203" customFormat="1" ht="15.75" x14ac:dyDescent="0.25">
      <c r="A922" s="29" t="s">
        <v>582</v>
      </c>
      <c r="B922" s="462" t="s">
        <v>888</v>
      </c>
      <c r="C922" s="469" t="s">
        <v>238</v>
      </c>
      <c r="D922" s="469"/>
      <c r="E922" s="2"/>
      <c r="F922" s="2"/>
      <c r="G922" s="459">
        <f>G923</f>
        <v>78</v>
      </c>
      <c r="H922" s="204"/>
    </row>
    <row r="923" spans="1:8" s="203" customFormat="1" ht="15.75" x14ac:dyDescent="0.25">
      <c r="A923" s="29" t="s">
        <v>583</v>
      </c>
      <c r="B923" s="462" t="s">
        <v>888</v>
      </c>
      <c r="C923" s="469" t="s">
        <v>238</v>
      </c>
      <c r="D923" s="469" t="s">
        <v>213</v>
      </c>
      <c r="E923" s="2"/>
      <c r="F923" s="2"/>
      <c r="G923" s="459">
        <f>G924</f>
        <v>78</v>
      </c>
      <c r="H923" s="204"/>
    </row>
    <row r="924" spans="1:8" s="203" customFormat="1" ht="31.5" x14ac:dyDescent="0.25">
      <c r="A924" s="45" t="s">
        <v>778</v>
      </c>
      <c r="B924" s="462" t="s">
        <v>889</v>
      </c>
      <c r="C924" s="469" t="s">
        <v>238</v>
      </c>
      <c r="D924" s="469" t="s">
        <v>213</v>
      </c>
      <c r="E924" s="2"/>
      <c r="F924" s="2"/>
      <c r="G924" s="459">
        <f>G925</f>
        <v>78</v>
      </c>
      <c r="H924" s="204"/>
    </row>
    <row r="925" spans="1:8" s="203" customFormat="1" ht="31.5" x14ac:dyDescent="0.25">
      <c r="A925" s="466" t="s">
        <v>131</v>
      </c>
      <c r="B925" s="462" t="s">
        <v>889</v>
      </c>
      <c r="C925" s="469" t="s">
        <v>238</v>
      </c>
      <c r="D925" s="469" t="s">
        <v>213</v>
      </c>
      <c r="E925" s="2">
        <v>200</v>
      </c>
      <c r="F925" s="2"/>
      <c r="G925" s="459">
        <f>G926</f>
        <v>78</v>
      </c>
      <c r="H925" s="204"/>
    </row>
    <row r="926" spans="1:8" s="203" customFormat="1" ht="31.5" x14ac:dyDescent="0.25">
      <c r="A926" s="466" t="s">
        <v>133</v>
      </c>
      <c r="B926" s="462" t="s">
        <v>889</v>
      </c>
      <c r="C926" s="469" t="s">
        <v>238</v>
      </c>
      <c r="D926" s="469" t="s">
        <v>213</v>
      </c>
      <c r="E926" s="2">
        <v>240</v>
      </c>
      <c r="F926" s="2"/>
      <c r="G926" s="459">
        <f>'Пр.4 ведом.21'!G550</f>
        <v>78</v>
      </c>
      <c r="H926" s="204"/>
    </row>
    <row r="927" spans="1:8" s="203" customFormat="1" ht="47.25" x14ac:dyDescent="0.25">
      <c r="A927" s="45" t="s">
        <v>261</v>
      </c>
      <c r="B927" s="462" t="s">
        <v>889</v>
      </c>
      <c r="C927" s="469" t="s">
        <v>238</v>
      </c>
      <c r="D927" s="469" t="s">
        <v>213</v>
      </c>
      <c r="E927" s="2">
        <v>240</v>
      </c>
      <c r="F927" s="2">
        <v>903</v>
      </c>
      <c r="G927" s="459">
        <f>G924</f>
        <v>78</v>
      </c>
      <c r="H927" s="204"/>
    </row>
    <row r="928" spans="1:8" s="203" customFormat="1" ht="31.5" x14ac:dyDescent="0.25">
      <c r="A928" s="473" t="s">
        <v>1023</v>
      </c>
      <c r="B928" s="465" t="s">
        <v>853</v>
      </c>
      <c r="C928" s="7"/>
      <c r="D928" s="7"/>
      <c r="E928" s="3"/>
      <c r="F928" s="3"/>
      <c r="G928" s="458">
        <f>G929</f>
        <v>15</v>
      </c>
      <c r="H928" s="204"/>
    </row>
    <row r="929" spans="1:8" s="203" customFormat="1" ht="15.75" x14ac:dyDescent="0.25">
      <c r="A929" s="223" t="s">
        <v>117</v>
      </c>
      <c r="B929" s="462" t="s">
        <v>853</v>
      </c>
      <c r="C929" s="469" t="s">
        <v>118</v>
      </c>
      <c r="D929" s="469"/>
      <c r="E929" s="2"/>
      <c r="F929" s="2"/>
      <c r="G929" s="459">
        <f>G930</f>
        <v>15</v>
      </c>
      <c r="H929" s="204"/>
    </row>
    <row r="930" spans="1:8" s="203" customFormat="1" ht="15.75" x14ac:dyDescent="0.25">
      <c r="A930" s="223" t="s">
        <v>139</v>
      </c>
      <c r="B930" s="462" t="s">
        <v>853</v>
      </c>
      <c r="C930" s="469" t="s">
        <v>118</v>
      </c>
      <c r="D930" s="469" t="s">
        <v>140</v>
      </c>
      <c r="E930" s="2"/>
      <c r="F930" s="2"/>
      <c r="G930" s="459">
        <f>G931</f>
        <v>15</v>
      </c>
      <c r="H930" s="204"/>
    </row>
    <row r="931" spans="1:8" ht="47.25" x14ac:dyDescent="0.25">
      <c r="A931" s="252" t="s">
        <v>1005</v>
      </c>
      <c r="B931" s="462" t="s">
        <v>848</v>
      </c>
      <c r="C931" s="469" t="s">
        <v>118</v>
      </c>
      <c r="D931" s="469" t="s">
        <v>140</v>
      </c>
      <c r="E931" s="2"/>
      <c r="F931" s="2"/>
      <c r="G931" s="459">
        <f t="shared" ref="G931:G932" si="80">G932</f>
        <v>15</v>
      </c>
    </row>
    <row r="932" spans="1:8" ht="31.5" x14ac:dyDescent="0.25">
      <c r="A932" s="466" t="s">
        <v>131</v>
      </c>
      <c r="B932" s="462" t="s">
        <v>848</v>
      </c>
      <c r="C932" s="469" t="s">
        <v>118</v>
      </c>
      <c r="D932" s="469" t="s">
        <v>140</v>
      </c>
      <c r="E932" s="2">
        <v>200</v>
      </c>
      <c r="F932" s="2"/>
      <c r="G932" s="459">
        <f t="shared" si="80"/>
        <v>15</v>
      </c>
    </row>
    <row r="933" spans="1:8" ht="31.5" x14ac:dyDescent="0.25">
      <c r="A933" s="466" t="s">
        <v>133</v>
      </c>
      <c r="B933" s="462" t="s">
        <v>848</v>
      </c>
      <c r="C933" s="469" t="s">
        <v>118</v>
      </c>
      <c r="D933" s="469" t="s">
        <v>140</v>
      </c>
      <c r="E933" s="2">
        <v>240</v>
      </c>
      <c r="F933" s="2"/>
      <c r="G933" s="459">
        <f>'Пр.4 ведом.21'!G164</f>
        <v>15</v>
      </c>
    </row>
    <row r="934" spans="1:8" ht="20.25" customHeight="1" x14ac:dyDescent="0.25">
      <c r="A934" s="29" t="s">
        <v>148</v>
      </c>
      <c r="B934" s="462" t="s">
        <v>848</v>
      </c>
      <c r="C934" s="469" t="s">
        <v>118</v>
      </c>
      <c r="D934" s="469" t="s">
        <v>140</v>
      </c>
      <c r="E934" s="2">
        <v>240</v>
      </c>
      <c r="F934" s="2">
        <v>902</v>
      </c>
      <c r="G934" s="459">
        <f>G933</f>
        <v>15</v>
      </c>
    </row>
    <row r="935" spans="1:8" s="434" customFormat="1" ht="33" customHeight="1" x14ac:dyDescent="0.25">
      <c r="A935" s="464" t="s">
        <v>1643</v>
      </c>
      <c r="B935" s="465" t="s">
        <v>1644</v>
      </c>
      <c r="C935" s="7"/>
      <c r="D935" s="7"/>
      <c r="E935" s="3"/>
      <c r="F935" s="3"/>
      <c r="G935" s="458">
        <f>G936</f>
        <v>600</v>
      </c>
      <c r="H935" s="204"/>
    </row>
    <row r="936" spans="1:8" s="434" customFormat="1" ht="31.5" x14ac:dyDescent="0.25">
      <c r="A936" s="466" t="s">
        <v>222</v>
      </c>
      <c r="B936" s="462" t="s">
        <v>1644</v>
      </c>
      <c r="C936" s="469" t="s">
        <v>215</v>
      </c>
      <c r="D936" s="469"/>
      <c r="E936" s="2"/>
      <c r="F936" s="2"/>
      <c r="G936" s="459">
        <f>G937</f>
        <v>600</v>
      </c>
      <c r="H936" s="204"/>
    </row>
    <row r="937" spans="1:8" s="434" customFormat="1" ht="47.25" x14ac:dyDescent="0.25">
      <c r="A937" s="466" t="s">
        <v>1356</v>
      </c>
      <c r="B937" s="462" t="s">
        <v>1644</v>
      </c>
      <c r="C937" s="469" t="s">
        <v>215</v>
      </c>
      <c r="D937" s="469" t="s">
        <v>244</v>
      </c>
      <c r="E937" s="2"/>
      <c r="F937" s="2"/>
      <c r="G937" s="459">
        <f>G938+G942</f>
        <v>600</v>
      </c>
      <c r="H937" s="204"/>
    </row>
    <row r="938" spans="1:8" s="434" customFormat="1" ht="20.25" hidden="1" customHeight="1" x14ac:dyDescent="0.25">
      <c r="A938" s="466" t="s">
        <v>230</v>
      </c>
      <c r="B938" s="462" t="s">
        <v>1645</v>
      </c>
      <c r="C938" s="469" t="s">
        <v>215</v>
      </c>
      <c r="D938" s="469" t="s">
        <v>244</v>
      </c>
      <c r="E938" s="2"/>
      <c r="F938" s="2"/>
      <c r="G938" s="459">
        <f>G939</f>
        <v>0</v>
      </c>
      <c r="H938" s="204"/>
    </row>
    <row r="939" spans="1:8" s="434" customFormat="1" ht="31.5" hidden="1" x14ac:dyDescent="0.25">
      <c r="A939" s="466" t="s">
        <v>131</v>
      </c>
      <c r="B939" s="462" t="s">
        <v>1645</v>
      </c>
      <c r="C939" s="469" t="s">
        <v>215</v>
      </c>
      <c r="D939" s="469" t="s">
        <v>244</v>
      </c>
      <c r="E939" s="2">
        <v>200</v>
      </c>
      <c r="F939" s="2"/>
      <c r="G939" s="459">
        <f>G940</f>
        <v>0</v>
      </c>
      <c r="H939" s="204"/>
    </row>
    <row r="940" spans="1:8" s="434" customFormat="1" ht="31.5" hidden="1" x14ac:dyDescent="0.25">
      <c r="A940" s="466" t="s">
        <v>133</v>
      </c>
      <c r="B940" s="462" t="s">
        <v>1645</v>
      </c>
      <c r="C940" s="469" t="s">
        <v>215</v>
      </c>
      <c r="D940" s="469" t="s">
        <v>244</v>
      </c>
      <c r="E940" s="2">
        <v>240</v>
      </c>
      <c r="F940" s="2"/>
      <c r="G940" s="459">
        <f>'Пр.4 ведом.21'!G208</f>
        <v>0</v>
      </c>
      <c r="H940" s="204"/>
    </row>
    <row r="941" spans="1:8" s="434" customFormat="1" ht="15.75" hidden="1" x14ac:dyDescent="0.25">
      <c r="A941" s="29" t="s">
        <v>148</v>
      </c>
      <c r="B941" s="462" t="s">
        <v>1645</v>
      </c>
      <c r="C941" s="469" t="s">
        <v>215</v>
      </c>
      <c r="D941" s="469" t="s">
        <v>244</v>
      </c>
      <c r="E941" s="2">
        <v>240</v>
      </c>
      <c r="F941" s="2">
        <v>902</v>
      </c>
      <c r="G941" s="459">
        <f>G940</f>
        <v>0</v>
      </c>
      <c r="H941" s="204"/>
    </row>
    <row r="942" spans="1:8" s="457" customFormat="1" ht="47.25" x14ac:dyDescent="0.25">
      <c r="A942" s="466" t="s">
        <v>1681</v>
      </c>
      <c r="B942" s="462" t="s">
        <v>1682</v>
      </c>
      <c r="C942" s="469" t="s">
        <v>215</v>
      </c>
      <c r="D942" s="469" t="s">
        <v>244</v>
      </c>
      <c r="E942" s="2"/>
      <c r="F942" s="2"/>
      <c r="G942" s="459">
        <f>G943</f>
        <v>600</v>
      </c>
      <c r="H942" s="204"/>
    </row>
    <row r="943" spans="1:8" s="457" customFormat="1" ht="15.75" x14ac:dyDescent="0.25">
      <c r="A943" s="466" t="s">
        <v>248</v>
      </c>
      <c r="B943" s="462" t="s">
        <v>1682</v>
      </c>
      <c r="C943" s="469" t="s">
        <v>215</v>
      </c>
      <c r="D943" s="469" t="s">
        <v>244</v>
      </c>
      <c r="E943" s="2" t="s">
        <v>249</v>
      </c>
      <c r="F943" s="2"/>
      <c r="G943" s="459">
        <f>G944</f>
        <v>600</v>
      </c>
      <c r="H943" s="204"/>
    </row>
    <row r="944" spans="1:8" s="457" customFormat="1" ht="31.5" x14ac:dyDescent="0.25">
      <c r="A944" s="466" t="s">
        <v>250</v>
      </c>
      <c r="B944" s="462" t="s">
        <v>1682</v>
      </c>
      <c r="C944" s="469" t="s">
        <v>215</v>
      </c>
      <c r="D944" s="469" t="s">
        <v>244</v>
      </c>
      <c r="E944" s="2" t="s">
        <v>251</v>
      </c>
      <c r="F944" s="2"/>
      <c r="G944" s="459">
        <f>'Пр.4 ведом.21'!G213</f>
        <v>600</v>
      </c>
      <c r="H944" s="204"/>
    </row>
    <row r="945" spans="1:8" s="457" customFormat="1" ht="15.75" x14ac:dyDescent="0.25">
      <c r="A945" s="29" t="s">
        <v>148</v>
      </c>
      <c r="B945" s="462" t="s">
        <v>1682</v>
      </c>
      <c r="C945" s="469" t="s">
        <v>215</v>
      </c>
      <c r="D945" s="469" t="s">
        <v>244</v>
      </c>
      <c r="E945" s="2">
        <v>320</v>
      </c>
      <c r="F945" s="2">
        <v>902</v>
      </c>
      <c r="G945" s="459">
        <f>G944</f>
        <v>600</v>
      </c>
      <c r="H945" s="204"/>
    </row>
    <row r="946" spans="1:8" ht="65.25" customHeight="1" x14ac:dyDescent="0.25">
      <c r="A946" s="464" t="s">
        <v>1548</v>
      </c>
      <c r="B946" s="465" t="s">
        <v>711</v>
      </c>
      <c r="C946" s="7"/>
      <c r="D946" s="7"/>
      <c r="E946" s="3"/>
      <c r="F946" s="3"/>
      <c r="G946" s="458">
        <f>G947+G954</f>
        <v>24365.510000000002</v>
      </c>
    </row>
    <row r="947" spans="1:8" s="203" customFormat="1" ht="31.5" x14ac:dyDescent="0.25">
      <c r="A947" s="464" t="s">
        <v>1069</v>
      </c>
      <c r="B947" s="465" t="s">
        <v>1091</v>
      </c>
      <c r="C947" s="7"/>
      <c r="D947" s="7"/>
      <c r="E947" s="3"/>
      <c r="F947" s="3"/>
      <c r="G947" s="458">
        <f>G948</f>
        <v>22809.004000000001</v>
      </c>
      <c r="H947" s="204"/>
    </row>
    <row r="948" spans="1:8" ht="15.75" x14ac:dyDescent="0.25">
      <c r="A948" s="466" t="s">
        <v>390</v>
      </c>
      <c r="B948" s="462" t="s">
        <v>835</v>
      </c>
      <c r="C948" s="469" t="s">
        <v>234</v>
      </c>
      <c r="D948" s="469"/>
      <c r="E948" s="2"/>
      <c r="F948" s="2"/>
      <c r="G948" s="459">
        <f t="shared" ref="G948:G951" si="81">G949</f>
        <v>22809.004000000001</v>
      </c>
    </row>
    <row r="949" spans="1:8" ht="15.75" x14ac:dyDescent="0.25">
      <c r="A949" s="466" t="s">
        <v>541</v>
      </c>
      <c r="B949" s="462" t="s">
        <v>835</v>
      </c>
      <c r="C949" s="469" t="s">
        <v>234</v>
      </c>
      <c r="D949" s="469" t="s">
        <v>215</v>
      </c>
      <c r="E949" s="2"/>
      <c r="F949" s="2"/>
      <c r="G949" s="459">
        <f t="shared" si="81"/>
        <v>22809.004000000001</v>
      </c>
    </row>
    <row r="950" spans="1:8" ht="47.25" x14ac:dyDescent="0.25">
      <c r="A950" s="80" t="s">
        <v>693</v>
      </c>
      <c r="B950" s="462" t="s">
        <v>835</v>
      </c>
      <c r="C950" s="469" t="s">
        <v>234</v>
      </c>
      <c r="D950" s="469" t="s">
        <v>215</v>
      </c>
      <c r="E950" s="2"/>
      <c r="F950" s="2"/>
      <c r="G950" s="459">
        <f t="shared" si="81"/>
        <v>22809.004000000001</v>
      </c>
    </row>
    <row r="951" spans="1:8" ht="31.5" x14ac:dyDescent="0.25">
      <c r="A951" s="466" t="s">
        <v>131</v>
      </c>
      <c r="B951" s="462" t="s">
        <v>835</v>
      </c>
      <c r="C951" s="469" t="s">
        <v>234</v>
      </c>
      <c r="D951" s="469" t="s">
        <v>215</v>
      </c>
      <c r="E951" s="2">
        <v>200</v>
      </c>
      <c r="F951" s="2"/>
      <c r="G951" s="459">
        <f t="shared" si="81"/>
        <v>22809.004000000001</v>
      </c>
    </row>
    <row r="952" spans="1:8" ht="31.5" x14ac:dyDescent="0.25">
      <c r="A952" s="466" t="s">
        <v>133</v>
      </c>
      <c r="B952" s="462" t="s">
        <v>835</v>
      </c>
      <c r="C952" s="469" t="s">
        <v>234</v>
      </c>
      <c r="D952" s="469" t="s">
        <v>215</v>
      </c>
      <c r="E952" s="2">
        <v>240</v>
      </c>
      <c r="F952" s="2"/>
      <c r="G952" s="459">
        <f>'Пр.4 ведом.21'!G1151</f>
        <v>22809.004000000001</v>
      </c>
    </row>
    <row r="953" spans="1:8" ht="34.5" customHeight="1" x14ac:dyDescent="0.25">
      <c r="A953" s="45" t="s">
        <v>623</v>
      </c>
      <c r="B953" s="462" t="s">
        <v>835</v>
      </c>
      <c r="C953" s="469" t="s">
        <v>234</v>
      </c>
      <c r="D953" s="469" t="s">
        <v>215</v>
      </c>
      <c r="E953" s="2">
        <v>240</v>
      </c>
      <c r="F953" s="2">
        <v>908</v>
      </c>
      <c r="G953" s="459">
        <f t="shared" ref="G953" si="82">G946</f>
        <v>24365.510000000002</v>
      </c>
    </row>
    <row r="954" spans="1:8" s="457" customFormat="1" ht="110.25" x14ac:dyDescent="0.25">
      <c r="A954" s="464" t="s">
        <v>1707</v>
      </c>
      <c r="B954" s="465" t="s">
        <v>1708</v>
      </c>
      <c r="C954" s="7"/>
      <c r="D954" s="7"/>
      <c r="E954" s="3"/>
      <c r="F954" s="3"/>
      <c r="G954" s="458">
        <f>G955</f>
        <v>1556.5060000000001</v>
      </c>
      <c r="H954" s="204"/>
    </row>
    <row r="955" spans="1:8" s="457" customFormat="1" ht="15.75" x14ac:dyDescent="0.25">
      <c r="A955" s="466" t="s">
        <v>390</v>
      </c>
      <c r="B955" s="462" t="s">
        <v>1709</v>
      </c>
      <c r="C955" s="469" t="s">
        <v>234</v>
      </c>
      <c r="D955" s="469"/>
      <c r="E955" s="2"/>
      <c r="F955" s="2"/>
      <c r="G955" s="459">
        <f t="shared" ref="G955:G958" si="83">G956</f>
        <v>1556.5060000000001</v>
      </c>
      <c r="H955" s="204"/>
    </row>
    <row r="956" spans="1:8" s="457" customFormat="1" ht="15.75" x14ac:dyDescent="0.25">
      <c r="A956" s="466" t="s">
        <v>541</v>
      </c>
      <c r="B956" s="462" t="s">
        <v>1709</v>
      </c>
      <c r="C956" s="469" t="s">
        <v>234</v>
      </c>
      <c r="D956" s="469" t="s">
        <v>215</v>
      </c>
      <c r="E956" s="2"/>
      <c r="F956" s="2"/>
      <c r="G956" s="459">
        <f t="shared" si="83"/>
        <v>1556.5060000000001</v>
      </c>
      <c r="H956" s="204"/>
    </row>
    <row r="957" spans="1:8" s="457" customFormat="1" ht="94.5" x14ac:dyDescent="0.25">
      <c r="A957" s="80" t="s">
        <v>1753</v>
      </c>
      <c r="B957" s="462" t="s">
        <v>1709</v>
      </c>
      <c r="C957" s="469" t="s">
        <v>234</v>
      </c>
      <c r="D957" s="469" t="s">
        <v>215</v>
      </c>
      <c r="E957" s="2"/>
      <c r="F957" s="2"/>
      <c r="G957" s="459">
        <f t="shared" si="83"/>
        <v>1556.5060000000001</v>
      </c>
      <c r="H957" s="204"/>
    </row>
    <row r="958" spans="1:8" s="457" customFormat="1" ht="31.5" x14ac:dyDescent="0.25">
      <c r="A958" s="466" t="s">
        <v>131</v>
      </c>
      <c r="B958" s="462" t="s">
        <v>1709</v>
      </c>
      <c r="C958" s="469" t="s">
        <v>234</v>
      </c>
      <c r="D958" s="469" t="s">
        <v>215</v>
      </c>
      <c r="E958" s="2">
        <v>200</v>
      </c>
      <c r="F958" s="2"/>
      <c r="G958" s="459">
        <f t="shared" si="83"/>
        <v>1556.5060000000001</v>
      </c>
      <c r="H958" s="204"/>
    </row>
    <row r="959" spans="1:8" s="457" customFormat="1" ht="31.5" x14ac:dyDescent="0.25">
      <c r="A959" s="466" t="s">
        <v>133</v>
      </c>
      <c r="B959" s="462" t="s">
        <v>1709</v>
      </c>
      <c r="C959" s="469" t="s">
        <v>234</v>
      </c>
      <c r="D959" s="469" t="s">
        <v>215</v>
      </c>
      <c r="E959" s="2">
        <v>240</v>
      </c>
      <c r="F959" s="2"/>
      <c r="G959" s="459">
        <f>'Пр.4 ведом.21'!G1155</f>
        <v>1556.5060000000001</v>
      </c>
      <c r="H959" s="204"/>
    </row>
    <row r="960" spans="1:8" s="457" customFormat="1" ht="34.5" customHeight="1" x14ac:dyDescent="0.25">
      <c r="A960" s="45" t="s">
        <v>623</v>
      </c>
      <c r="B960" s="462" t="s">
        <v>1709</v>
      </c>
      <c r="C960" s="469" t="s">
        <v>234</v>
      </c>
      <c r="D960" s="469" t="s">
        <v>215</v>
      </c>
      <c r="E960" s="2">
        <v>240</v>
      </c>
      <c r="F960" s="2">
        <v>908</v>
      </c>
      <c r="G960" s="459">
        <f>'Пр.4 ведом.21'!G1155</f>
        <v>1556.5060000000001</v>
      </c>
      <c r="H960" s="204"/>
    </row>
    <row r="961" spans="1:8" s="185" customFormat="1" ht="63" x14ac:dyDescent="0.25">
      <c r="A961" s="58" t="s">
        <v>1546</v>
      </c>
      <c r="B961" s="465" t="s">
        <v>782</v>
      </c>
      <c r="C961" s="7"/>
      <c r="D961" s="7"/>
      <c r="E961" s="3"/>
      <c r="F961" s="3"/>
      <c r="G961" s="458">
        <f>G963</f>
        <v>652.7600000000001</v>
      </c>
      <c r="H961" s="207"/>
    </row>
    <row r="962" spans="1:8" s="185" customFormat="1" ht="31.5" x14ac:dyDescent="0.25">
      <c r="A962" s="464" t="s">
        <v>930</v>
      </c>
      <c r="B962" s="465" t="s">
        <v>1020</v>
      </c>
      <c r="C962" s="7"/>
      <c r="D962" s="7"/>
      <c r="E962" s="3"/>
      <c r="F962" s="3"/>
      <c r="G962" s="458">
        <f>G963</f>
        <v>652.7600000000001</v>
      </c>
      <c r="H962" s="207"/>
    </row>
    <row r="963" spans="1:8" ht="15.75" x14ac:dyDescent="0.25">
      <c r="A963" s="45" t="s">
        <v>117</v>
      </c>
      <c r="B963" s="462" t="s">
        <v>1020</v>
      </c>
      <c r="C963" s="469" t="s">
        <v>118</v>
      </c>
      <c r="D963" s="469"/>
      <c r="E963" s="2"/>
      <c r="F963" s="2"/>
      <c r="G963" s="459">
        <f>G964</f>
        <v>652.7600000000001</v>
      </c>
    </row>
    <row r="964" spans="1:8" ht="15.75" x14ac:dyDescent="0.25">
      <c r="A964" s="45" t="s">
        <v>139</v>
      </c>
      <c r="B964" s="462" t="s">
        <v>1020</v>
      </c>
      <c r="C964" s="469" t="s">
        <v>118</v>
      </c>
      <c r="D964" s="469" t="s">
        <v>140</v>
      </c>
      <c r="E964" s="2"/>
      <c r="F964" s="2"/>
      <c r="G964" s="459">
        <f>G965</f>
        <v>652.7600000000001</v>
      </c>
    </row>
    <row r="965" spans="1:8" ht="31.5" x14ac:dyDescent="0.25">
      <c r="A965" s="45" t="s">
        <v>790</v>
      </c>
      <c r="B965" s="462" t="s">
        <v>1021</v>
      </c>
      <c r="C965" s="469" t="s">
        <v>118</v>
      </c>
      <c r="D965" s="469" t="s">
        <v>140</v>
      </c>
      <c r="E965" s="2"/>
      <c r="F965" s="2"/>
      <c r="G965" s="459">
        <f>G966</f>
        <v>652.7600000000001</v>
      </c>
    </row>
    <row r="966" spans="1:8" ht="31.5" x14ac:dyDescent="0.25">
      <c r="A966" s="45" t="s">
        <v>131</v>
      </c>
      <c r="B966" s="462" t="s">
        <v>1021</v>
      </c>
      <c r="C966" s="469" t="s">
        <v>118</v>
      </c>
      <c r="D966" s="469" t="s">
        <v>140</v>
      </c>
      <c r="E966" s="2">
        <v>200</v>
      </c>
      <c r="F966" s="2"/>
      <c r="G966" s="459">
        <f>G967</f>
        <v>652.7600000000001</v>
      </c>
    </row>
    <row r="967" spans="1:8" ht="31.5" x14ac:dyDescent="0.25">
      <c r="A967" s="45" t="s">
        <v>133</v>
      </c>
      <c r="B967" s="462" t="s">
        <v>1021</v>
      </c>
      <c r="C967" s="469" t="s">
        <v>118</v>
      </c>
      <c r="D967" s="469" t="s">
        <v>140</v>
      </c>
      <c r="E967" s="2">
        <v>240</v>
      </c>
      <c r="F967" s="2"/>
      <c r="G967" s="459">
        <f>'Пр.4 ведом.21'!G604</f>
        <v>652.7600000000001</v>
      </c>
    </row>
    <row r="968" spans="1:8" ht="36.75" customHeight="1" x14ac:dyDescent="0.25">
      <c r="A968" s="45" t="s">
        <v>1396</v>
      </c>
      <c r="B968" s="462" t="s">
        <v>1021</v>
      </c>
      <c r="C968" s="469" t="s">
        <v>118</v>
      </c>
      <c r="D968" s="469" t="s">
        <v>140</v>
      </c>
      <c r="E968" s="2">
        <v>240</v>
      </c>
      <c r="F968" s="2">
        <v>905</v>
      </c>
      <c r="G968" s="459">
        <f>G961</f>
        <v>652.7600000000001</v>
      </c>
    </row>
    <row r="969" spans="1:8" ht="68.25" hidden="1" customHeight="1" x14ac:dyDescent="0.25">
      <c r="A969" s="470" t="s">
        <v>1376</v>
      </c>
      <c r="B969" s="465" t="s">
        <v>817</v>
      </c>
      <c r="C969" s="7"/>
      <c r="D969" s="7"/>
      <c r="E969" s="3"/>
      <c r="F969" s="3"/>
      <c r="G969" s="458">
        <f>G971</f>
        <v>0</v>
      </c>
    </row>
    <row r="970" spans="1:8" s="203" customFormat="1" ht="47.25" hidden="1" x14ac:dyDescent="0.25">
      <c r="A970" s="212" t="s">
        <v>854</v>
      </c>
      <c r="B970" s="465" t="s">
        <v>1078</v>
      </c>
      <c r="C970" s="7"/>
      <c r="D970" s="7"/>
      <c r="E970" s="3"/>
      <c r="F970" s="3"/>
      <c r="G970" s="458">
        <f>G971</f>
        <v>0</v>
      </c>
      <c r="H970" s="204"/>
    </row>
    <row r="971" spans="1:8" ht="15.75" hidden="1" x14ac:dyDescent="0.25">
      <c r="A971" s="45" t="s">
        <v>117</v>
      </c>
      <c r="B971" s="462" t="s">
        <v>1078</v>
      </c>
      <c r="C971" s="469" t="s">
        <v>118</v>
      </c>
      <c r="D971" s="469"/>
      <c r="E971" s="2"/>
      <c r="F971" s="2"/>
      <c r="G971" s="459">
        <f>G972</f>
        <v>0</v>
      </c>
    </row>
    <row r="972" spans="1:8" ht="15.75" hidden="1" x14ac:dyDescent="0.25">
      <c r="A972" s="45" t="s">
        <v>139</v>
      </c>
      <c r="B972" s="462" t="s">
        <v>1078</v>
      </c>
      <c r="C972" s="469" t="s">
        <v>118</v>
      </c>
      <c r="D972" s="469" t="s">
        <v>140</v>
      </c>
      <c r="E972" s="2"/>
      <c r="F972" s="2"/>
      <c r="G972" s="459">
        <f>G973</f>
        <v>0</v>
      </c>
    </row>
    <row r="973" spans="1:8" ht="31.5" hidden="1" x14ac:dyDescent="0.25">
      <c r="A973" s="97" t="s">
        <v>171</v>
      </c>
      <c r="B973" s="462" t="s">
        <v>855</v>
      </c>
      <c r="C973" s="469" t="s">
        <v>118</v>
      </c>
      <c r="D973" s="469" t="s">
        <v>140</v>
      </c>
      <c r="E973" s="2"/>
      <c r="F973" s="2"/>
      <c r="G973" s="459">
        <f>G974</f>
        <v>0</v>
      </c>
    </row>
    <row r="974" spans="1:8" ht="31.5" hidden="1" x14ac:dyDescent="0.25">
      <c r="A974" s="45" t="s">
        <v>131</v>
      </c>
      <c r="B974" s="462" t="s">
        <v>855</v>
      </c>
      <c r="C974" s="469" t="s">
        <v>118</v>
      </c>
      <c r="D974" s="469" t="s">
        <v>140</v>
      </c>
      <c r="E974" s="2">
        <v>200</v>
      </c>
      <c r="F974" s="2"/>
      <c r="G974" s="459">
        <f>G975</f>
        <v>0</v>
      </c>
    </row>
    <row r="975" spans="1:8" ht="31.5" hidden="1" x14ac:dyDescent="0.25">
      <c r="A975" s="45" t="s">
        <v>133</v>
      </c>
      <c r="B975" s="462" t="s">
        <v>855</v>
      </c>
      <c r="C975" s="469" t="s">
        <v>118</v>
      </c>
      <c r="D975" s="469" t="s">
        <v>140</v>
      </c>
      <c r="E975" s="2">
        <v>240</v>
      </c>
      <c r="F975" s="2"/>
      <c r="G975" s="459">
        <f>'Пр.4 ведом.21'!G169</f>
        <v>0</v>
      </c>
    </row>
    <row r="976" spans="1:8" ht="23.25" hidden="1" customHeight="1" x14ac:dyDescent="0.25">
      <c r="A976" s="29" t="s">
        <v>148</v>
      </c>
      <c r="B976" s="462" t="s">
        <v>855</v>
      </c>
      <c r="C976" s="469" t="s">
        <v>118</v>
      </c>
      <c r="D976" s="469" t="s">
        <v>140</v>
      </c>
      <c r="E976" s="2">
        <v>240</v>
      </c>
      <c r="F976" s="2">
        <v>902</v>
      </c>
      <c r="G976" s="459">
        <f>G969</f>
        <v>0</v>
      </c>
    </row>
    <row r="977" spans="1:8" ht="63" x14ac:dyDescent="0.25">
      <c r="A977" s="470" t="s">
        <v>1664</v>
      </c>
      <c r="B977" s="465" t="s">
        <v>818</v>
      </c>
      <c r="C977" s="7"/>
      <c r="D977" s="7"/>
      <c r="E977" s="3"/>
      <c r="F977" s="3"/>
      <c r="G977" s="458">
        <f>G979</f>
        <v>44.16</v>
      </c>
    </row>
    <row r="978" spans="1:8" s="203" customFormat="1" ht="31.5" x14ac:dyDescent="0.25">
      <c r="A978" s="58" t="s">
        <v>856</v>
      </c>
      <c r="B978" s="465" t="s">
        <v>864</v>
      </c>
      <c r="C978" s="7"/>
      <c r="D978" s="7"/>
      <c r="E978" s="3"/>
      <c r="F978" s="3"/>
      <c r="G978" s="458">
        <f>G979</f>
        <v>44.16</v>
      </c>
      <c r="H978" s="204"/>
    </row>
    <row r="979" spans="1:8" ht="15.75" x14ac:dyDescent="0.25">
      <c r="A979" s="45" t="s">
        <v>117</v>
      </c>
      <c r="B979" s="462" t="s">
        <v>864</v>
      </c>
      <c r="C979" s="469" t="s">
        <v>118</v>
      </c>
      <c r="D979" s="469"/>
      <c r="E979" s="2"/>
      <c r="F979" s="2"/>
      <c r="G979" s="459">
        <f>G980</f>
        <v>44.16</v>
      </c>
    </row>
    <row r="980" spans="1:8" ht="15.75" x14ac:dyDescent="0.25">
      <c r="A980" s="45" t="s">
        <v>139</v>
      </c>
      <c r="B980" s="462" t="s">
        <v>864</v>
      </c>
      <c r="C980" s="469" t="s">
        <v>118</v>
      </c>
      <c r="D980" s="469" t="s">
        <v>140</v>
      </c>
      <c r="E980" s="2"/>
      <c r="F980" s="2"/>
      <c r="G980" s="459">
        <f>G981</f>
        <v>44.16</v>
      </c>
    </row>
    <row r="981" spans="1:8" ht="15.75" x14ac:dyDescent="0.25">
      <c r="A981" s="45" t="s">
        <v>175</v>
      </c>
      <c r="B981" s="462" t="s">
        <v>857</v>
      </c>
      <c r="C981" s="469" t="s">
        <v>118</v>
      </c>
      <c r="D981" s="469" t="s">
        <v>140</v>
      </c>
      <c r="E981" s="2"/>
      <c r="F981" s="2"/>
      <c r="G981" s="459">
        <f>G982</f>
        <v>44.16</v>
      </c>
    </row>
    <row r="982" spans="1:8" ht="31.5" x14ac:dyDescent="0.25">
      <c r="A982" s="45" t="s">
        <v>131</v>
      </c>
      <c r="B982" s="462" t="s">
        <v>857</v>
      </c>
      <c r="C982" s="469" t="s">
        <v>118</v>
      </c>
      <c r="D982" s="469" t="s">
        <v>140</v>
      </c>
      <c r="E982" s="2">
        <v>200</v>
      </c>
      <c r="F982" s="2"/>
      <c r="G982" s="459">
        <f>G983</f>
        <v>44.16</v>
      </c>
    </row>
    <row r="983" spans="1:8" ht="31.5" x14ac:dyDescent="0.25">
      <c r="A983" s="45" t="s">
        <v>133</v>
      </c>
      <c r="B983" s="462" t="s">
        <v>857</v>
      </c>
      <c r="C983" s="469" t="s">
        <v>118</v>
      </c>
      <c r="D983" s="469" t="s">
        <v>140</v>
      </c>
      <c r="E983" s="2">
        <v>240</v>
      </c>
      <c r="F983" s="2"/>
      <c r="G983" s="459">
        <f>G984+G985</f>
        <v>44.16</v>
      </c>
    </row>
    <row r="984" spans="1:8" ht="23.25" customHeight="1" x14ac:dyDescent="0.25">
      <c r="A984" s="29" t="s">
        <v>148</v>
      </c>
      <c r="B984" s="462" t="s">
        <v>857</v>
      </c>
      <c r="C984" s="469" t="s">
        <v>118</v>
      </c>
      <c r="D984" s="469" t="s">
        <v>140</v>
      </c>
      <c r="E984" s="2">
        <v>240</v>
      </c>
      <c r="F984" s="2">
        <v>902</v>
      </c>
      <c r="G984" s="459">
        <f>'Пр.4 ведом.21'!G174</f>
        <v>13.159999999999997</v>
      </c>
    </row>
    <row r="985" spans="1:8" s="457" customFormat="1" ht="46.5" customHeight="1" x14ac:dyDescent="0.25">
      <c r="A985" s="45" t="s">
        <v>261</v>
      </c>
      <c r="B985" s="462" t="s">
        <v>857</v>
      </c>
      <c r="C985" s="469" t="s">
        <v>118</v>
      </c>
      <c r="D985" s="469" t="s">
        <v>140</v>
      </c>
      <c r="E985" s="2">
        <v>240</v>
      </c>
      <c r="F985" s="2">
        <v>903</v>
      </c>
      <c r="G985" s="459">
        <f>'Пр.4 ведом.21'!G297</f>
        <v>31</v>
      </c>
      <c r="H985" s="204"/>
    </row>
    <row r="986" spans="1:8" s="203" customFormat="1" ht="47.25" hidden="1" x14ac:dyDescent="0.25">
      <c r="A986" s="464" t="s">
        <v>1545</v>
      </c>
      <c r="B986" s="465" t="s">
        <v>1146</v>
      </c>
      <c r="C986" s="469"/>
      <c r="D986" s="469"/>
      <c r="E986" s="2"/>
      <c r="F986" s="2"/>
      <c r="G986" s="458">
        <f t="shared" ref="G986:G992" si="84">G987</f>
        <v>0</v>
      </c>
      <c r="H986" s="204"/>
    </row>
    <row r="987" spans="1:8" s="203" customFormat="1" ht="31.5" hidden="1" x14ac:dyDescent="0.25">
      <c r="A987" s="464" t="s">
        <v>1147</v>
      </c>
      <c r="B987" s="465" t="s">
        <v>1148</v>
      </c>
      <c r="C987" s="469"/>
      <c r="D987" s="469"/>
      <c r="E987" s="2"/>
      <c r="F987" s="2"/>
      <c r="G987" s="458">
        <f t="shared" si="84"/>
        <v>0</v>
      </c>
      <c r="H987" s="204"/>
    </row>
    <row r="988" spans="1:8" s="203" customFormat="1" ht="15.75" hidden="1" x14ac:dyDescent="0.25">
      <c r="A988" s="29" t="s">
        <v>390</v>
      </c>
      <c r="B988" s="462" t="s">
        <v>1148</v>
      </c>
      <c r="C988" s="469" t="s">
        <v>234</v>
      </c>
      <c r="D988" s="469"/>
      <c r="E988" s="2"/>
      <c r="F988" s="2"/>
      <c r="G988" s="459">
        <f t="shared" si="84"/>
        <v>0</v>
      </c>
      <c r="H988" s="204"/>
    </row>
    <row r="989" spans="1:8" s="203" customFormat="1" ht="15.75" hidden="1" x14ac:dyDescent="0.25">
      <c r="A989" s="29" t="s">
        <v>517</v>
      </c>
      <c r="B989" s="462" t="s">
        <v>1148</v>
      </c>
      <c r="C989" s="469" t="s">
        <v>234</v>
      </c>
      <c r="D989" s="469" t="s">
        <v>213</v>
      </c>
      <c r="E989" s="2"/>
      <c r="F989" s="2"/>
      <c r="G989" s="459">
        <f t="shared" si="84"/>
        <v>0</v>
      </c>
      <c r="H989" s="204"/>
    </row>
    <row r="990" spans="1:8" s="203" customFormat="1" ht="15.75" hidden="1" x14ac:dyDescent="0.25">
      <c r="A990" s="29" t="s">
        <v>1150</v>
      </c>
      <c r="B990" s="462" t="s">
        <v>1149</v>
      </c>
      <c r="C990" s="469" t="s">
        <v>234</v>
      </c>
      <c r="D990" s="469" t="s">
        <v>213</v>
      </c>
      <c r="E990" s="2"/>
      <c r="F990" s="2"/>
      <c r="G990" s="459">
        <f t="shared" si="84"/>
        <v>0</v>
      </c>
      <c r="H990" s="204"/>
    </row>
    <row r="991" spans="1:8" s="203" customFormat="1" ht="31.5" hidden="1" x14ac:dyDescent="0.25">
      <c r="A991" s="45" t="s">
        <v>131</v>
      </c>
      <c r="B991" s="462" t="s">
        <v>1149</v>
      </c>
      <c r="C991" s="469" t="s">
        <v>234</v>
      </c>
      <c r="D991" s="469" t="s">
        <v>213</v>
      </c>
      <c r="E991" s="2">
        <v>200</v>
      </c>
      <c r="F991" s="2"/>
      <c r="G991" s="459">
        <f t="shared" si="84"/>
        <v>0</v>
      </c>
      <c r="H991" s="204"/>
    </row>
    <row r="992" spans="1:8" s="203" customFormat="1" ht="31.5" hidden="1" x14ac:dyDescent="0.25">
      <c r="A992" s="45" t="s">
        <v>133</v>
      </c>
      <c r="B992" s="462" t="s">
        <v>1149</v>
      </c>
      <c r="C992" s="469" t="s">
        <v>234</v>
      </c>
      <c r="D992" s="469" t="s">
        <v>213</v>
      </c>
      <c r="E992" s="2">
        <v>240</v>
      </c>
      <c r="F992" s="2"/>
      <c r="G992" s="459">
        <f t="shared" si="84"/>
        <v>0</v>
      </c>
      <c r="H992" s="204"/>
    </row>
    <row r="993" spans="1:19" s="203" customFormat="1" ht="31.5" hidden="1" x14ac:dyDescent="0.25">
      <c r="A993" s="45" t="s">
        <v>623</v>
      </c>
      <c r="B993" s="462" t="s">
        <v>1149</v>
      </c>
      <c r="C993" s="469" t="s">
        <v>234</v>
      </c>
      <c r="D993" s="469" t="s">
        <v>213</v>
      </c>
      <c r="E993" s="2">
        <v>240</v>
      </c>
      <c r="F993" s="2">
        <v>908</v>
      </c>
      <c r="G993" s="459">
        <f>'Пр.4 ведом.21'!G1093</f>
        <v>0</v>
      </c>
      <c r="H993" s="204"/>
    </row>
    <row r="994" spans="1:19" ht="15.75" x14ac:dyDescent="0.25">
      <c r="A994" s="72" t="s">
        <v>657</v>
      </c>
      <c r="B994" s="72"/>
      <c r="C994" s="72"/>
      <c r="D994" s="72"/>
      <c r="E994" s="72"/>
      <c r="F994" s="72"/>
      <c r="G994" s="120">
        <f>G977+G969+G961+G946+G877+G850+G778+G705+G674+G518+G445+G437+G403+G395+G147+G30+G9+G793+G986</f>
        <v>606546.41370999999</v>
      </c>
      <c r="H994" s="205"/>
      <c r="I994" s="22"/>
      <c r="N994" s="231"/>
    </row>
    <row r="995" spans="1:19" hidden="1" x14ac:dyDescent="0.25"/>
    <row r="996" spans="1:19" hidden="1" x14ac:dyDescent="0.25">
      <c r="G996" s="115">
        <f>'Пр.4 ведом.21'!G1304</f>
        <v>606546.41371000011</v>
      </c>
    </row>
    <row r="997" spans="1:19" hidden="1" x14ac:dyDescent="0.25">
      <c r="G997" s="115">
        <f>G996-G994</f>
        <v>0</v>
      </c>
    </row>
    <row r="998" spans="1:19" hidden="1" x14ac:dyDescent="0.25">
      <c r="S998" t="s">
        <v>1809</v>
      </c>
    </row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6"/>
  </cols>
  <sheetData>
    <row r="1" spans="1:8" ht="15.75" x14ac:dyDescent="0.25">
      <c r="D1" s="1"/>
      <c r="F1" s="57" t="s">
        <v>616</v>
      </c>
    </row>
    <row r="2" spans="1:8" ht="15.75" x14ac:dyDescent="0.25">
      <c r="D2" s="1"/>
      <c r="F2" s="57" t="s">
        <v>591</v>
      </c>
    </row>
    <row r="3" spans="1:8" ht="15.75" x14ac:dyDescent="0.25">
      <c r="D3" s="1"/>
      <c r="F3" s="57" t="s">
        <v>738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632" t="s">
        <v>714</v>
      </c>
      <c r="B5" s="632"/>
      <c r="C5" s="632"/>
      <c r="D5" s="632"/>
      <c r="E5" s="632"/>
      <c r="F5" s="632"/>
      <c r="G5" s="632"/>
    </row>
    <row r="6" spans="1:8" ht="16.5" x14ac:dyDescent="0.25">
      <c r="A6" s="171"/>
      <c r="B6" s="171"/>
      <c r="C6" s="171"/>
      <c r="D6" s="171"/>
      <c r="E6" s="171"/>
      <c r="F6" s="171"/>
      <c r="G6" s="171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622</v>
      </c>
      <c r="B10" s="7" t="s">
        <v>510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232</v>
      </c>
      <c r="B11" s="40" t="s">
        <v>510</v>
      </c>
      <c r="C11" s="40" t="s">
        <v>150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508</v>
      </c>
      <c r="B12" s="40" t="s">
        <v>510</v>
      </c>
      <c r="C12" s="40" t="s">
        <v>150</v>
      </c>
      <c r="D12" s="40" t="s">
        <v>219</v>
      </c>
      <c r="E12" s="40"/>
      <c r="F12" s="40"/>
      <c r="G12" s="6" t="e">
        <f>G13</f>
        <v>#REF!</v>
      </c>
    </row>
    <row r="13" spans="1:8" ht="15.75" x14ac:dyDescent="0.25">
      <c r="A13" s="29" t="s">
        <v>511</v>
      </c>
      <c r="B13" s="40" t="s">
        <v>512</v>
      </c>
      <c r="C13" s="40" t="s">
        <v>150</v>
      </c>
      <c r="D13" s="40" t="s">
        <v>219</v>
      </c>
      <c r="E13" s="40"/>
      <c r="F13" s="40"/>
      <c r="G13" s="6" t="e">
        <f>G14+G16</f>
        <v>#REF!</v>
      </c>
    </row>
    <row r="14" spans="1:8" ht="47.25" x14ac:dyDescent="0.25">
      <c r="A14" s="29" t="s">
        <v>131</v>
      </c>
      <c r="B14" s="40" t="s">
        <v>512</v>
      </c>
      <c r="C14" s="40" t="s">
        <v>150</v>
      </c>
      <c r="D14" s="40" t="s">
        <v>219</v>
      </c>
      <c r="E14" s="40" t="s">
        <v>132</v>
      </c>
      <c r="F14" s="40"/>
      <c r="G14" s="6" t="e">
        <f>G15</f>
        <v>#REF!</v>
      </c>
    </row>
    <row r="15" spans="1:8" ht="47.25" x14ac:dyDescent="0.25">
      <c r="A15" s="29" t="s">
        <v>133</v>
      </c>
      <c r="B15" s="40" t="s">
        <v>512</v>
      </c>
      <c r="C15" s="40" t="s">
        <v>150</v>
      </c>
      <c r="D15" s="40" t="s">
        <v>219</v>
      </c>
      <c r="E15" s="40" t="s">
        <v>134</v>
      </c>
      <c r="F15" s="40"/>
      <c r="G15" s="6" t="e">
        <f>'Пр.4 ведом.21'!#REF!</f>
        <v>#REF!</v>
      </c>
      <c r="H15" s="112"/>
    </row>
    <row r="16" spans="1:8" ht="15.75" x14ac:dyDescent="0.25">
      <c r="A16" s="25" t="s">
        <v>135</v>
      </c>
      <c r="B16" s="40" t="s">
        <v>512</v>
      </c>
      <c r="C16" s="40" t="s">
        <v>150</v>
      </c>
      <c r="D16" s="40" t="s">
        <v>219</v>
      </c>
      <c r="E16" s="40" t="s">
        <v>145</v>
      </c>
      <c r="F16" s="40"/>
      <c r="G16" s="6" t="e">
        <f>G17</f>
        <v>#REF!</v>
      </c>
    </row>
    <row r="17" spans="1:8" ht="31.5" x14ac:dyDescent="0.25">
      <c r="A17" s="25" t="s">
        <v>137</v>
      </c>
      <c r="B17" s="40" t="s">
        <v>512</v>
      </c>
      <c r="C17" s="40" t="s">
        <v>150</v>
      </c>
      <c r="D17" s="40" t="s">
        <v>219</v>
      </c>
      <c r="E17" s="40" t="s">
        <v>138</v>
      </c>
      <c r="F17" s="40"/>
      <c r="G17" s="6" t="e">
        <f>'Пр.4 ведом.21'!#REF!</f>
        <v>#REF!</v>
      </c>
      <c r="H17" s="112"/>
    </row>
    <row r="18" spans="1:8" ht="47.25" x14ac:dyDescent="0.25">
      <c r="A18" s="45" t="s">
        <v>623</v>
      </c>
      <c r="B18" s="40" t="s">
        <v>510</v>
      </c>
      <c r="C18" s="40" t="s">
        <v>150</v>
      </c>
      <c r="D18" s="40" t="s">
        <v>219</v>
      </c>
      <c r="E18" s="40"/>
      <c r="F18" s="40" t="s">
        <v>624</v>
      </c>
      <c r="G18" s="6" t="e">
        <f>G13</f>
        <v>#REF!</v>
      </c>
    </row>
    <row r="19" spans="1:8" ht="78.75" x14ac:dyDescent="0.25">
      <c r="A19" s="58" t="s">
        <v>343</v>
      </c>
      <c r="B19" s="7" t="s">
        <v>344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625</v>
      </c>
      <c r="B20" s="7" t="s">
        <v>346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243</v>
      </c>
      <c r="B21" s="40" t="s">
        <v>346</v>
      </c>
      <c r="C21" s="40" t="s">
        <v>244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252</v>
      </c>
      <c r="B22" s="40" t="s">
        <v>346</v>
      </c>
      <c r="C22" s="40" t="s">
        <v>244</v>
      </c>
      <c r="D22" s="40" t="s">
        <v>215</v>
      </c>
      <c r="E22" s="40"/>
      <c r="F22" s="40"/>
      <c r="G22" s="10" t="e">
        <f>G23+G28</f>
        <v>#REF!</v>
      </c>
    </row>
    <row r="23" spans="1:8" ht="47.25" x14ac:dyDescent="0.25">
      <c r="A23" s="29" t="s">
        <v>157</v>
      </c>
      <c r="B23" s="40" t="s">
        <v>626</v>
      </c>
      <c r="C23" s="40" t="s">
        <v>244</v>
      </c>
      <c r="D23" s="40" t="s">
        <v>215</v>
      </c>
      <c r="E23" s="40"/>
      <c r="F23" s="40"/>
      <c r="G23" s="10" t="e">
        <f>G26</f>
        <v>#REF!</v>
      </c>
    </row>
    <row r="24" spans="1:8" ht="110.25" hidden="1" x14ac:dyDescent="0.25">
      <c r="A24" s="25" t="s">
        <v>127</v>
      </c>
      <c r="B24" s="40" t="s">
        <v>626</v>
      </c>
      <c r="C24" s="40" t="s">
        <v>244</v>
      </c>
      <c r="D24" s="40" t="s">
        <v>215</v>
      </c>
      <c r="E24" s="40" t="s">
        <v>128</v>
      </c>
      <c r="F24" s="40"/>
      <c r="G24" s="10">
        <f>G25</f>
        <v>0</v>
      </c>
    </row>
    <row r="25" spans="1:8" ht="47.25" hidden="1" x14ac:dyDescent="0.25">
      <c r="A25" s="25" t="s">
        <v>129</v>
      </c>
      <c r="B25" s="40" t="s">
        <v>626</v>
      </c>
      <c r="C25" s="40" t="s">
        <v>244</v>
      </c>
      <c r="D25" s="40" t="s">
        <v>215</v>
      </c>
      <c r="E25" s="40" t="s">
        <v>130</v>
      </c>
      <c r="F25" s="40"/>
      <c r="G25" s="10"/>
    </row>
    <row r="26" spans="1:8" ht="47.25" x14ac:dyDescent="0.25">
      <c r="A26" s="29" t="s">
        <v>131</v>
      </c>
      <c r="B26" s="40" t="s">
        <v>626</v>
      </c>
      <c r="C26" s="40" t="s">
        <v>244</v>
      </c>
      <c r="D26" s="40" t="s">
        <v>215</v>
      </c>
      <c r="E26" s="40" t="s">
        <v>132</v>
      </c>
      <c r="F26" s="40"/>
      <c r="G26" s="10" t="e">
        <f>G27</f>
        <v>#REF!</v>
      </c>
    </row>
    <row r="27" spans="1:8" ht="47.25" x14ac:dyDescent="0.25">
      <c r="A27" s="29" t="s">
        <v>133</v>
      </c>
      <c r="B27" s="40" t="s">
        <v>626</v>
      </c>
      <c r="C27" s="40" t="s">
        <v>244</v>
      </c>
      <c r="D27" s="40" t="s">
        <v>215</v>
      </c>
      <c r="E27" s="40" t="s">
        <v>134</v>
      </c>
      <c r="F27" s="40"/>
      <c r="G27" s="6" t="e">
        <f>'Пр.4 ведом.21'!#REF!</f>
        <v>#REF!</v>
      </c>
    </row>
    <row r="28" spans="1:8" ht="47.25" x14ac:dyDescent="0.25">
      <c r="A28" s="25" t="s">
        <v>350</v>
      </c>
      <c r="B28" s="20" t="s">
        <v>351</v>
      </c>
      <c r="C28" s="40" t="s">
        <v>244</v>
      </c>
      <c r="D28" s="40" t="s">
        <v>215</v>
      </c>
      <c r="E28" s="40"/>
      <c r="F28" s="40"/>
      <c r="G28" s="10" t="e">
        <f>G29</f>
        <v>#REF!</v>
      </c>
    </row>
    <row r="29" spans="1:8" ht="63" x14ac:dyDescent="0.25">
      <c r="A29" s="25" t="s">
        <v>272</v>
      </c>
      <c r="B29" s="20" t="s">
        <v>351</v>
      </c>
      <c r="C29" s="40" t="s">
        <v>244</v>
      </c>
      <c r="D29" s="40" t="s">
        <v>215</v>
      </c>
      <c r="E29" s="40" t="s">
        <v>273</v>
      </c>
      <c r="F29" s="40"/>
      <c r="G29" s="10" t="e">
        <f>G30</f>
        <v>#REF!</v>
      </c>
    </row>
    <row r="30" spans="1:8" ht="15.75" x14ac:dyDescent="0.25">
      <c r="A30" s="25" t="s">
        <v>274</v>
      </c>
      <c r="B30" s="20" t="s">
        <v>351</v>
      </c>
      <c r="C30" s="40" t="s">
        <v>244</v>
      </c>
      <c r="D30" s="40" t="s">
        <v>215</v>
      </c>
      <c r="E30" s="40" t="s">
        <v>275</v>
      </c>
      <c r="F30" s="40"/>
      <c r="G30" s="10" t="e">
        <f>'Пр.4 ведом.21'!#REF!</f>
        <v>#REF!</v>
      </c>
      <c r="H30" s="112"/>
    </row>
    <row r="31" spans="1:8" ht="63" x14ac:dyDescent="0.25">
      <c r="A31" s="45" t="s">
        <v>261</v>
      </c>
      <c r="B31" s="20" t="s">
        <v>346</v>
      </c>
      <c r="C31" s="40" t="s">
        <v>244</v>
      </c>
      <c r="D31" s="40" t="s">
        <v>215</v>
      </c>
      <c r="E31" s="40"/>
      <c r="F31" s="40" t="s">
        <v>627</v>
      </c>
      <c r="G31" s="6" t="e">
        <f>G20</f>
        <v>#REF!</v>
      </c>
    </row>
    <row r="32" spans="1:8" ht="47.25" x14ac:dyDescent="0.25">
      <c r="A32" s="58" t="s">
        <v>628</v>
      </c>
      <c r="B32" s="7" t="s">
        <v>353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243</v>
      </c>
      <c r="B33" s="40" t="s">
        <v>353</v>
      </c>
      <c r="C33" s="40" t="s">
        <v>244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252</v>
      </c>
      <c r="B34" s="40" t="s">
        <v>353</v>
      </c>
      <c r="C34" s="40" t="s">
        <v>244</v>
      </c>
      <c r="D34" s="40" t="s">
        <v>215</v>
      </c>
      <c r="E34" s="40"/>
      <c r="F34" s="40"/>
      <c r="G34" s="10" t="e">
        <f>G35</f>
        <v>#REF!</v>
      </c>
    </row>
    <row r="35" spans="1:7" ht="31.5" x14ac:dyDescent="0.25">
      <c r="A35" s="25" t="s">
        <v>614</v>
      </c>
      <c r="B35" s="20" t="s">
        <v>615</v>
      </c>
      <c r="C35" s="40" t="s">
        <v>244</v>
      </c>
      <c r="D35" s="40" t="s">
        <v>215</v>
      </c>
      <c r="E35" s="40"/>
      <c r="F35" s="40"/>
      <c r="G35" s="10" t="e">
        <f>G36</f>
        <v>#REF!</v>
      </c>
    </row>
    <row r="36" spans="1:7" ht="31.5" x14ac:dyDescent="0.25">
      <c r="A36" s="29" t="s">
        <v>248</v>
      </c>
      <c r="B36" s="20" t="s">
        <v>615</v>
      </c>
      <c r="C36" s="40" t="s">
        <v>244</v>
      </c>
      <c r="D36" s="40" t="s">
        <v>215</v>
      </c>
      <c r="E36" s="40" t="s">
        <v>249</v>
      </c>
      <c r="F36" s="40"/>
      <c r="G36" s="10" t="e">
        <f>G37</f>
        <v>#REF!</v>
      </c>
    </row>
    <row r="37" spans="1:7" ht="47.25" x14ac:dyDescent="0.25">
      <c r="A37" s="29" t="s">
        <v>250</v>
      </c>
      <c r="B37" s="20" t="s">
        <v>615</v>
      </c>
      <c r="C37" s="40" t="s">
        <v>244</v>
      </c>
      <c r="D37" s="40" t="s">
        <v>215</v>
      </c>
      <c r="E37" s="40" t="s">
        <v>251</v>
      </c>
      <c r="F37" s="40"/>
      <c r="G37" s="10" t="e">
        <f>'Пр.4 ведом.21'!#REF!</f>
        <v>#REF!</v>
      </c>
    </row>
    <row r="38" spans="1:7" ht="63" x14ac:dyDescent="0.25">
      <c r="A38" s="45" t="s">
        <v>261</v>
      </c>
      <c r="B38" s="20" t="s">
        <v>353</v>
      </c>
      <c r="C38" s="40" t="s">
        <v>244</v>
      </c>
      <c r="D38" s="40" t="s">
        <v>215</v>
      </c>
      <c r="E38" s="40"/>
      <c r="F38" s="40" t="s">
        <v>627</v>
      </c>
      <c r="G38" s="10" t="e">
        <f>G32</f>
        <v>#REF!</v>
      </c>
    </row>
    <row r="39" spans="1:7" ht="47.25" x14ac:dyDescent="0.25">
      <c r="A39" s="58" t="s">
        <v>629</v>
      </c>
      <c r="B39" s="7" t="s">
        <v>356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243</v>
      </c>
      <c r="B40" s="40" t="s">
        <v>356</v>
      </c>
      <c r="C40" s="40" t="s">
        <v>244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252</v>
      </c>
      <c r="B41" s="40" t="s">
        <v>356</v>
      </c>
      <c r="C41" s="40" t="s">
        <v>244</v>
      </c>
      <c r="D41" s="40" t="s">
        <v>215</v>
      </c>
      <c r="E41" s="40"/>
      <c r="F41" s="40"/>
      <c r="G41" s="10" t="e">
        <f>G42</f>
        <v>#REF!</v>
      </c>
    </row>
    <row r="42" spans="1:7" ht="47.25" x14ac:dyDescent="0.25">
      <c r="A42" s="29" t="s">
        <v>157</v>
      </c>
      <c r="B42" s="40" t="s">
        <v>630</v>
      </c>
      <c r="C42" s="40" t="s">
        <v>244</v>
      </c>
      <c r="D42" s="40" t="s">
        <v>215</v>
      </c>
      <c r="E42" s="40"/>
      <c r="F42" s="40"/>
      <c r="G42" s="10" t="e">
        <f>G43</f>
        <v>#REF!</v>
      </c>
    </row>
    <row r="43" spans="1:7" ht="31.5" x14ac:dyDescent="0.25">
      <c r="A43" s="29" t="s">
        <v>248</v>
      </c>
      <c r="B43" s="40" t="s">
        <v>630</v>
      </c>
      <c r="C43" s="40" t="s">
        <v>244</v>
      </c>
      <c r="D43" s="40" t="s">
        <v>215</v>
      </c>
      <c r="E43" s="40" t="s">
        <v>249</v>
      </c>
      <c r="F43" s="40"/>
      <c r="G43" s="10" t="e">
        <f>G44</f>
        <v>#REF!</v>
      </c>
    </row>
    <row r="44" spans="1:7" ht="31.5" x14ac:dyDescent="0.25">
      <c r="A44" s="29" t="s">
        <v>348</v>
      </c>
      <c r="B44" s="40" t="s">
        <v>630</v>
      </c>
      <c r="C44" s="40" t="s">
        <v>244</v>
      </c>
      <c r="D44" s="40" t="s">
        <v>215</v>
      </c>
      <c r="E44" s="40" t="s">
        <v>349</v>
      </c>
      <c r="F44" s="40"/>
      <c r="G44" s="10" t="e">
        <f>'Пр.4 ведом.21'!#REF!</f>
        <v>#REF!</v>
      </c>
    </row>
    <row r="45" spans="1:7" ht="63" x14ac:dyDescent="0.25">
      <c r="A45" s="45" t="s">
        <v>261</v>
      </c>
      <c r="B45" s="40" t="s">
        <v>356</v>
      </c>
      <c r="C45" s="40" t="s">
        <v>244</v>
      </c>
      <c r="D45" s="40" t="s">
        <v>215</v>
      </c>
      <c r="E45" s="40"/>
      <c r="F45" s="40" t="s">
        <v>627</v>
      </c>
      <c r="G45" s="10" t="e">
        <f>G39</f>
        <v>#REF!</v>
      </c>
    </row>
    <row r="46" spans="1:7" ht="31.5" x14ac:dyDescent="0.25">
      <c r="A46" s="58" t="s">
        <v>631</v>
      </c>
      <c r="B46" s="7" t="s">
        <v>359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243</v>
      </c>
      <c r="B47" s="40" t="s">
        <v>359</v>
      </c>
      <c r="C47" s="40" t="s">
        <v>244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252</v>
      </c>
      <c r="B48" s="40" t="s">
        <v>359</v>
      </c>
      <c r="C48" s="40" t="s">
        <v>244</v>
      </c>
      <c r="D48" s="40" t="s">
        <v>215</v>
      </c>
      <c r="E48" s="40"/>
      <c r="F48" s="40"/>
      <c r="G48" s="10" t="e">
        <f>G49</f>
        <v>#REF!</v>
      </c>
    </row>
    <row r="49" spans="1:7" ht="47.25" x14ac:dyDescent="0.25">
      <c r="A49" s="29" t="s">
        <v>157</v>
      </c>
      <c r="B49" s="40" t="s">
        <v>632</v>
      </c>
      <c r="C49" s="40" t="s">
        <v>244</v>
      </c>
      <c r="D49" s="40" t="s">
        <v>215</v>
      </c>
      <c r="E49" s="40"/>
      <c r="F49" s="40"/>
      <c r="G49" s="10" t="e">
        <f>G50+G52</f>
        <v>#REF!</v>
      </c>
    </row>
    <row r="50" spans="1:7" ht="47.25" x14ac:dyDescent="0.25">
      <c r="A50" s="29" t="s">
        <v>131</v>
      </c>
      <c r="B50" s="40" t="s">
        <v>632</v>
      </c>
      <c r="C50" s="40" t="s">
        <v>244</v>
      </c>
      <c r="D50" s="40" t="s">
        <v>215</v>
      </c>
      <c r="E50" s="40" t="s">
        <v>132</v>
      </c>
      <c r="F50" s="40"/>
      <c r="G50" s="10" t="e">
        <f>G51</f>
        <v>#REF!</v>
      </c>
    </row>
    <row r="51" spans="1:7" ht="47.25" x14ac:dyDescent="0.25">
      <c r="A51" s="29" t="s">
        <v>133</v>
      </c>
      <c r="B51" s="40" t="s">
        <v>632</v>
      </c>
      <c r="C51" s="40" t="s">
        <v>244</v>
      </c>
      <c r="D51" s="40" t="s">
        <v>215</v>
      </c>
      <c r="E51" s="40" t="s">
        <v>134</v>
      </c>
      <c r="F51" s="40"/>
      <c r="G51" s="10" t="e">
        <f>'Пр.4 ведом.21'!#REF!</f>
        <v>#REF!</v>
      </c>
    </row>
    <row r="52" spans="1:7" ht="31.5" x14ac:dyDescent="0.25">
      <c r="A52" s="29" t="s">
        <v>248</v>
      </c>
      <c r="B52" s="40" t="s">
        <v>632</v>
      </c>
      <c r="C52" s="40" t="s">
        <v>244</v>
      </c>
      <c r="D52" s="40" t="s">
        <v>215</v>
      </c>
      <c r="E52" s="40" t="s">
        <v>249</v>
      </c>
      <c r="F52" s="40"/>
      <c r="G52" s="10" t="e">
        <f>G53</f>
        <v>#REF!</v>
      </c>
    </row>
    <row r="53" spans="1:7" ht="31.5" x14ac:dyDescent="0.25">
      <c r="A53" s="29" t="s">
        <v>348</v>
      </c>
      <c r="B53" s="40" t="s">
        <v>632</v>
      </c>
      <c r="C53" s="40" t="s">
        <v>244</v>
      </c>
      <c r="D53" s="40" t="s">
        <v>215</v>
      </c>
      <c r="E53" s="40" t="s">
        <v>349</v>
      </c>
      <c r="F53" s="40"/>
      <c r="G53" s="10" t="e">
        <f>'Пр.4 ведом.21'!#REF!</f>
        <v>#REF!</v>
      </c>
    </row>
    <row r="54" spans="1:7" ht="63" x14ac:dyDescent="0.25">
      <c r="A54" s="45" t="s">
        <v>261</v>
      </c>
      <c r="B54" s="40" t="s">
        <v>359</v>
      </c>
      <c r="C54" s="40" t="s">
        <v>244</v>
      </c>
      <c r="D54" s="40" t="s">
        <v>215</v>
      </c>
      <c r="E54" s="40"/>
      <c r="F54" s="40" t="s">
        <v>627</v>
      </c>
      <c r="G54" s="10" t="e">
        <f>G46</f>
        <v>#REF!</v>
      </c>
    </row>
    <row r="55" spans="1:7" ht="47.25" x14ac:dyDescent="0.25">
      <c r="A55" s="58" t="s">
        <v>633</v>
      </c>
      <c r="B55" s="7" t="s">
        <v>362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243</v>
      </c>
      <c r="B56" s="40" t="s">
        <v>362</v>
      </c>
      <c r="C56" s="40" t="s">
        <v>244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252</v>
      </c>
      <c r="B57" s="40" t="s">
        <v>362</v>
      </c>
      <c r="C57" s="40" t="s">
        <v>244</v>
      </c>
      <c r="D57" s="40" t="s">
        <v>215</v>
      </c>
      <c r="E57" s="40"/>
      <c r="F57" s="40"/>
      <c r="G57" s="10" t="e">
        <f>G58</f>
        <v>#REF!</v>
      </c>
    </row>
    <row r="58" spans="1:7" ht="47.25" x14ac:dyDescent="0.25">
      <c r="A58" s="29" t="s">
        <v>157</v>
      </c>
      <c r="B58" s="40" t="s">
        <v>634</v>
      </c>
      <c r="C58" s="40" t="s">
        <v>244</v>
      </c>
      <c r="D58" s="40" t="s">
        <v>215</v>
      </c>
      <c r="E58" s="40"/>
      <c r="F58" s="40"/>
      <c r="G58" s="10" t="e">
        <f>G59</f>
        <v>#REF!</v>
      </c>
    </row>
    <row r="59" spans="1:7" ht="31.5" x14ac:dyDescent="0.25">
      <c r="A59" s="29" t="s">
        <v>248</v>
      </c>
      <c r="B59" s="40" t="s">
        <v>634</v>
      </c>
      <c r="C59" s="40" t="s">
        <v>244</v>
      </c>
      <c r="D59" s="40" t="s">
        <v>215</v>
      </c>
      <c r="E59" s="40" t="s">
        <v>249</v>
      </c>
      <c r="F59" s="40"/>
      <c r="G59" s="10" t="e">
        <f>G60</f>
        <v>#REF!</v>
      </c>
    </row>
    <row r="60" spans="1:7" ht="31.5" x14ac:dyDescent="0.25">
      <c r="A60" s="29" t="s">
        <v>348</v>
      </c>
      <c r="B60" s="40" t="s">
        <v>634</v>
      </c>
      <c r="C60" s="40" t="s">
        <v>244</v>
      </c>
      <c r="D60" s="40" t="s">
        <v>215</v>
      </c>
      <c r="E60" s="40" t="s">
        <v>349</v>
      </c>
      <c r="F60" s="40"/>
      <c r="G60" s="10" t="e">
        <f>'Пр.4 ведом.21'!#REF!</f>
        <v>#REF!</v>
      </c>
    </row>
    <row r="61" spans="1:7" ht="63" x14ac:dyDescent="0.25">
      <c r="A61" s="45" t="s">
        <v>261</v>
      </c>
      <c r="B61" s="40" t="s">
        <v>362</v>
      </c>
      <c r="C61" s="40" t="s">
        <v>244</v>
      </c>
      <c r="D61" s="40" t="s">
        <v>215</v>
      </c>
      <c r="E61" s="40"/>
      <c r="F61" s="40" t="s">
        <v>627</v>
      </c>
      <c r="G61" s="10" t="e">
        <f>G55</f>
        <v>#REF!</v>
      </c>
    </row>
    <row r="62" spans="1:7" ht="78.75" x14ac:dyDescent="0.25">
      <c r="A62" s="58" t="s">
        <v>364</v>
      </c>
      <c r="B62" s="7" t="s">
        <v>365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243</v>
      </c>
      <c r="B63" s="40" t="s">
        <v>365</v>
      </c>
      <c r="C63" s="40" t="s">
        <v>244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252</v>
      </c>
      <c r="B64" s="40" t="s">
        <v>365</v>
      </c>
      <c r="C64" s="40" t="s">
        <v>244</v>
      </c>
      <c r="D64" s="40" t="s">
        <v>215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157</v>
      </c>
      <c r="B65" s="40" t="s">
        <v>635</v>
      </c>
      <c r="C65" s="40" t="s">
        <v>244</v>
      </c>
      <c r="D65" s="40" t="s">
        <v>215</v>
      </c>
      <c r="E65" s="40"/>
      <c r="F65" s="40"/>
      <c r="G65" s="10" t="e">
        <f>G66</f>
        <v>#REF!</v>
      </c>
    </row>
    <row r="66" spans="1:7" ht="47.25" x14ac:dyDescent="0.25">
      <c r="A66" s="29" t="s">
        <v>131</v>
      </c>
      <c r="B66" s="40" t="s">
        <v>635</v>
      </c>
      <c r="C66" s="40" t="s">
        <v>244</v>
      </c>
      <c r="D66" s="40" t="s">
        <v>215</v>
      </c>
      <c r="E66" s="40" t="s">
        <v>132</v>
      </c>
      <c r="F66" s="40"/>
      <c r="G66" s="10" t="e">
        <f>G67</f>
        <v>#REF!</v>
      </c>
    </row>
    <row r="67" spans="1:7" ht="47.25" x14ac:dyDescent="0.25">
      <c r="A67" s="29" t="s">
        <v>133</v>
      </c>
      <c r="B67" s="40" t="s">
        <v>635</v>
      </c>
      <c r="C67" s="40" t="s">
        <v>244</v>
      </c>
      <c r="D67" s="40" t="s">
        <v>215</v>
      </c>
      <c r="E67" s="40" t="s">
        <v>134</v>
      </c>
      <c r="F67" s="40"/>
      <c r="G67" s="10" t="e">
        <f>'Пр.4 ведом.21'!#REF!</f>
        <v>#REF!</v>
      </c>
    </row>
    <row r="68" spans="1:7" ht="63" x14ac:dyDescent="0.25">
      <c r="A68" s="45" t="s">
        <v>261</v>
      </c>
      <c r="B68" s="40" t="s">
        <v>365</v>
      </c>
      <c r="C68" s="40" t="s">
        <v>244</v>
      </c>
      <c r="D68" s="40" t="s">
        <v>215</v>
      </c>
      <c r="E68" s="40"/>
      <c r="F68" s="40" t="s">
        <v>627</v>
      </c>
      <c r="G68" s="10" t="e">
        <f>G62</f>
        <v>#REF!</v>
      </c>
    </row>
    <row r="69" spans="1:7" ht="94.5" x14ac:dyDescent="0.25">
      <c r="A69" s="41" t="s">
        <v>367</v>
      </c>
      <c r="B69" s="7" t="s">
        <v>368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243</v>
      </c>
      <c r="B70" s="40" t="s">
        <v>368</v>
      </c>
      <c r="C70" s="40" t="s">
        <v>244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252</v>
      </c>
      <c r="B71" s="40" t="s">
        <v>368</v>
      </c>
      <c r="C71" s="40" t="s">
        <v>244</v>
      </c>
      <c r="D71" s="40" t="s">
        <v>215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157</v>
      </c>
      <c r="B72" s="40" t="s">
        <v>370</v>
      </c>
      <c r="C72" s="40" t="s">
        <v>244</v>
      </c>
      <c r="D72" s="40" t="s">
        <v>215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131</v>
      </c>
      <c r="B73" s="40" t="s">
        <v>368</v>
      </c>
      <c r="C73" s="40" t="s">
        <v>244</v>
      </c>
      <c r="D73" s="40" t="s">
        <v>215</v>
      </c>
      <c r="E73" s="40" t="s">
        <v>132</v>
      </c>
      <c r="F73" s="40"/>
      <c r="G73" s="10">
        <f>G74</f>
        <v>0</v>
      </c>
    </row>
    <row r="74" spans="1:7" ht="47.25" hidden="1" x14ac:dyDescent="0.25">
      <c r="A74" s="29" t="s">
        <v>133</v>
      </c>
      <c r="B74" s="40" t="s">
        <v>368</v>
      </c>
      <c r="C74" s="40" t="s">
        <v>244</v>
      </c>
      <c r="D74" s="40" t="s">
        <v>215</v>
      </c>
      <c r="E74" s="40" t="s">
        <v>134</v>
      </c>
      <c r="F74" s="40"/>
      <c r="G74" s="10"/>
    </row>
    <row r="75" spans="1:7" ht="63" x14ac:dyDescent="0.25">
      <c r="A75" s="25" t="s">
        <v>272</v>
      </c>
      <c r="B75" s="40" t="s">
        <v>370</v>
      </c>
      <c r="C75" s="40" t="s">
        <v>244</v>
      </c>
      <c r="D75" s="40" t="s">
        <v>215</v>
      </c>
      <c r="E75" s="40" t="s">
        <v>273</v>
      </c>
      <c r="F75" s="40"/>
      <c r="G75" s="10" t="e">
        <f>G76</f>
        <v>#REF!</v>
      </c>
    </row>
    <row r="76" spans="1:7" ht="72.75" customHeight="1" x14ac:dyDescent="0.25">
      <c r="A76" s="25" t="s">
        <v>371</v>
      </c>
      <c r="B76" s="40" t="s">
        <v>370</v>
      </c>
      <c r="C76" s="40" t="s">
        <v>244</v>
      </c>
      <c r="D76" s="40" t="s">
        <v>215</v>
      </c>
      <c r="E76" s="40" t="s">
        <v>372</v>
      </c>
      <c r="F76" s="40"/>
      <c r="G76" s="10" t="e">
        <f>'Пр.4 ведом.21'!#REF!</f>
        <v>#REF!</v>
      </c>
    </row>
    <row r="77" spans="1:7" ht="63" x14ac:dyDescent="0.25">
      <c r="A77" s="25" t="s">
        <v>375</v>
      </c>
      <c r="B77" s="20" t="s">
        <v>376</v>
      </c>
      <c r="C77" s="40" t="s">
        <v>244</v>
      </c>
      <c r="D77" s="40" t="s">
        <v>215</v>
      </c>
      <c r="E77" s="40"/>
      <c r="F77" s="40"/>
      <c r="G77" s="10" t="e">
        <f>G78</f>
        <v>#REF!</v>
      </c>
    </row>
    <row r="78" spans="1:7" ht="31.5" x14ac:dyDescent="0.25">
      <c r="A78" s="25" t="s">
        <v>248</v>
      </c>
      <c r="B78" s="20" t="s">
        <v>376</v>
      </c>
      <c r="C78" s="40" t="s">
        <v>244</v>
      </c>
      <c r="D78" s="40" t="s">
        <v>215</v>
      </c>
      <c r="E78" s="40" t="s">
        <v>249</v>
      </c>
      <c r="F78" s="40"/>
      <c r="G78" s="10" t="e">
        <f>G79</f>
        <v>#REF!</v>
      </c>
    </row>
    <row r="79" spans="1:7" ht="47.25" x14ac:dyDescent="0.25">
      <c r="A79" s="25" t="s">
        <v>250</v>
      </c>
      <c r="B79" s="20" t="s">
        <v>376</v>
      </c>
      <c r="C79" s="40" t="s">
        <v>244</v>
      </c>
      <c r="D79" s="40" t="s">
        <v>215</v>
      </c>
      <c r="E79" s="40" t="s">
        <v>251</v>
      </c>
      <c r="F79" s="40"/>
      <c r="G79" s="10" t="e">
        <f>'Пр.4 ведом.21'!#REF!</f>
        <v>#REF!</v>
      </c>
    </row>
    <row r="80" spans="1:7" ht="63" x14ac:dyDescent="0.25">
      <c r="A80" s="45" t="s">
        <v>261</v>
      </c>
      <c r="B80" s="20" t="s">
        <v>368</v>
      </c>
      <c r="C80" s="40" t="s">
        <v>244</v>
      </c>
      <c r="D80" s="40" t="s">
        <v>215</v>
      </c>
      <c r="E80" s="40"/>
      <c r="F80" s="9" t="s">
        <v>627</v>
      </c>
      <c r="G80" s="10" t="e">
        <f>G69</f>
        <v>#REF!</v>
      </c>
    </row>
    <row r="81" spans="1:7" ht="173.25" hidden="1" x14ac:dyDescent="0.25">
      <c r="A81" s="25" t="s">
        <v>373</v>
      </c>
      <c r="B81" s="20" t="s">
        <v>374</v>
      </c>
      <c r="C81" s="40" t="s">
        <v>244</v>
      </c>
      <c r="D81" s="40" t="s">
        <v>215</v>
      </c>
      <c r="E81" s="40"/>
      <c r="F81" s="9"/>
      <c r="G81" s="10">
        <f>G82</f>
        <v>0</v>
      </c>
    </row>
    <row r="82" spans="1:7" ht="15.75" hidden="1" x14ac:dyDescent="0.25">
      <c r="A82" s="25" t="s">
        <v>135</v>
      </c>
      <c r="B82" s="20" t="s">
        <v>374</v>
      </c>
      <c r="C82" s="40" t="s">
        <v>244</v>
      </c>
      <c r="D82" s="40" t="s">
        <v>215</v>
      </c>
      <c r="E82" s="40" t="s">
        <v>145</v>
      </c>
      <c r="F82" s="9"/>
      <c r="G82" s="10">
        <f>G83</f>
        <v>0</v>
      </c>
    </row>
    <row r="83" spans="1:7" ht="78.75" hidden="1" x14ac:dyDescent="0.25">
      <c r="A83" s="25" t="s">
        <v>184</v>
      </c>
      <c r="B83" s="20" t="s">
        <v>374</v>
      </c>
      <c r="C83" s="40" t="s">
        <v>244</v>
      </c>
      <c r="D83" s="40" t="s">
        <v>215</v>
      </c>
      <c r="E83" s="40" t="s">
        <v>160</v>
      </c>
      <c r="F83" s="9"/>
      <c r="G83" s="10"/>
    </row>
    <row r="84" spans="1:7" ht="63" hidden="1" x14ac:dyDescent="0.25">
      <c r="A84" s="45" t="s">
        <v>261</v>
      </c>
      <c r="B84" s="20" t="s">
        <v>374</v>
      </c>
      <c r="C84" s="40" t="s">
        <v>244</v>
      </c>
      <c r="D84" s="40" t="s">
        <v>215</v>
      </c>
      <c r="E84" s="40"/>
      <c r="F84" s="9" t="s">
        <v>627</v>
      </c>
      <c r="G84" s="10">
        <f>G83</f>
        <v>0</v>
      </c>
    </row>
    <row r="85" spans="1:7" ht="63" hidden="1" x14ac:dyDescent="0.25">
      <c r="A85" s="25" t="s">
        <v>375</v>
      </c>
      <c r="B85" s="20" t="s">
        <v>376</v>
      </c>
      <c r="C85" s="40" t="s">
        <v>244</v>
      </c>
      <c r="D85" s="40" t="s">
        <v>215</v>
      </c>
      <c r="E85" s="40"/>
      <c r="F85" s="9"/>
      <c r="G85" s="10">
        <f>G86</f>
        <v>0</v>
      </c>
    </row>
    <row r="86" spans="1:7" ht="31.5" hidden="1" x14ac:dyDescent="0.25">
      <c r="A86" s="29" t="s">
        <v>248</v>
      </c>
      <c r="B86" s="20" t="s">
        <v>376</v>
      </c>
      <c r="C86" s="40" t="s">
        <v>244</v>
      </c>
      <c r="D86" s="40" t="s">
        <v>215</v>
      </c>
      <c r="E86" s="40" t="s">
        <v>249</v>
      </c>
      <c r="F86" s="9"/>
      <c r="G86" s="10">
        <f>G87</f>
        <v>0</v>
      </c>
    </row>
    <row r="87" spans="1:7" ht="47.25" hidden="1" x14ac:dyDescent="0.25">
      <c r="A87" s="29" t="s">
        <v>250</v>
      </c>
      <c r="B87" s="20" t="s">
        <v>376</v>
      </c>
      <c r="C87" s="40" t="s">
        <v>244</v>
      </c>
      <c r="D87" s="40" t="s">
        <v>215</v>
      </c>
      <c r="E87" s="40" t="s">
        <v>251</v>
      </c>
      <c r="F87" s="9"/>
      <c r="G87" s="10"/>
    </row>
    <row r="88" spans="1:7" ht="63" hidden="1" x14ac:dyDescent="0.25">
      <c r="A88" s="45" t="s">
        <v>261</v>
      </c>
      <c r="B88" s="20" t="s">
        <v>376</v>
      </c>
      <c r="C88" s="40" t="s">
        <v>244</v>
      </c>
      <c r="D88" s="40" t="s">
        <v>215</v>
      </c>
      <c r="E88" s="40"/>
      <c r="F88" s="9" t="s">
        <v>627</v>
      </c>
      <c r="G88" s="10">
        <f>G85</f>
        <v>0</v>
      </c>
    </row>
    <row r="89" spans="1:7" ht="47.25" hidden="1" x14ac:dyDescent="0.25">
      <c r="A89" s="29" t="s">
        <v>377</v>
      </c>
      <c r="B89" s="20" t="s">
        <v>378</v>
      </c>
      <c r="C89" s="40" t="s">
        <v>244</v>
      </c>
      <c r="D89" s="40" t="s">
        <v>215</v>
      </c>
      <c r="E89" s="40"/>
      <c r="F89" s="40"/>
      <c r="G89" s="10">
        <f>G90</f>
        <v>0</v>
      </c>
    </row>
    <row r="90" spans="1:7" ht="47.25" hidden="1" x14ac:dyDescent="0.25">
      <c r="A90" s="29" t="s">
        <v>131</v>
      </c>
      <c r="B90" s="20" t="s">
        <v>378</v>
      </c>
      <c r="C90" s="40" t="s">
        <v>244</v>
      </c>
      <c r="D90" s="40" t="s">
        <v>215</v>
      </c>
      <c r="E90" s="40" t="s">
        <v>132</v>
      </c>
      <c r="F90" s="40"/>
      <c r="G90" s="10">
        <f>G91</f>
        <v>0</v>
      </c>
    </row>
    <row r="91" spans="1:7" ht="47.25" hidden="1" x14ac:dyDescent="0.25">
      <c r="A91" s="29" t="s">
        <v>133</v>
      </c>
      <c r="B91" s="20" t="s">
        <v>378</v>
      </c>
      <c r="C91" s="40" t="s">
        <v>244</v>
      </c>
      <c r="D91" s="40" t="s">
        <v>215</v>
      </c>
      <c r="E91" s="40" t="s">
        <v>134</v>
      </c>
      <c r="F91" s="40"/>
      <c r="G91" s="10">
        <v>0</v>
      </c>
    </row>
    <row r="92" spans="1:7" ht="15.75" hidden="1" x14ac:dyDescent="0.25">
      <c r="A92" s="29" t="s">
        <v>135</v>
      </c>
      <c r="B92" s="20" t="s">
        <v>378</v>
      </c>
      <c r="C92" s="40" t="s">
        <v>244</v>
      </c>
      <c r="D92" s="40" t="s">
        <v>215</v>
      </c>
      <c r="E92" s="40" t="s">
        <v>145</v>
      </c>
      <c r="F92" s="40"/>
      <c r="G92" s="10"/>
    </row>
    <row r="93" spans="1:7" ht="78.75" hidden="1" x14ac:dyDescent="0.25">
      <c r="A93" s="29" t="s">
        <v>184</v>
      </c>
      <c r="B93" s="20" t="s">
        <v>378</v>
      </c>
      <c r="C93" s="40" t="s">
        <v>244</v>
      </c>
      <c r="D93" s="40" t="s">
        <v>215</v>
      </c>
      <c r="E93" s="40" t="s">
        <v>160</v>
      </c>
      <c r="F93" s="40"/>
      <c r="G93" s="10"/>
    </row>
    <row r="94" spans="1:7" ht="63" hidden="1" x14ac:dyDescent="0.25">
      <c r="A94" s="45" t="s">
        <v>261</v>
      </c>
      <c r="B94" s="20" t="s">
        <v>378</v>
      </c>
      <c r="C94" s="40" t="s">
        <v>244</v>
      </c>
      <c r="D94" s="40" t="s">
        <v>215</v>
      </c>
      <c r="E94" s="40"/>
      <c r="F94" s="9" t="s">
        <v>627</v>
      </c>
      <c r="G94" s="10">
        <f>G89</f>
        <v>0</v>
      </c>
    </row>
    <row r="95" spans="1:7" ht="141.75" x14ac:dyDescent="0.25">
      <c r="A95" s="41" t="s">
        <v>380</v>
      </c>
      <c r="B95" s="7" t="s">
        <v>381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243</v>
      </c>
      <c r="B96" s="40" t="s">
        <v>381</v>
      </c>
      <c r="C96" s="40" t="s">
        <v>244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252</v>
      </c>
      <c r="B97" s="40" t="s">
        <v>381</v>
      </c>
      <c r="C97" s="40" t="s">
        <v>244</v>
      </c>
      <c r="D97" s="40" t="s">
        <v>215</v>
      </c>
      <c r="E97" s="40"/>
      <c r="F97" s="9"/>
      <c r="G97" s="10" t="e">
        <f>G98</f>
        <v>#REF!</v>
      </c>
    </row>
    <row r="98" spans="1:7" ht="47.25" x14ac:dyDescent="0.25">
      <c r="A98" s="29" t="s">
        <v>157</v>
      </c>
      <c r="B98" s="40" t="s">
        <v>382</v>
      </c>
      <c r="C98" s="40" t="s">
        <v>244</v>
      </c>
      <c r="D98" s="40" t="s">
        <v>215</v>
      </c>
      <c r="E98" s="40"/>
      <c r="F98" s="9"/>
      <c r="G98" s="10" t="e">
        <f>G99</f>
        <v>#REF!</v>
      </c>
    </row>
    <row r="99" spans="1:7" ht="47.25" x14ac:dyDescent="0.25">
      <c r="A99" s="29" t="s">
        <v>131</v>
      </c>
      <c r="B99" s="40" t="s">
        <v>382</v>
      </c>
      <c r="C99" s="40" t="s">
        <v>244</v>
      </c>
      <c r="D99" s="40" t="s">
        <v>215</v>
      </c>
      <c r="E99" s="40" t="s">
        <v>132</v>
      </c>
      <c r="F99" s="9"/>
      <c r="G99" s="10" t="e">
        <f>G100</f>
        <v>#REF!</v>
      </c>
    </row>
    <row r="100" spans="1:7" ht="47.25" x14ac:dyDescent="0.25">
      <c r="A100" s="29" t="s">
        <v>133</v>
      </c>
      <c r="B100" s="40" t="s">
        <v>382</v>
      </c>
      <c r="C100" s="40" t="s">
        <v>244</v>
      </c>
      <c r="D100" s="40" t="s">
        <v>215</v>
      </c>
      <c r="E100" s="40" t="s">
        <v>134</v>
      </c>
      <c r="F100" s="9"/>
      <c r="G100" s="10" t="e">
        <f>'Пр.4 ведом.21'!#REF!</f>
        <v>#REF!</v>
      </c>
    </row>
    <row r="101" spans="1:7" ht="63" x14ac:dyDescent="0.25">
      <c r="A101" s="45" t="s">
        <v>261</v>
      </c>
      <c r="B101" s="40" t="s">
        <v>381</v>
      </c>
      <c r="C101" s="40" t="s">
        <v>244</v>
      </c>
      <c r="D101" s="40" t="s">
        <v>215</v>
      </c>
      <c r="E101" s="40"/>
      <c r="F101" s="9" t="s">
        <v>627</v>
      </c>
      <c r="G101" s="10" t="e">
        <f>G95</f>
        <v>#REF!</v>
      </c>
    </row>
    <row r="102" spans="1:7" ht="63" x14ac:dyDescent="0.25">
      <c r="A102" s="58" t="s">
        <v>426</v>
      </c>
      <c r="B102" s="7" t="s">
        <v>406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407</v>
      </c>
      <c r="B103" s="7" t="s">
        <v>408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263</v>
      </c>
      <c r="B104" s="40" t="s">
        <v>408</v>
      </c>
      <c r="C104" s="40" t="s">
        <v>264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404</v>
      </c>
      <c r="B105" s="40" t="s">
        <v>408</v>
      </c>
      <c r="C105" s="40" t="s">
        <v>264</v>
      </c>
      <c r="D105" s="40" t="s">
        <v>118</v>
      </c>
      <c r="E105" s="40"/>
      <c r="F105" s="40"/>
      <c r="G105" s="10" t="e">
        <f>G106</f>
        <v>#REF!</v>
      </c>
    </row>
    <row r="106" spans="1:7" ht="63" x14ac:dyDescent="0.25">
      <c r="A106" s="29" t="s">
        <v>409</v>
      </c>
      <c r="B106" s="40" t="s">
        <v>410</v>
      </c>
      <c r="C106" s="40" t="s">
        <v>264</v>
      </c>
      <c r="D106" s="40" t="s">
        <v>118</v>
      </c>
      <c r="E106" s="40"/>
      <c r="F106" s="40"/>
      <c r="G106" s="10" t="e">
        <f>G107</f>
        <v>#REF!</v>
      </c>
    </row>
    <row r="107" spans="1:7" ht="63" x14ac:dyDescent="0.25">
      <c r="A107" s="29" t="s">
        <v>272</v>
      </c>
      <c r="B107" s="40" t="s">
        <v>410</v>
      </c>
      <c r="C107" s="40" t="s">
        <v>264</v>
      </c>
      <c r="D107" s="40" t="s">
        <v>118</v>
      </c>
      <c r="E107" s="40" t="s">
        <v>273</v>
      </c>
      <c r="F107" s="40"/>
      <c r="G107" s="10" t="e">
        <f>G108</f>
        <v>#REF!</v>
      </c>
    </row>
    <row r="108" spans="1:7" ht="15.75" x14ac:dyDescent="0.25">
      <c r="A108" s="29" t="s">
        <v>274</v>
      </c>
      <c r="B108" s="40" t="s">
        <v>410</v>
      </c>
      <c r="C108" s="40" t="s">
        <v>264</v>
      </c>
      <c r="D108" s="40" t="s">
        <v>118</v>
      </c>
      <c r="E108" s="40" t="s">
        <v>275</v>
      </c>
      <c r="F108" s="40"/>
      <c r="G108" s="6" t="e">
        <f>'Пр.4 ведом.21'!#REF!</f>
        <v>#REF!</v>
      </c>
    </row>
    <row r="109" spans="1:7" ht="15.75" x14ac:dyDescent="0.25">
      <c r="A109" s="29" t="s">
        <v>425</v>
      </c>
      <c r="B109" s="40" t="s">
        <v>408</v>
      </c>
      <c r="C109" s="40" t="s">
        <v>264</v>
      </c>
      <c r="D109" s="40" t="s">
        <v>213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427</v>
      </c>
      <c r="B110" s="40" t="s">
        <v>428</v>
      </c>
      <c r="C110" s="40" t="s">
        <v>264</v>
      </c>
      <c r="D110" s="40" t="s">
        <v>213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272</v>
      </c>
      <c r="B111" s="40" t="s">
        <v>428</v>
      </c>
      <c r="C111" s="40" t="s">
        <v>264</v>
      </c>
      <c r="D111" s="40" t="s">
        <v>213</v>
      </c>
      <c r="E111" s="40" t="s">
        <v>273</v>
      </c>
      <c r="F111" s="40"/>
      <c r="G111" s="10" t="e">
        <f>G112</f>
        <v>#REF!</v>
      </c>
    </row>
    <row r="112" spans="1:7" ht="15.75" x14ac:dyDescent="0.25">
      <c r="A112" s="29" t="s">
        <v>274</v>
      </c>
      <c r="B112" s="40" t="s">
        <v>428</v>
      </c>
      <c r="C112" s="40" t="s">
        <v>264</v>
      </c>
      <c r="D112" s="40" t="s">
        <v>213</v>
      </c>
      <c r="E112" s="40" t="s">
        <v>275</v>
      </c>
      <c r="F112" s="40"/>
      <c r="G112" s="6" t="e">
        <f>'Пр.4 ведом.21'!#REF!</f>
        <v>#REF!</v>
      </c>
    </row>
    <row r="113" spans="1:7" ht="15.75" x14ac:dyDescent="0.25">
      <c r="A113" s="29" t="s">
        <v>265</v>
      </c>
      <c r="B113" s="40" t="s">
        <v>408</v>
      </c>
      <c r="C113" s="40" t="s">
        <v>264</v>
      </c>
      <c r="D113" s="40" t="s">
        <v>215</v>
      </c>
      <c r="E113" s="40"/>
      <c r="F113" s="40"/>
      <c r="G113" s="6" t="e">
        <f>G114</f>
        <v>#REF!</v>
      </c>
    </row>
    <row r="114" spans="1:7" ht="63" x14ac:dyDescent="0.25">
      <c r="A114" s="29" t="s">
        <v>270</v>
      </c>
      <c r="B114" s="40" t="s">
        <v>429</v>
      </c>
      <c r="C114" s="40" t="s">
        <v>264</v>
      </c>
      <c r="D114" s="40" t="s">
        <v>215</v>
      </c>
      <c r="E114" s="7"/>
      <c r="F114" s="7"/>
      <c r="G114" s="10" t="e">
        <f>G115</f>
        <v>#REF!</v>
      </c>
    </row>
    <row r="115" spans="1:7" ht="63" x14ac:dyDescent="0.25">
      <c r="A115" s="29" t="s">
        <v>272</v>
      </c>
      <c r="B115" s="40" t="s">
        <v>429</v>
      </c>
      <c r="C115" s="40" t="s">
        <v>264</v>
      </c>
      <c r="D115" s="40" t="s">
        <v>215</v>
      </c>
      <c r="E115" s="40" t="s">
        <v>273</v>
      </c>
      <c r="F115" s="40"/>
      <c r="G115" s="10" t="e">
        <f>G116</f>
        <v>#REF!</v>
      </c>
    </row>
    <row r="116" spans="1:7" ht="15.75" x14ac:dyDescent="0.25">
      <c r="A116" s="29" t="s">
        <v>274</v>
      </c>
      <c r="B116" s="40" t="s">
        <v>429</v>
      </c>
      <c r="C116" s="40" t="s">
        <v>264</v>
      </c>
      <c r="D116" s="40" t="s">
        <v>215</v>
      </c>
      <c r="E116" s="40" t="s">
        <v>275</v>
      </c>
      <c r="F116" s="40"/>
      <c r="G116" s="6" t="e">
        <f>'Пр.4 ведом.21'!#REF!</f>
        <v>#REF!</v>
      </c>
    </row>
    <row r="117" spans="1:7" ht="47.25" x14ac:dyDescent="0.25">
      <c r="A117" s="29" t="s">
        <v>403</v>
      </c>
      <c r="B117" s="40" t="s">
        <v>408</v>
      </c>
      <c r="C117" s="40" t="s">
        <v>264</v>
      </c>
      <c r="D117" s="40" t="s">
        <v>215</v>
      </c>
      <c r="E117" s="40"/>
      <c r="F117" s="40" t="s">
        <v>636</v>
      </c>
      <c r="G117" s="6" t="e">
        <f>G103</f>
        <v>#REF!</v>
      </c>
    </row>
    <row r="118" spans="1:7" ht="47.25" x14ac:dyDescent="0.25">
      <c r="A118" s="41" t="s">
        <v>411</v>
      </c>
      <c r="B118" s="7" t="s">
        <v>412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263</v>
      </c>
      <c r="B119" s="40" t="s">
        <v>412</v>
      </c>
      <c r="C119" s="40" t="s">
        <v>264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404</v>
      </c>
      <c r="B120" s="40" t="s">
        <v>412</v>
      </c>
      <c r="C120" s="40" t="s">
        <v>264</v>
      </c>
      <c r="D120" s="40" t="s">
        <v>118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595</v>
      </c>
      <c r="B121" s="40" t="s">
        <v>596</v>
      </c>
      <c r="C121" s="40" t="s">
        <v>264</v>
      </c>
      <c r="D121" s="40" t="s">
        <v>118</v>
      </c>
      <c r="E121" s="40"/>
      <c r="F121" s="40"/>
      <c r="G121" s="10">
        <f>G122</f>
        <v>0</v>
      </c>
    </row>
    <row r="122" spans="1:7" ht="63" hidden="1" x14ac:dyDescent="0.25">
      <c r="A122" s="29" t="s">
        <v>272</v>
      </c>
      <c r="B122" s="40" t="s">
        <v>596</v>
      </c>
      <c r="C122" s="40" t="s">
        <v>264</v>
      </c>
      <c r="D122" s="40" t="s">
        <v>118</v>
      </c>
      <c r="E122" s="40" t="s">
        <v>273</v>
      </c>
      <c r="F122" s="40"/>
      <c r="G122" s="10">
        <f>G123</f>
        <v>0</v>
      </c>
    </row>
    <row r="123" spans="1:7" ht="15.75" hidden="1" x14ac:dyDescent="0.25">
      <c r="A123" s="29" t="s">
        <v>274</v>
      </c>
      <c r="B123" s="40" t="s">
        <v>596</v>
      </c>
      <c r="C123" s="40" t="s">
        <v>264</v>
      </c>
      <c r="D123" s="40" t="s">
        <v>118</v>
      </c>
      <c r="E123" s="40" t="s">
        <v>275</v>
      </c>
      <c r="F123" s="40"/>
      <c r="G123" s="10"/>
    </row>
    <row r="124" spans="1:7" ht="47.25" hidden="1" x14ac:dyDescent="0.25">
      <c r="A124" s="29" t="s">
        <v>403</v>
      </c>
      <c r="B124" s="40" t="s">
        <v>596</v>
      </c>
      <c r="C124" s="40" t="s">
        <v>264</v>
      </c>
      <c r="D124" s="40" t="s">
        <v>118</v>
      </c>
      <c r="E124" s="40"/>
      <c r="F124" s="40" t="s">
        <v>636</v>
      </c>
      <c r="G124" s="10">
        <v>0</v>
      </c>
    </row>
    <row r="125" spans="1:7" ht="47.25" hidden="1" x14ac:dyDescent="0.25">
      <c r="A125" s="29" t="s">
        <v>278</v>
      </c>
      <c r="B125" s="40" t="s">
        <v>597</v>
      </c>
      <c r="C125" s="40" t="s">
        <v>264</v>
      </c>
      <c r="D125" s="40" t="s">
        <v>118</v>
      </c>
      <c r="E125" s="40"/>
      <c r="F125" s="40"/>
      <c r="G125" s="10">
        <f>G126</f>
        <v>0</v>
      </c>
    </row>
    <row r="126" spans="1:7" ht="63" hidden="1" x14ac:dyDescent="0.25">
      <c r="A126" s="29" t="s">
        <v>272</v>
      </c>
      <c r="B126" s="40" t="s">
        <v>597</v>
      </c>
      <c r="C126" s="40" t="s">
        <v>264</v>
      </c>
      <c r="D126" s="40" t="s">
        <v>118</v>
      </c>
      <c r="E126" s="40" t="s">
        <v>273</v>
      </c>
      <c r="F126" s="40"/>
      <c r="G126" s="10">
        <f>G127</f>
        <v>0</v>
      </c>
    </row>
    <row r="127" spans="1:7" ht="15.75" hidden="1" x14ac:dyDescent="0.25">
      <c r="A127" s="29" t="s">
        <v>274</v>
      </c>
      <c r="B127" s="40" t="s">
        <v>597</v>
      </c>
      <c r="C127" s="40" t="s">
        <v>264</v>
      </c>
      <c r="D127" s="40" t="s">
        <v>118</v>
      </c>
      <c r="E127" s="40" t="s">
        <v>275</v>
      </c>
      <c r="F127" s="40"/>
      <c r="G127" s="10"/>
    </row>
    <row r="128" spans="1:7" ht="47.25" hidden="1" x14ac:dyDescent="0.25">
      <c r="A128" s="29" t="s">
        <v>403</v>
      </c>
      <c r="B128" s="40" t="s">
        <v>597</v>
      </c>
      <c r="C128" s="40" t="s">
        <v>264</v>
      </c>
      <c r="D128" s="40" t="s">
        <v>118</v>
      </c>
      <c r="E128" s="40"/>
      <c r="F128" s="40" t="s">
        <v>636</v>
      </c>
      <c r="G128" s="10">
        <v>0</v>
      </c>
    </row>
    <row r="129" spans="1:8" ht="31.5" x14ac:dyDescent="0.25">
      <c r="A129" s="29" t="s">
        <v>280</v>
      </c>
      <c r="B129" s="40" t="s">
        <v>414</v>
      </c>
      <c r="C129" s="40" t="s">
        <v>264</v>
      </c>
      <c r="D129" s="40" t="s">
        <v>118</v>
      </c>
      <c r="E129" s="40"/>
      <c r="F129" s="40"/>
      <c r="G129" s="10" t="e">
        <f>G130</f>
        <v>#REF!</v>
      </c>
    </row>
    <row r="130" spans="1:8" ht="63" x14ac:dyDescent="0.25">
      <c r="A130" s="29" t="s">
        <v>272</v>
      </c>
      <c r="B130" s="40" t="s">
        <v>414</v>
      </c>
      <c r="C130" s="40" t="s">
        <v>264</v>
      </c>
      <c r="D130" s="40" t="s">
        <v>118</v>
      </c>
      <c r="E130" s="40" t="s">
        <v>273</v>
      </c>
      <c r="F130" s="40"/>
      <c r="G130" s="10" t="e">
        <f>G131</f>
        <v>#REF!</v>
      </c>
    </row>
    <row r="131" spans="1:8" ht="15.75" x14ac:dyDescent="0.25">
      <c r="A131" s="29" t="s">
        <v>274</v>
      </c>
      <c r="B131" s="40" t="s">
        <v>414</v>
      </c>
      <c r="C131" s="40" t="s">
        <v>264</v>
      </c>
      <c r="D131" s="40" t="s">
        <v>118</v>
      </c>
      <c r="E131" s="40" t="s">
        <v>275</v>
      </c>
      <c r="F131" s="40"/>
      <c r="G131" s="157" t="e">
        <f>'Пр.4 ведом.21'!#REF!</f>
        <v>#REF!</v>
      </c>
      <c r="H131" s="158" t="s">
        <v>725</v>
      </c>
    </row>
    <row r="132" spans="1:8" ht="47.25" hidden="1" x14ac:dyDescent="0.25">
      <c r="A132" s="29" t="s">
        <v>403</v>
      </c>
      <c r="B132" s="40" t="s">
        <v>414</v>
      </c>
      <c r="C132" s="40" t="s">
        <v>264</v>
      </c>
      <c r="D132" s="40" t="s">
        <v>118</v>
      </c>
      <c r="E132" s="40"/>
      <c r="F132" s="40" t="s">
        <v>636</v>
      </c>
      <c r="G132" s="10"/>
    </row>
    <row r="133" spans="1:8" ht="63" x14ac:dyDescent="0.25">
      <c r="A133" s="29" t="s">
        <v>415</v>
      </c>
      <c r="B133" s="40" t="s">
        <v>416</v>
      </c>
      <c r="C133" s="40" t="s">
        <v>264</v>
      </c>
      <c r="D133" s="40" t="s">
        <v>118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272</v>
      </c>
      <c r="B134" s="40" t="s">
        <v>416</v>
      </c>
      <c r="C134" s="40" t="s">
        <v>264</v>
      </c>
      <c r="D134" s="40" t="s">
        <v>118</v>
      </c>
      <c r="E134" s="40" t="s">
        <v>273</v>
      </c>
      <c r="F134" s="40"/>
      <c r="G134" s="10" t="e">
        <f>G135</f>
        <v>#REF!</v>
      </c>
    </row>
    <row r="135" spans="1:8" ht="15.75" x14ac:dyDescent="0.25">
      <c r="A135" s="29" t="s">
        <v>274</v>
      </c>
      <c r="B135" s="40" t="s">
        <v>416</v>
      </c>
      <c r="C135" s="40" t="s">
        <v>264</v>
      </c>
      <c r="D135" s="40" t="s">
        <v>118</v>
      </c>
      <c r="E135" s="40" t="s">
        <v>275</v>
      </c>
      <c r="F135" s="40"/>
      <c r="G135" s="6" t="e">
        <f>'Пр.4 ведом.21'!#REF!</f>
        <v>#REF!</v>
      </c>
    </row>
    <row r="136" spans="1:8" ht="47.25" x14ac:dyDescent="0.25">
      <c r="A136" s="29" t="s">
        <v>403</v>
      </c>
      <c r="B136" s="40" t="s">
        <v>412</v>
      </c>
      <c r="C136" s="40" t="s">
        <v>264</v>
      </c>
      <c r="D136" s="40" t="s">
        <v>118</v>
      </c>
      <c r="E136" s="40"/>
      <c r="F136" s="40" t="s">
        <v>636</v>
      </c>
      <c r="G136" s="6" t="e">
        <f>G118+G131</f>
        <v>#REF!</v>
      </c>
    </row>
    <row r="137" spans="1:8" ht="31.5" hidden="1" x14ac:dyDescent="0.25">
      <c r="A137" s="29" t="s">
        <v>284</v>
      </c>
      <c r="B137" s="40" t="s">
        <v>600</v>
      </c>
      <c r="C137" s="40" t="s">
        <v>264</v>
      </c>
      <c r="D137" s="40" t="s">
        <v>118</v>
      </c>
      <c r="E137" s="40"/>
      <c r="F137" s="40"/>
      <c r="G137" s="10">
        <f>G138</f>
        <v>0</v>
      </c>
    </row>
    <row r="138" spans="1:8" ht="63" hidden="1" x14ac:dyDescent="0.25">
      <c r="A138" s="29" t="s">
        <v>272</v>
      </c>
      <c r="B138" s="40" t="s">
        <v>600</v>
      </c>
      <c r="C138" s="40" t="s">
        <v>264</v>
      </c>
      <c r="D138" s="40" t="s">
        <v>118</v>
      </c>
      <c r="E138" s="40" t="s">
        <v>273</v>
      </c>
      <c r="F138" s="40"/>
      <c r="G138" s="10">
        <f>G139</f>
        <v>0</v>
      </c>
    </row>
    <row r="139" spans="1:8" ht="15.75" hidden="1" x14ac:dyDescent="0.25">
      <c r="A139" s="29" t="s">
        <v>274</v>
      </c>
      <c r="B139" s="40" t="s">
        <v>600</v>
      </c>
      <c r="C139" s="40" t="s">
        <v>264</v>
      </c>
      <c r="D139" s="40" t="s">
        <v>118</v>
      </c>
      <c r="E139" s="40" t="s">
        <v>275</v>
      </c>
      <c r="F139" s="40"/>
      <c r="G139" s="10"/>
    </row>
    <row r="140" spans="1:8" ht="47.25" hidden="1" x14ac:dyDescent="0.25">
      <c r="A140" s="29" t="s">
        <v>403</v>
      </c>
      <c r="B140" s="40" t="s">
        <v>600</v>
      </c>
      <c r="C140" s="40" t="s">
        <v>264</v>
      </c>
      <c r="D140" s="40" t="s">
        <v>118</v>
      </c>
      <c r="E140" s="40"/>
      <c r="F140" s="40" t="s">
        <v>636</v>
      </c>
      <c r="G140" s="10">
        <v>0</v>
      </c>
    </row>
    <row r="141" spans="1:8" ht="47.25" x14ac:dyDescent="0.25">
      <c r="A141" s="41" t="s">
        <v>430</v>
      </c>
      <c r="B141" s="7" t="s">
        <v>431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595</v>
      </c>
      <c r="B142" s="40" t="s">
        <v>601</v>
      </c>
      <c r="C142" s="40" t="s">
        <v>264</v>
      </c>
      <c r="D142" s="40" t="s">
        <v>213</v>
      </c>
      <c r="E142" s="40"/>
      <c r="F142" s="40"/>
      <c r="G142" s="10">
        <f>G143</f>
        <v>0</v>
      </c>
    </row>
    <row r="143" spans="1:8" ht="63" hidden="1" x14ac:dyDescent="0.25">
      <c r="A143" s="29" t="s">
        <v>272</v>
      </c>
      <c r="B143" s="40" t="s">
        <v>601</v>
      </c>
      <c r="C143" s="40" t="s">
        <v>264</v>
      </c>
      <c r="D143" s="40" t="s">
        <v>213</v>
      </c>
      <c r="E143" s="40" t="s">
        <v>273</v>
      </c>
      <c r="F143" s="40"/>
      <c r="G143" s="10">
        <f>G145</f>
        <v>0</v>
      </c>
    </row>
    <row r="144" spans="1:8" ht="18.75" hidden="1" customHeight="1" x14ac:dyDescent="0.25">
      <c r="A144" s="29" t="s">
        <v>274</v>
      </c>
      <c r="B144" s="40" t="s">
        <v>601</v>
      </c>
      <c r="C144" s="40" t="s">
        <v>264</v>
      </c>
      <c r="D144" s="40" t="s">
        <v>213</v>
      </c>
      <c r="E144" s="40" t="s">
        <v>275</v>
      </c>
      <c r="F144" s="40"/>
      <c r="G144" s="10"/>
    </row>
    <row r="145" spans="1:7" ht="47.25" hidden="1" x14ac:dyDescent="0.25">
      <c r="A145" s="29" t="s">
        <v>403</v>
      </c>
      <c r="B145" s="40" t="s">
        <v>601</v>
      </c>
      <c r="C145" s="40" t="s">
        <v>264</v>
      </c>
      <c r="D145" s="40" t="s">
        <v>213</v>
      </c>
      <c r="E145" s="40"/>
      <c r="F145" s="40" t="s">
        <v>636</v>
      </c>
      <c r="G145" s="10"/>
    </row>
    <row r="146" spans="1:7" ht="78.75" hidden="1" x14ac:dyDescent="0.25">
      <c r="A146" s="25" t="s">
        <v>432</v>
      </c>
      <c r="B146" s="40" t="s">
        <v>433</v>
      </c>
      <c r="C146" s="40" t="s">
        <v>264</v>
      </c>
      <c r="D146" s="40" t="s">
        <v>213</v>
      </c>
      <c r="E146" s="40"/>
      <c r="F146" s="40"/>
      <c r="G146" s="10">
        <f>G147</f>
        <v>0</v>
      </c>
    </row>
    <row r="147" spans="1:7" ht="63" hidden="1" x14ac:dyDescent="0.25">
      <c r="A147" s="29" t="s">
        <v>272</v>
      </c>
      <c r="B147" s="40" t="s">
        <v>433</v>
      </c>
      <c r="C147" s="40" t="s">
        <v>264</v>
      </c>
      <c r="D147" s="40" t="s">
        <v>213</v>
      </c>
      <c r="E147" s="40" t="s">
        <v>273</v>
      </c>
      <c r="F147" s="40"/>
      <c r="G147" s="10">
        <f>G148</f>
        <v>0</v>
      </c>
    </row>
    <row r="148" spans="1:7" ht="15.75" hidden="1" x14ac:dyDescent="0.25">
      <c r="A148" s="29" t="s">
        <v>274</v>
      </c>
      <c r="B148" s="40" t="s">
        <v>433</v>
      </c>
      <c r="C148" s="40" t="s">
        <v>264</v>
      </c>
      <c r="D148" s="40" t="s">
        <v>213</v>
      </c>
      <c r="E148" s="40" t="s">
        <v>275</v>
      </c>
      <c r="F148" s="40"/>
      <c r="G148" s="10"/>
    </row>
    <row r="149" spans="1:7" ht="54.75" hidden="1" customHeight="1" x14ac:dyDescent="0.25">
      <c r="A149" s="29" t="s">
        <v>403</v>
      </c>
      <c r="B149" s="40" t="s">
        <v>433</v>
      </c>
      <c r="C149" s="40" t="s">
        <v>264</v>
      </c>
      <c r="D149" s="40" t="s">
        <v>213</v>
      </c>
      <c r="E149" s="40"/>
      <c r="F149" s="40" t="s">
        <v>636</v>
      </c>
      <c r="G149" s="10">
        <f>G146</f>
        <v>0</v>
      </c>
    </row>
    <row r="150" spans="1:7" ht="31.5" hidden="1" x14ac:dyDescent="0.25">
      <c r="A150" s="25" t="s">
        <v>434</v>
      </c>
      <c r="B150" s="20" t="s">
        <v>435</v>
      </c>
      <c r="C150" s="40" t="s">
        <v>264</v>
      </c>
      <c r="D150" s="40" t="s">
        <v>213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272</v>
      </c>
      <c r="B151" s="20" t="s">
        <v>435</v>
      </c>
      <c r="C151" s="40" t="s">
        <v>264</v>
      </c>
      <c r="D151" s="40" t="s">
        <v>213</v>
      </c>
      <c r="E151" s="40" t="s">
        <v>273</v>
      </c>
      <c r="F151" s="40"/>
      <c r="G151" s="10">
        <f>G152</f>
        <v>0</v>
      </c>
    </row>
    <row r="152" spans="1:7" ht="15.75" hidden="1" x14ac:dyDescent="0.25">
      <c r="A152" s="25" t="s">
        <v>274</v>
      </c>
      <c r="B152" s="20" t="s">
        <v>435</v>
      </c>
      <c r="C152" s="40" t="s">
        <v>264</v>
      </c>
      <c r="D152" s="40" t="s">
        <v>213</v>
      </c>
      <c r="E152" s="40" t="s">
        <v>275</v>
      </c>
      <c r="F152" s="40"/>
      <c r="G152" s="10"/>
    </row>
    <row r="153" spans="1:7" ht="47.25" hidden="1" x14ac:dyDescent="0.25">
      <c r="A153" s="29" t="s">
        <v>403</v>
      </c>
      <c r="B153" s="20" t="s">
        <v>435</v>
      </c>
      <c r="C153" s="40" t="s">
        <v>264</v>
      </c>
      <c r="D153" s="40" t="s">
        <v>213</v>
      </c>
      <c r="E153" s="40"/>
      <c r="F153" s="40" t="s">
        <v>636</v>
      </c>
      <c r="G153" s="10">
        <f>G150</f>
        <v>0</v>
      </c>
    </row>
    <row r="154" spans="1:7" ht="63" hidden="1" x14ac:dyDescent="0.25">
      <c r="A154" s="25" t="s">
        <v>438</v>
      </c>
      <c r="B154" s="20" t="s">
        <v>439</v>
      </c>
      <c r="C154" s="40" t="s">
        <v>264</v>
      </c>
      <c r="D154" s="40" t="s">
        <v>213</v>
      </c>
      <c r="E154" s="40"/>
      <c r="F154" s="40"/>
      <c r="G154" s="10">
        <f>G155</f>
        <v>0</v>
      </c>
    </row>
    <row r="155" spans="1:7" ht="63" hidden="1" x14ac:dyDescent="0.25">
      <c r="A155" s="29" t="s">
        <v>272</v>
      </c>
      <c r="B155" s="20" t="s">
        <v>439</v>
      </c>
      <c r="C155" s="40" t="s">
        <v>264</v>
      </c>
      <c r="D155" s="40" t="s">
        <v>213</v>
      </c>
      <c r="E155" s="40" t="s">
        <v>273</v>
      </c>
      <c r="F155" s="40"/>
      <c r="G155" s="10">
        <f>G156</f>
        <v>0</v>
      </c>
    </row>
    <row r="156" spans="1:7" ht="15.75" hidden="1" x14ac:dyDescent="0.25">
      <c r="A156" s="29" t="s">
        <v>274</v>
      </c>
      <c r="B156" s="20" t="s">
        <v>439</v>
      </c>
      <c r="C156" s="40" t="s">
        <v>264</v>
      </c>
      <c r="D156" s="40" t="s">
        <v>213</v>
      </c>
      <c r="E156" s="40" t="s">
        <v>275</v>
      </c>
      <c r="F156" s="40"/>
      <c r="G156" s="10"/>
    </row>
    <row r="157" spans="1:7" ht="47.25" hidden="1" x14ac:dyDescent="0.25">
      <c r="A157" s="29" t="s">
        <v>403</v>
      </c>
      <c r="B157" s="20" t="s">
        <v>439</v>
      </c>
      <c r="C157" s="40" t="s">
        <v>264</v>
      </c>
      <c r="D157" s="40" t="s">
        <v>213</v>
      </c>
      <c r="E157" s="40"/>
      <c r="F157" s="40" t="s">
        <v>636</v>
      </c>
      <c r="G157" s="10">
        <f>G156</f>
        <v>0</v>
      </c>
    </row>
    <row r="158" spans="1:7" ht="47.25" hidden="1" x14ac:dyDescent="0.25">
      <c r="A158" s="25" t="s">
        <v>603</v>
      </c>
      <c r="B158" s="20" t="s">
        <v>442</v>
      </c>
      <c r="C158" s="40" t="s">
        <v>264</v>
      </c>
      <c r="D158" s="40" t="s">
        <v>213</v>
      </c>
      <c r="E158" s="40"/>
      <c r="F158" s="40"/>
      <c r="G158" s="10">
        <f>G159</f>
        <v>0</v>
      </c>
    </row>
    <row r="159" spans="1:7" ht="63" hidden="1" x14ac:dyDescent="0.25">
      <c r="A159" s="25" t="s">
        <v>272</v>
      </c>
      <c r="B159" s="20" t="s">
        <v>442</v>
      </c>
      <c r="C159" s="40" t="s">
        <v>264</v>
      </c>
      <c r="D159" s="40" t="s">
        <v>213</v>
      </c>
      <c r="E159" s="40" t="s">
        <v>273</v>
      </c>
      <c r="F159" s="40"/>
      <c r="G159" s="10">
        <f>G160</f>
        <v>0</v>
      </c>
    </row>
    <row r="160" spans="1:7" ht="15.75" hidden="1" x14ac:dyDescent="0.25">
      <c r="A160" s="25" t="s">
        <v>274</v>
      </c>
      <c r="B160" s="20" t="s">
        <v>442</v>
      </c>
      <c r="C160" s="40" t="s">
        <v>264</v>
      </c>
      <c r="D160" s="40" t="s">
        <v>213</v>
      </c>
      <c r="E160" s="40" t="s">
        <v>275</v>
      </c>
      <c r="F160" s="40"/>
      <c r="G160" s="10"/>
    </row>
    <row r="161" spans="1:8" ht="47.25" hidden="1" x14ac:dyDescent="0.25">
      <c r="A161" s="29" t="s">
        <v>403</v>
      </c>
      <c r="B161" s="20" t="s">
        <v>442</v>
      </c>
      <c r="C161" s="40" t="s">
        <v>264</v>
      </c>
      <c r="D161" s="40" t="s">
        <v>213</v>
      </c>
      <c r="E161" s="40"/>
      <c r="F161" s="40" t="s">
        <v>636</v>
      </c>
      <c r="G161" s="10">
        <f>G159</f>
        <v>0</v>
      </c>
    </row>
    <row r="162" spans="1:8" ht="15.75" x14ac:dyDescent="0.25">
      <c r="A162" s="29" t="s">
        <v>263</v>
      </c>
      <c r="B162" s="40" t="s">
        <v>431</v>
      </c>
      <c r="C162" s="40" t="s">
        <v>264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425</v>
      </c>
      <c r="B163" s="40" t="s">
        <v>431</v>
      </c>
      <c r="C163" s="40" t="s">
        <v>264</v>
      </c>
      <c r="D163" s="40" t="s">
        <v>213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602</v>
      </c>
      <c r="B164" s="20" t="s">
        <v>437</v>
      </c>
      <c r="C164" s="40" t="s">
        <v>264</v>
      </c>
      <c r="D164" s="40" t="s">
        <v>213</v>
      </c>
      <c r="E164" s="40"/>
      <c r="F164" s="40"/>
      <c r="G164" s="10" t="e">
        <f>G165</f>
        <v>#REF!</v>
      </c>
    </row>
    <row r="165" spans="1:8" ht="63" x14ac:dyDescent="0.25">
      <c r="A165" s="29" t="s">
        <v>272</v>
      </c>
      <c r="B165" s="20" t="s">
        <v>437</v>
      </c>
      <c r="C165" s="40" t="s">
        <v>264</v>
      </c>
      <c r="D165" s="40" t="s">
        <v>213</v>
      </c>
      <c r="E165" s="40" t="s">
        <v>273</v>
      </c>
      <c r="F165" s="40"/>
      <c r="G165" s="10" t="e">
        <f>G166</f>
        <v>#REF!</v>
      </c>
    </row>
    <row r="166" spans="1:8" ht="24" customHeight="1" x14ac:dyDescent="0.25">
      <c r="A166" s="29" t="s">
        <v>274</v>
      </c>
      <c r="B166" s="20" t="s">
        <v>437</v>
      </c>
      <c r="C166" s="40" t="s">
        <v>264</v>
      </c>
      <c r="D166" s="40" t="s">
        <v>213</v>
      </c>
      <c r="E166" s="40" t="s">
        <v>275</v>
      </c>
      <c r="F166" s="40"/>
      <c r="G166" s="6" t="e">
        <f>'Пр.4 ведом.21'!#REF!</f>
        <v>#REF!</v>
      </c>
    </row>
    <row r="167" spans="1:8" ht="63" x14ac:dyDescent="0.25">
      <c r="A167" s="25" t="s">
        <v>438</v>
      </c>
      <c r="B167" s="20" t="s">
        <v>439</v>
      </c>
      <c r="C167" s="40" t="s">
        <v>264</v>
      </c>
      <c r="D167" s="40" t="s">
        <v>213</v>
      </c>
      <c r="E167" s="40"/>
      <c r="F167" s="40"/>
      <c r="G167" s="6" t="e">
        <f>G168</f>
        <v>#REF!</v>
      </c>
    </row>
    <row r="168" spans="1:8" ht="63" x14ac:dyDescent="0.25">
      <c r="A168" s="25" t="s">
        <v>272</v>
      </c>
      <c r="B168" s="20" t="s">
        <v>439</v>
      </c>
      <c r="C168" s="40" t="s">
        <v>264</v>
      </c>
      <c r="D168" s="40" t="s">
        <v>213</v>
      </c>
      <c r="E168" s="40" t="s">
        <v>273</v>
      </c>
      <c r="F168" s="40"/>
      <c r="G168" s="6" t="e">
        <f>G169</f>
        <v>#REF!</v>
      </c>
    </row>
    <row r="169" spans="1:8" ht="15.75" x14ac:dyDescent="0.25">
      <c r="A169" s="25" t="s">
        <v>274</v>
      </c>
      <c r="B169" s="20" t="s">
        <v>439</v>
      </c>
      <c r="C169" s="40" t="s">
        <v>264</v>
      </c>
      <c r="D169" s="40" t="s">
        <v>213</v>
      </c>
      <c r="E169" s="40" t="s">
        <v>275</v>
      </c>
      <c r="F169" s="40"/>
      <c r="G169" s="6" t="e">
        <f>'Пр.4 ведом.21'!#REF!</f>
        <v>#REF!</v>
      </c>
    </row>
    <row r="170" spans="1:8" ht="47.25" x14ac:dyDescent="0.25">
      <c r="A170" s="25" t="s">
        <v>278</v>
      </c>
      <c r="B170" s="40" t="s">
        <v>442</v>
      </c>
      <c r="C170" s="40" t="s">
        <v>264</v>
      </c>
      <c r="D170" s="40" t="s">
        <v>213</v>
      </c>
      <c r="E170" s="40"/>
      <c r="F170" s="40"/>
      <c r="G170" s="6" t="e">
        <f>G171</f>
        <v>#REF!</v>
      </c>
    </row>
    <row r="171" spans="1:8" ht="63" x14ac:dyDescent="0.25">
      <c r="A171" s="25" t="s">
        <v>272</v>
      </c>
      <c r="B171" s="40" t="s">
        <v>442</v>
      </c>
      <c r="C171" s="40" t="s">
        <v>264</v>
      </c>
      <c r="D171" s="40" t="s">
        <v>213</v>
      </c>
      <c r="E171" s="40" t="s">
        <v>273</v>
      </c>
      <c r="F171" s="40"/>
      <c r="G171" s="6" t="e">
        <f>G172</f>
        <v>#REF!</v>
      </c>
    </row>
    <row r="172" spans="1:8" ht="15.75" x14ac:dyDescent="0.25">
      <c r="A172" s="25" t="s">
        <v>274</v>
      </c>
      <c r="B172" s="40" t="s">
        <v>442</v>
      </c>
      <c r="C172" s="40" t="s">
        <v>264</v>
      </c>
      <c r="D172" s="40" t="s">
        <v>213</v>
      </c>
      <c r="E172" s="40" t="s">
        <v>275</v>
      </c>
      <c r="F172" s="40"/>
      <c r="G172" s="6" t="e">
        <f>'Пр.4 ведом.21'!#REF!</f>
        <v>#REF!</v>
      </c>
      <c r="H172" s="112"/>
    </row>
    <row r="173" spans="1:8" ht="47.25" x14ac:dyDescent="0.25">
      <c r="A173" s="29" t="s">
        <v>282</v>
      </c>
      <c r="B173" s="40" t="s">
        <v>444</v>
      </c>
      <c r="C173" s="40" t="s">
        <v>264</v>
      </c>
      <c r="D173" s="40" t="s">
        <v>213</v>
      </c>
      <c r="E173" s="40"/>
      <c r="F173" s="40"/>
      <c r="G173" s="10" t="e">
        <f>G174</f>
        <v>#REF!</v>
      </c>
    </row>
    <row r="174" spans="1:8" ht="63" x14ac:dyDescent="0.25">
      <c r="A174" s="29" t="s">
        <v>272</v>
      </c>
      <c r="B174" s="40" t="s">
        <v>444</v>
      </c>
      <c r="C174" s="40" t="s">
        <v>264</v>
      </c>
      <c r="D174" s="40" t="s">
        <v>213</v>
      </c>
      <c r="E174" s="40" t="s">
        <v>273</v>
      </c>
      <c r="F174" s="40"/>
      <c r="G174" s="10" t="e">
        <f>G175</f>
        <v>#REF!</v>
      </c>
    </row>
    <row r="175" spans="1:8" ht="26.45" customHeight="1" x14ac:dyDescent="0.25">
      <c r="A175" s="29" t="s">
        <v>274</v>
      </c>
      <c r="B175" s="40" t="s">
        <v>444</v>
      </c>
      <c r="C175" s="40" t="s">
        <v>264</v>
      </c>
      <c r="D175" s="40" t="s">
        <v>213</v>
      </c>
      <c r="E175" s="40" t="s">
        <v>275</v>
      </c>
      <c r="F175" s="40"/>
      <c r="G175" s="10" t="e">
        <f>'Пр.4 ведом.21'!#REF!</f>
        <v>#REF!</v>
      </c>
    </row>
    <row r="176" spans="1:8" ht="31.5" x14ac:dyDescent="0.25">
      <c r="A176" s="29" t="s">
        <v>284</v>
      </c>
      <c r="B176" s="40" t="s">
        <v>445</v>
      </c>
      <c r="C176" s="40" t="s">
        <v>264</v>
      </c>
      <c r="D176" s="40" t="s">
        <v>213</v>
      </c>
      <c r="E176" s="40"/>
      <c r="F176" s="40"/>
      <c r="G176" s="10" t="e">
        <f>G177</f>
        <v>#REF!</v>
      </c>
    </row>
    <row r="177" spans="1:7" ht="63" x14ac:dyDescent="0.25">
      <c r="A177" s="29" t="s">
        <v>272</v>
      </c>
      <c r="B177" s="40" t="s">
        <v>445</v>
      </c>
      <c r="C177" s="40" t="s">
        <v>264</v>
      </c>
      <c r="D177" s="40" t="s">
        <v>213</v>
      </c>
      <c r="E177" s="40" t="s">
        <v>273</v>
      </c>
      <c r="F177" s="40"/>
      <c r="G177" s="10" t="e">
        <f>G178</f>
        <v>#REF!</v>
      </c>
    </row>
    <row r="178" spans="1:7" ht="26.45" customHeight="1" x14ac:dyDescent="0.25">
      <c r="A178" s="29" t="s">
        <v>274</v>
      </c>
      <c r="B178" s="40" t="s">
        <v>445</v>
      </c>
      <c r="C178" s="40" t="s">
        <v>264</v>
      </c>
      <c r="D178" s="40" t="s">
        <v>213</v>
      </c>
      <c r="E178" s="40" t="s">
        <v>275</v>
      </c>
      <c r="F178" s="40"/>
      <c r="G178" s="10" t="e">
        <f>'Пр.4 ведом.21'!#REF!</f>
        <v>#REF!</v>
      </c>
    </row>
    <row r="179" spans="1:7" ht="47.25" x14ac:dyDescent="0.25">
      <c r="A179" s="29" t="s">
        <v>403</v>
      </c>
      <c r="B179" s="40" t="s">
        <v>431</v>
      </c>
      <c r="C179" s="40" t="s">
        <v>264</v>
      </c>
      <c r="D179" s="40" t="s">
        <v>213</v>
      </c>
      <c r="E179" s="40"/>
      <c r="F179" s="40" t="s">
        <v>636</v>
      </c>
      <c r="G179" s="10" t="e">
        <f>G141</f>
        <v>#REF!</v>
      </c>
    </row>
    <row r="180" spans="1:7" ht="31.5" hidden="1" x14ac:dyDescent="0.25">
      <c r="A180" s="29" t="s">
        <v>284</v>
      </c>
      <c r="B180" s="40" t="s">
        <v>604</v>
      </c>
      <c r="C180" s="40" t="s">
        <v>264</v>
      </c>
      <c r="D180" s="40" t="s">
        <v>213</v>
      </c>
      <c r="E180" s="40"/>
      <c r="F180" s="40"/>
      <c r="G180" s="10">
        <f>G181</f>
        <v>0</v>
      </c>
    </row>
    <row r="181" spans="1:7" ht="63" hidden="1" x14ac:dyDescent="0.25">
      <c r="A181" s="29" t="s">
        <v>272</v>
      </c>
      <c r="B181" s="40" t="s">
        <v>604</v>
      </c>
      <c r="C181" s="40" t="s">
        <v>264</v>
      </c>
      <c r="D181" s="40" t="s">
        <v>213</v>
      </c>
      <c r="E181" s="40" t="s">
        <v>273</v>
      </c>
      <c r="F181" s="40"/>
      <c r="G181" s="10">
        <f>G182</f>
        <v>0</v>
      </c>
    </row>
    <row r="182" spans="1:7" ht="15.75" hidden="1" x14ac:dyDescent="0.25">
      <c r="A182" s="29" t="s">
        <v>274</v>
      </c>
      <c r="B182" s="40" t="s">
        <v>604</v>
      </c>
      <c r="C182" s="40" t="s">
        <v>264</v>
      </c>
      <c r="D182" s="40" t="s">
        <v>213</v>
      </c>
      <c r="E182" s="40" t="s">
        <v>275</v>
      </c>
      <c r="F182" s="40"/>
      <c r="G182" s="10"/>
    </row>
    <row r="183" spans="1:7" ht="47.25" hidden="1" x14ac:dyDescent="0.25">
      <c r="A183" s="29" t="s">
        <v>403</v>
      </c>
      <c r="B183" s="40" t="s">
        <v>604</v>
      </c>
      <c r="C183" s="40" t="s">
        <v>264</v>
      </c>
      <c r="D183" s="40" t="s">
        <v>213</v>
      </c>
      <c r="E183" s="40"/>
      <c r="F183" s="40" t="s">
        <v>636</v>
      </c>
      <c r="G183" s="10">
        <v>0</v>
      </c>
    </row>
    <row r="184" spans="1:7" ht="47.25" hidden="1" x14ac:dyDescent="0.25">
      <c r="A184" s="29" t="s">
        <v>637</v>
      </c>
      <c r="B184" s="40" t="s">
        <v>605</v>
      </c>
      <c r="C184" s="40" t="s">
        <v>264</v>
      </c>
      <c r="D184" s="40" t="s">
        <v>213</v>
      </c>
      <c r="E184" s="40"/>
      <c r="F184" s="40"/>
      <c r="G184" s="10">
        <f>G185</f>
        <v>0</v>
      </c>
    </row>
    <row r="185" spans="1:7" ht="63" hidden="1" x14ac:dyDescent="0.25">
      <c r="A185" s="29" t="s">
        <v>272</v>
      </c>
      <c r="B185" s="40" t="s">
        <v>605</v>
      </c>
      <c r="C185" s="40" t="s">
        <v>264</v>
      </c>
      <c r="D185" s="40" t="s">
        <v>213</v>
      </c>
      <c r="E185" s="40" t="s">
        <v>273</v>
      </c>
      <c r="F185" s="40"/>
      <c r="G185" s="10">
        <f>G186</f>
        <v>0</v>
      </c>
    </row>
    <row r="186" spans="1:7" ht="15.75" hidden="1" x14ac:dyDescent="0.25">
      <c r="A186" s="29" t="s">
        <v>274</v>
      </c>
      <c r="B186" s="40" t="s">
        <v>605</v>
      </c>
      <c r="C186" s="40" t="s">
        <v>264</v>
      </c>
      <c r="D186" s="40" t="s">
        <v>213</v>
      </c>
      <c r="E186" s="40" t="s">
        <v>275</v>
      </c>
      <c r="F186" s="40"/>
      <c r="G186" s="10"/>
    </row>
    <row r="187" spans="1:7" ht="47.25" hidden="1" x14ac:dyDescent="0.25">
      <c r="A187" s="29" t="s">
        <v>403</v>
      </c>
      <c r="B187" s="40" t="s">
        <v>605</v>
      </c>
      <c r="C187" s="40" t="s">
        <v>264</v>
      </c>
      <c r="D187" s="40" t="s">
        <v>213</v>
      </c>
      <c r="E187" s="40"/>
      <c r="F187" s="40" t="s">
        <v>636</v>
      </c>
      <c r="G187" s="10">
        <v>0</v>
      </c>
    </row>
    <row r="188" spans="1:7" ht="45.75" customHeight="1" x14ac:dyDescent="0.25">
      <c r="A188" s="41" t="s">
        <v>446</v>
      </c>
      <c r="B188" s="7" t="s">
        <v>447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263</v>
      </c>
      <c r="B189" s="40" t="s">
        <v>447</v>
      </c>
      <c r="C189" s="40" t="s">
        <v>264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265</v>
      </c>
      <c r="B190" s="40" t="s">
        <v>447</v>
      </c>
      <c r="C190" s="40" t="s">
        <v>264</v>
      </c>
      <c r="D190" s="40" t="s">
        <v>215</v>
      </c>
      <c r="E190" s="40"/>
      <c r="F190" s="40"/>
      <c r="G190" s="10" t="e">
        <f>G191</f>
        <v>#REF!</v>
      </c>
    </row>
    <row r="191" spans="1:7" ht="31.5" x14ac:dyDescent="0.25">
      <c r="A191" s="45" t="s">
        <v>701</v>
      </c>
      <c r="B191" s="20" t="s">
        <v>702</v>
      </c>
      <c r="C191" s="40" t="s">
        <v>264</v>
      </c>
      <c r="D191" s="40" t="s">
        <v>215</v>
      </c>
      <c r="E191" s="40"/>
      <c r="F191" s="40"/>
      <c r="G191" s="10" t="e">
        <f>G192</f>
        <v>#REF!</v>
      </c>
    </row>
    <row r="192" spans="1:7" ht="63" x14ac:dyDescent="0.25">
      <c r="A192" s="29" t="s">
        <v>272</v>
      </c>
      <c r="B192" s="20" t="s">
        <v>702</v>
      </c>
      <c r="C192" s="40" t="s">
        <v>264</v>
      </c>
      <c r="D192" s="40" t="s">
        <v>215</v>
      </c>
      <c r="E192" s="40" t="s">
        <v>273</v>
      </c>
      <c r="F192" s="40"/>
      <c r="G192" s="10" t="e">
        <f>G193</f>
        <v>#REF!</v>
      </c>
    </row>
    <row r="193" spans="1:8" ht="15.75" x14ac:dyDescent="0.25">
      <c r="A193" s="29" t="s">
        <v>274</v>
      </c>
      <c r="B193" s="20" t="s">
        <v>702</v>
      </c>
      <c r="C193" s="40" t="s">
        <v>264</v>
      </c>
      <c r="D193" s="40" t="s">
        <v>215</v>
      </c>
      <c r="E193" s="40" t="s">
        <v>275</v>
      </c>
      <c r="F193" s="40"/>
      <c r="G193" s="10" t="e">
        <f>'Пр.4 ведом.21'!#REF!</f>
        <v>#REF!</v>
      </c>
      <c r="H193" s="112"/>
    </row>
    <row r="194" spans="1:8" ht="47.25" x14ac:dyDescent="0.25">
      <c r="A194" s="29" t="s">
        <v>403</v>
      </c>
      <c r="B194" s="20" t="s">
        <v>702</v>
      </c>
      <c r="C194" s="40" t="s">
        <v>264</v>
      </c>
      <c r="D194" s="40" t="s">
        <v>215</v>
      </c>
      <c r="E194" s="40"/>
      <c r="F194" s="40" t="s">
        <v>636</v>
      </c>
      <c r="G194" s="10" t="e">
        <f>G189</f>
        <v>#REF!</v>
      </c>
    </row>
    <row r="195" spans="1:8" ht="47.25" hidden="1" x14ac:dyDescent="0.25">
      <c r="A195" s="29" t="s">
        <v>638</v>
      </c>
      <c r="B195" s="40" t="s">
        <v>606</v>
      </c>
      <c r="C195" s="40" t="s">
        <v>264</v>
      </c>
      <c r="D195" s="40" t="s">
        <v>213</v>
      </c>
      <c r="E195" s="40"/>
      <c r="F195" s="40"/>
      <c r="G195" s="10">
        <f>G199</f>
        <v>0</v>
      </c>
    </row>
    <row r="196" spans="1:8" ht="63" hidden="1" x14ac:dyDescent="0.25">
      <c r="A196" s="29" t="s">
        <v>272</v>
      </c>
      <c r="B196" s="40" t="s">
        <v>606</v>
      </c>
      <c r="C196" s="40" t="s">
        <v>468</v>
      </c>
      <c r="D196" s="40" t="s">
        <v>639</v>
      </c>
      <c r="E196" s="40" t="s">
        <v>273</v>
      </c>
      <c r="F196" s="40"/>
      <c r="G196" s="10">
        <f>G197</f>
        <v>0</v>
      </c>
    </row>
    <row r="197" spans="1:8" ht="15.75" hidden="1" x14ac:dyDescent="0.25">
      <c r="A197" s="29" t="s">
        <v>274</v>
      </c>
      <c r="B197" s="40" t="s">
        <v>606</v>
      </c>
      <c r="C197" s="40" t="s">
        <v>468</v>
      </c>
      <c r="D197" s="40" t="s">
        <v>639</v>
      </c>
      <c r="E197" s="40" t="s">
        <v>275</v>
      </c>
      <c r="F197" s="40"/>
      <c r="G197" s="10">
        <f>G198</f>
        <v>0</v>
      </c>
    </row>
    <row r="198" spans="1:8" ht="31.5" hidden="1" x14ac:dyDescent="0.25">
      <c r="A198" s="29" t="s">
        <v>598</v>
      </c>
      <c r="B198" s="40" t="s">
        <v>606</v>
      </c>
      <c r="C198" s="40" t="s">
        <v>468</v>
      </c>
      <c r="D198" s="40" t="s">
        <v>639</v>
      </c>
      <c r="E198" s="40" t="s">
        <v>599</v>
      </c>
      <c r="F198" s="40"/>
      <c r="G198" s="10">
        <f>G199</f>
        <v>0</v>
      </c>
    </row>
    <row r="199" spans="1:8" ht="47.25" hidden="1" x14ac:dyDescent="0.25">
      <c r="A199" s="29" t="s">
        <v>403</v>
      </c>
      <c r="B199" s="40" t="s">
        <v>606</v>
      </c>
      <c r="C199" s="40" t="s">
        <v>264</v>
      </c>
      <c r="D199" s="40" t="s">
        <v>213</v>
      </c>
      <c r="E199" s="40"/>
      <c r="F199" s="40" t="s">
        <v>636</v>
      </c>
      <c r="G199" s="10"/>
    </row>
    <row r="200" spans="1:8" ht="47.25" hidden="1" x14ac:dyDescent="0.25">
      <c r="A200" s="29" t="s">
        <v>640</v>
      </c>
      <c r="B200" s="20" t="s">
        <v>448</v>
      </c>
      <c r="C200" s="40" t="s">
        <v>264</v>
      </c>
      <c r="D200" s="40" t="s">
        <v>213</v>
      </c>
      <c r="E200" s="40"/>
      <c r="F200" s="40"/>
      <c r="G200" s="10">
        <f>G201</f>
        <v>0</v>
      </c>
    </row>
    <row r="201" spans="1:8" ht="31.5" hidden="1" x14ac:dyDescent="0.25">
      <c r="A201" s="29" t="s">
        <v>280</v>
      </c>
      <c r="B201" s="20" t="s">
        <v>448</v>
      </c>
      <c r="C201" s="40" t="s">
        <v>264</v>
      </c>
      <c r="D201" s="40" t="s">
        <v>213</v>
      </c>
      <c r="E201" s="40" t="s">
        <v>273</v>
      </c>
      <c r="F201" s="40"/>
      <c r="G201" s="10">
        <f>G202</f>
        <v>0</v>
      </c>
    </row>
    <row r="202" spans="1:8" ht="15.75" hidden="1" x14ac:dyDescent="0.25">
      <c r="A202" s="29" t="s">
        <v>274</v>
      </c>
      <c r="B202" s="20" t="s">
        <v>448</v>
      </c>
      <c r="C202" s="40" t="s">
        <v>264</v>
      </c>
      <c r="D202" s="40" t="s">
        <v>213</v>
      </c>
      <c r="E202" s="40" t="s">
        <v>275</v>
      </c>
      <c r="F202" s="40"/>
      <c r="G202" s="10"/>
    </row>
    <row r="203" spans="1:8" ht="31.5" hidden="1" x14ac:dyDescent="0.25">
      <c r="A203" s="29" t="s">
        <v>598</v>
      </c>
      <c r="B203" s="20" t="s">
        <v>448</v>
      </c>
      <c r="C203" s="40" t="s">
        <v>264</v>
      </c>
      <c r="D203" s="40" t="s">
        <v>213</v>
      </c>
      <c r="E203" s="40" t="s">
        <v>599</v>
      </c>
      <c r="F203" s="40"/>
      <c r="G203" s="10"/>
    </row>
    <row r="204" spans="1:8" ht="47.25" hidden="1" x14ac:dyDescent="0.25">
      <c r="A204" s="29" t="s">
        <v>403</v>
      </c>
      <c r="B204" s="20" t="s">
        <v>448</v>
      </c>
      <c r="C204" s="40" t="s">
        <v>264</v>
      </c>
      <c r="D204" s="40" t="s">
        <v>213</v>
      </c>
      <c r="E204" s="40"/>
      <c r="F204" s="40" t="s">
        <v>636</v>
      </c>
      <c r="G204" s="6">
        <f>G200</f>
        <v>0</v>
      </c>
    </row>
    <row r="205" spans="1:8" ht="47.25" hidden="1" x14ac:dyDescent="0.25">
      <c r="A205" s="29" t="s">
        <v>603</v>
      </c>
      <c r="B205" s="40" t="s">
        <v>449</v>
      </c>
      <c r="C205" s="40" t="s">
        <v>264</v>
      </c>
      <c r="D205" s="40" t="s">
        <v>213</v>
      </c>
      <c r="E205" s="40"/>
      <c r="F205" s="40"/>
      <c r="G205" s="10">
        <f>G206</f>
        <v>0</v>
      </c>
    </row>
    <row r="206" spans="1:8" ht="63" hidden="1" x14ac:dyDescent="0.25">
      <c r="A206" s="29" t="s">
        <v>272</v>
      </c>
      <c r="B206" s="40" t="s">
        <v>449</v>
      </c>
      <c r="C206" s="40" t="s">
        <v>264</v>
      </c>
      <c r="D206" s="40" t="s">
        <v>213</v>
      </c>
      <c r="E206" s="40" t="s">
        <v>273</v>
      </c>
      <c r="F206" s="40"/>
      <c r="G206" s="10">
        <f>G207</f>
        <v>0</v>
      </c>
    </row>
    <row r="207" spans="1:8" ht="15.75" hidden="1" x14ac:dyDescent="0.25">
      <c r="A207" s="29" t="s">
        <v>274</v>
      </c>
      <c r="B207" s="40" t="s">
        <v>449</v>
      </c>
      <c r="C207" s="40" t="s">
        <v>264</v>
      </c>
      <c r="D207" s="40" t="s">
        <v>213</v>
      </c>
      <c r="E207" s="40" t="s">
        <v>275</v>
      </c>
      <c r="F207" s="40" t="s">
        <v>636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467</v>
      </c>
      <c r="B210" s="7" t="s">
        <v>469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263</v>
      </c>
      <c r="B211" s="40" t="s">
        <v>469</v>
      </c>
      <c r="C211" s="40" t="s">
        <v>264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466</v>
      </c>
      <c r="B212" s="40" t="s">
        <v>469</v>
      </c>
      <c r="C212" s="40" t="s">
        <v>264</v>
      </c>
      <c r="D212" s="40" t="s">
        <v>264</v>
      </c>
      <c r="E212" s="40"/>
      <c r="F212" s="40"/>
      <c r="G212" s="10" t="e">
        <f>G213</f>
        <v>#REF!</v>
      </c>
    </row>
    <row r="213" spans="1:7" ht="47.25" x14ac:dyDescent="0.25">
      <c r="A213" s="25" t="s">
        <v>609</v>
      </c>
      <c r="B213" s="20" t="s">
        <v>471</v>
      </c>
      <c r="C213" s="40" t="s">
        <v>264</v>
      </c>
      <c r="D213" s="40" t="s">
        <v>264</v>
      </c>
      <c r="E213" s="40"/>
      <c r="F213" s="40"/>
      <c r="G213" s="10" t="e">
        <f>G214</f>
        <v>#REF!</v>
      </c>
    </row>
    <row r="214" spans="1:7" ht="63" x14ac:dyDescent="0.25">
      <c r="A214" s="29" t="s">
        <v>272</v>
      </c>
      <c r="B214" s="20" t="s">
        <v>471</v>
      </c>
      <c r="C214" s="40" t="s">
        <v>264</v>
      </c>
      <c r="D214" s="40" t="s">
        <v>264</v>
      </c>
      <c r="E214" s="40" t="s">
        <v>273</v>
      </c>
      <c r="F214" s="40"/>
      <c r="G214" s="10" t="e">
        <f>G215</f>
        <v>#REF!</v>
      </c>
    </row>
    <row r="215" spans="1:7" ht="15.75" x14ac:dyDescent="0.25">
      <c r="A215" s="29" t="s">
        <v>274</v>
      </c>
      <c r="B215" s="20" t="s">
        <v>471</v>
      </c>
      <c r="C215" s="40" t="s">
        <v>264</v>
      </c>
      <c r="D215" s="40" t="s">
        <v>264</v>
      </c>
      <c r="E215" s="40" t="s">
        <v>275</v>
      </c>
      <c r="F215" s="40"/>
      <c r="G215" s="10" t="e">
        <f>'Пр.4 ведом.21'!#REF!</f>
        <v>#REF!</v>
      </c>
    </row>
    <row r="216" spans="1:7" ht="47.25" x14ac:dyDescent="0.25">
      <c r="A216" s="29" t="s">
        <v>403</v>
      </c>
      <c r="B216" s="20" t="s">
        <v>469</v>
      </c>
      <c r="C216" s="40" t="s">
        <v>264</v>
      </c>
      <c r="D216" s="40" t="s">
        <v>264</v>
      </c>
      <c r="E216" s="40"/>
      <c r="F216" s="40" t="s">
        <v>636</v>
      </c>
      <c r="G216" s="10" t="e">
        <f>G210</f>
        <v>#REF!</v>
      </c>
    </row>
    <row r="217" spans="1:7" ht="78.75" x14ac:dyDescent="0.25">
      <c r="A217" s="58" t="s">
        <v>155</v>
      </c>
      <c r="B217" s="172" t="s">
        <v>156</v>
      </c>
      <c r="C217" s="7"/>
      <c r="D217" s="172"/>
      <c r="E217" s="172"/>
      <c r="F217" s="172"/>
      <c r="G217" s="59" t="e">
        <f>G220</f>
        <v>#REF!</v>
      </c>
    </row>
    <row r="218" spans="1:7" ht="15.75" x14ac:dyDescent="0.25">
      <c r="A218" s="45" t="s">
        <v>117</v>
      </c>
      <c r="B218" s="5" t="s">
        <v>156</v>
      </c>
      <c r="C218" s="40" t="s">
        <v>118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139</v>
      </c>
      <c r="B219" s="66" t="s">
        <v>156</v>
      </c>
      <c r="C219" s="40" t="s">
        <v>118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157</v>
      </c>
      <c r="B220" s="66" t="s">
        <v>158</v>
      </c>
      <c r="C220" s="40" t="s">
        <v>118</v>
      </c>
      <c r="D220" s="40" t="s">
        <v>140</v>
      </c>
      <c r="E220" s="40"/>
      <c r="F220" s="40"/>
      <c r="G220" s="10" t="e">
        <f>G221</f>
        <v>#REF!</v>
      </c>
    </row>
    <row r="221" spans="1:7" ht="47.25" x14ac:dyDescent="0.25">
      <c r="A221" s="29" t="s">
        <v>131</v>
      </c>
      <c r="B221" s="66" t="s">
        <v>158</v>
      </c>
      <c r="C221" s="40" t="s">
        <v>118</v>
      </c>
      <c r="D221" s="40" t="s">
        <v>140</v>
      </c>
      <c r="E221" s="40" t="s">
        <v>145</v>
      </c>
      <c r="F221" s="40"/>
      <c r="G221" s="10" t="e">
        <f>G222</f>
        <v>#REF!</v>
      </c>
    </row>
    <row r="222" spans="1:7" ht="78.75" x14ac:dyDescent="0.25">
      <c r="A222" s="29" t="s">
        <v>184</v>
      </c>
      <c r="B222" s="66" t="s">
        <v>158</v>
      </c>
      <c r="C222" s="40" t="s">
        <v>118</v>
      </c>
      <c r="D222" s="40" t="s">
        <v>140</v>
      </c>
      <c r="E222" s="40" t="s">
        <v>160</v>
      </c>
      <c r="F222" s="40"/>
      <c r="G222" s="10" t="e">
        <f>'Пр.4 ведом.21'!#REF!</f>
        <v>#REF!</v>
      </c>
    </row>
    <row r="223" spans="1:7" ht="31.5" x14ac:dyDescent="0.25">
      <c r="A223" s="29" t="s">
        <v>148</v>
      </c>
      <c r="B223" s="66" t="s">
        <v>156</v>
      </c>
      <c r="C223" s="40" t="s">
        <v>118</v>
      </c>
      <c r="D223" s="40" t="s">
        <v>140</v>
      </c>
      <c r="E223" s="40"/>
      <c r="F223" s="40" t="s">
        <v>641</v>
      </c>
      <c r="G223" s="10" t="e">
        <f>G217</f>
        <v>#REF!</v>
      </c>
    </row>
    <row r="224" spans="1:7" ht="73.5" customHeight="1" x14ac:dyDescent="0.25">
      <c r="A224" s="41" t="s">
        <v>161</v>
      </c>
      <c r="B224" s="172" t="s">
        <v>162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117</v>
      </c>
      <c r="B225" s="5" t="s">
        <v>162</v>
      </c>
      <c r="C225" s="40" t="s">
        <v>118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139</v>
      </c>
      <c r="B226" s="66" t="s">
        <v>162</v>
      </c>
      <c r="C226" s="40" t="s">
        <v>118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163</v>
      </c>
      <c r="B227" s="40" t="s">
        <v>164</v>
      </c>
      <c r="C227" s="40" t="s">
        <v>118</v>
      </c>
      <c r="D227" s="40" t="s">
        <v>140</v>
      </c>
      <c r="E227" s="40"/>
      <c r="F227" s="40"/>
      <c r="G227" s="10" t="e">
        <f>G228</f>
        <v>#REF!</v>
      </c>
    </row>
    <row r="228" spans="1:7" ht="47.25" x14ac:dyDescent="0.25">
      <c r="A228" s="29" t="s">
        <v>131</v>
      </c>
      <c r="B228" s="40" t="s">
        <v>164</v>
      </c>
      <c r="C228" s="40" t="s">
        <v>118</v>
      </c>
      <c r="D228" s="40" t="s">
        <v>140</v>
      </c>
      <c r="E228" s="40" t="s">
        <v>132</v>
      </c>
      <c r="F228" s="40"/>
      <c r="G228" s="10" t="e">
        <f>G229</f>
        <v>#REF!</v>
      </c>
    </row>
    <row r="229" spans="1:7" ht="47.25" x14ac:dyDescent="0.25">
      <c r="A229" s="29" t="s">
        <v>133</v>
      </c>
      <c r="B229" s="40" t="s">
        <v>164</v>
      </c>
      <c r="C229" s="40" t="s">
        <v>118</v>
      </c>
      <c r="D229" s="40" t="s">
        <v>140</v>
      </c>
      <c r="E229" s="40" t="s">
        <v>134</v>
      </c>
      <c r="F229" s="40"/>
      <c r="G229" s="10" t="e">
        <f>'Пр.4 ведом.21'!#REF!</f>
        <v>#REF!</v>
      </c>
    </row>
    <row r="230" spans="1:7" ht="78.75" x14ac:dyDescent="0.25">
      <c r="A230" s="97" t="s">
        <v>165</v>
      </c>
      <c r="B230" s="40" t="s">
        <v>166</v>
      </c>
      <c r="C230" s="40" t="s">
        <v>118</v>
      </c>
      <c r="D230" s="40" t="s">
        <v>140</v>
      </c>
      <c r="E230" s="40"/>
      <c r="F230" s="40"/>
      <c r="G230" s="10" t="e">
        <f>G231+G233</f>
        <v>#REF!</v>
      </c>
    </row>
    <row r="231" spans="1:7" ht="110.25" x14ac:dyDescent="0.25">
      <c r="A231" s="29" t="s">
        <v>127</v>
      </c>
      <c r="B231" s="40" t="s">
        <v>166</v>
      </c>
      <c r="C231" s="40" t="s">
        <v>118</v>
      </c>
      <c r="D231" s="40" t="s">
        <v>140</v>
      </c>
      <c r="E231" s="40" t="s">
        <v>128</v>
      </c>
      <c r="F231" s="40"/>
      <c r="G231" s="10" t="e">
        <f>G232</f>
        <v>#REF!</v>
      </c>
    </row>
    <row r="232" spans="1:7" ht="47.25" x14ac:dyDescent="0.25">
      <c r="A232" s="29" t="s">
        <v>129</v>
      </c>
      <c r="B232" s="40" t="s">
        <v>166</v>
      </c>
      <c r="C232" s="40" t="s">
        <v>118</v>
      </c>
      <c r="D232" s="40" t="s">
        <v>140</v>
      </c>
      <c r="E232" s="40" t="s">
        <v>130</v>
      </c>
      <c r="F232" s="40"/>
      <c r="G232" s="10" t="e">
        <f>'Пр.4 ведом.21'!#REF!</f>
        <v>#REF!</v>
      </c>
    </row>
    <row r="233" spans="1:7" ht="47.25" x14ac:dyDescent="0.25">
      <c r="A233" s="29" t="s">
        <v>131</v>
      </c>
      <c r="B233" s="40" t="s">
        <v>166</v>
      </c>
      <c r="C233" s="40" t="s">
        <v>118</v>
      </c>
      <c r="D233" s="40" t="s">
        <v>140</v>
      </c>
      <c r="E233" s="40" t="s">
        <v>132</v>
      </c>
      <c r="F233" s="40"/>
      <c r="G233" s="10" t="e">
        <f>G234</f>
        <v>#REF!</v>
      </c>
    </row>
    <row r="234" spans="1:7" ht="47.25" x14ac:dyDescent="0.25">
      <c r="A234" s="29" t="s">
        <v>133</v>
      </c>
      <c r="B234" s="40" t="s">
        <v>166</v>
      </c>
      <c r="C234" s="40" t="s">
        <v>118</v>
      </c>
      <c r="D234" s="40" t="s">
        <v>140</v>
      </c>
      <c r="E234" s="40" t="s">
        <v>134</v>
      </c>
      <c r="F234" s="40"/>
      <c r="G234" s="10" t="e">
        <f>'Пр.4 ведом.21'!#REF!</f>
        <v>#REF!</v>
      </c>
    </row>
    <row r="235" spans="1:7" ht="63" x14ac:dyDescent="0.25">
      <c r="A235" s="31" t="s">
        <v>695</v>
      </c>
      <c r="B235" s="40" t="s">
        <v>696</v>
      </c>
      <c r="C235" s="40" t="s">
        <v>118</v>
      </c>
      <c r="D235" s="40" t="s">
        <v>140</v>
      </c>
      <c r="E235" s="40"/>
      <c r="F235" s="40"/>
      <c r="G235" s="10" t="e">
        <f>G236</f>
        <v>#REF!</v>
      </c>
    </row>
    <row r="236" spans="1:7" ht="47.25" x14ac:dyDescent="0.25">
      <c r="A236" s="25" t="s">
        <v>131</v>
      </c>
      <c r="B236" s="40" t="s">
        <v>696</v>
      </c>
      <c r="C236" s="40" t="s">
        <v>118</v>
      </c>
      <c r="D236" s="40" t="s">
        <v>140</v>
      </c>
      <c r="E236" s="40" t="s">
        <v>132</v>
      </c>
      <c r="F236" s="40"/>
      <c r="G236" s="10" t="e">
        <f>G237</f>
        <v>#REF!</v>
      </c>
    </row>
    <row r="237" spans="1:7" ht="47.25" x14ac:dyDescent="0.25">
      <c r="A237" s="25" t="s">
        <v>133</v>
      </c>
      <c r="B237" s="40" t="s">
        <v>696</v>
      </c>
      <c r="C237" s="40" t="s">
        <v>118</v>
      </c>
      <c r="D237" s="40" t="s">
        <v>140</v>
      </c>
      <c r="E237" s="40" t="s">
        <v>134</v>
      </c>
      <c r="F237" s="40"/>
      <c r="G237" s="10" t="e">
        <f>'Пр.4 ведом.21'!#REF!</f>
        <v>#REF!</v>
      </c>
    </row>
    <row r="238" spans="1:7" ht="63" x14ac:dyDescent="0.25">
      <c r="A238" s="33" t="s">
        <v>191</v>
      </c>
      <c r="B238" s="40" t="s">
        <v>682</v>
      </c>
      <c r="C238" s="40" t="s">
        <v>118</v>
      </c>
      <c r="D238" s="40" t="s">
        <v>140</v>
      </c>
      <c r="E238" s="40"/>
      <c r="F238" s="40"/>
      <c r="G238" s="10" t="e">
        <f>G239</f>
        <v>#REF!</v>
      </c>
    </row>
    <row r="239" spans="1:7" ht="47.25" x14ac:dyDescent="0.25">
      <c r="A239" s="25" t="s">
        <v>131</v>
      </c>
      <c r="B239" s="40" t="s">
        <v>682</v>
      </c>
      <c r="C239" s="40" t="s">
        <v>118</v>
      </c>
      <c r="D239" s="40" t="s">
        <v>140</v>
      </c>
      <c r="E239" s="40" t="s">
        <v>132</v>
      </c>
      <c r="F239" s="40"/>
      <c r="G239" s="10" t="e">
        <f>G240</f>
        <v>#REF!</v>
      </c>
    </row>
    <row r="240" spans="1:7" ht="47.25" x14ac:dyDescent="0.25">
      <c r="A240" s="25" t="s">
        <v>133</v>
      </c>
      <c r="B240" s="40" t="s">
        <v>682</v>
      </c>
      <c r="C240" s="40" t="s">
        <v>118</v>
      </c>
      <c r="D240" s="40" t="s">
        <v>140</v>
      </c>
      <c r="E240" s="40" t="s">
        <v>134</v>
      </c>
      <c r="F240" s="40"/>
      <c r="G240" s="10" t="e">
        <f>'Пр.4 ведом.21'!#REF!</f>
        <v>#REF!</v>
      </c>
    </row>
    <row r="241" spans="1:7" ht="31.5" x14ac:dyDescent="0.25">
      <c r="A241" s="29" t="s">
        <v>148</v>
      </c>
      <c r="B241" s="40" t="s">
        <v>162</v>
      </c>
      <c r="C241" s="40" t="s">
        <v>118</v>
      </c>
      <c r="D241" s="40" t="s">
        <v>140</v>
      </c>
      <c r="E241" s="40"/>
      <c r="F241" s="40" t="s">
        <v>641</v>
      </c>
      <c r="G241" s="10" t="e">
        <f>G224</f>
        <v>#REF!</v>
      </c>
    </row>
    <row r="242" spans="1:7" ht="94.5" x14ac:dyDescent="0.25">
      <c r="A242" s="41" t="s">
        <v>253</v>
      </c>
      <c r="B242" s="172" t="s">
        <v>254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243</v>
      </c>
      <c r="B243" s="5" t="s">
        <v>254</v>
      </c>
      <c r="C243" s="40" t="s">
        <v>244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252</v>
      </c>
      <c r="B244" s="5" t="s">
        <v>254</v>
      </c>
      <c r="C244" s="40" t="s">
        <v>244</v>
      </c>
      <c r="D244" s="40" t="s">
        <v>215</v>
      </c>
      <c r="E244" s="40"/>
      <c r="F244" s="40"/>
      <c r="G244" s="10" t="e">
        <f>G245</f>
        <v>#REF!</v>
      </c>
    </row>
    <row r="245" spans="1:7" ht="47.25" x14ac:dyDescent="0.25">
      <c r="A245" s="29" t="s">
        <v>157</v>
      </c>
      <c r="B245" s="66" t="s">
        <v>255</v>
      </c>
      <c r="C245" s="40" t="s">
        <v>244</v>
      </c>
      <c r="D245" s="40" t="s">
        <v>215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248</v>
      </c>
      <c r="B246" s="66" t="s">
        <v>255</v>
      </c>
      <c r="C246" s="40" t="s">
        <v>244</v>
      </c>
      <c r="D246" s="40" t="s">
        <v>215</v>
      </c>
      <c r="E246" s="40" t="s">
        <v>249</v>
      </c>
      <c r="F246" s="40"/>
      <c r="G246" s="10" t="e">
        <f>G247</f>
        <v>#REF!</v>
      </c>
    </row>
    <row r="247" spans="1:7" ht="47.25" x14ac:dyDescent="0.25">
      <c r="A247" s="29" t="s">
        <v>250</v>
      </c>
      <c r="B247" s="66" t="s">
        <v>255</v>
      </c>
      <c r="C247" s="40" t="s">
        <v>244</v>
      </c>
      <c r="D247" s="40" t="s">
        <v>215</v>
      </c>
      <c r="E247" s="40" t="s">
        <v>251</v>
      </c>
      <c r="F247" s="40"/>
      <c r="G247" s="10" t="e">
        <f>'Пр.4 ведом.21'!#REF!</f>
        <v>#REF!</v>
      </c>
    </row>
    <row r="248" spans="1:7" ht="31.5" x14ac:dyDescent="0.25">
      <c r="A248" s="45" t="s">
        <v>148</v>
      </c>
      <c r="B248" s="66" t="s">
        <v>254</v>
      </c>
      <c r="C248" s="40" t="s">
        <v>244</v>
      </c>
      <c r="D248" s="40" t="s">
        <v>215</v>
      </c>
      <c r="E248" s="40"/>
      <c r="F248" s="40" t="s">
        <v>641</v>
      </c>
      <c r="G248" s="10" t="e">
        <f>G242</f>
        <v>#REF!</v>
      </c>
    </row>
    <row r="249" spans="1:7" ht="141.75" x14ac:dyDescent="0.25">
      <c r="A249" s="41" t="s">
        <v>593</v>
      </c>
      <c r="B249" s="172" t="s">
        <v>168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169</v>
      </c>
      <c r="B250" s="172" t="s">
        <v>170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117</v>
      </c>
      <c r="B251" s="5" t="s">
        <v>170</v>
      </c>
      <c r="C251" s="40" t="s">
        <v>118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139</v>
      </c>
      <c r="B252" s="5" t="s">
        <v>170</v>
      </c>
      <c r="C252" s="40" t="s">
        <v>118</v>
      </c>
      <c r="D252" s="40" t="s">
        <v>140</v>
      </c>
      <c r="E252" s="40"/>
      <c r="F252" s="40"/>
      <c r="G252" s="10" t="e">
        <f>G253</f>
        <v>#REF!</v>
      </c>
    </row>
    <row r="253" spans="1:7" ht="47.25" x14ac:dyDescent="0.25">
      <c r="A253" s="97" t="s">
        <v>171</v>
      </c>
      <c r="B253" s="5" t="s">
        <v>172</v>
      </c>
      <c r="C253" s="40" t="s">
        <v>118</v>
      </c>
      <c r="D253" s="40" t="s">
        <v>140</v>
      </c>
      <c r="E253" s="40"/>
      <c r="F253" s="40"/>
      <c r="G253" s="10" t="e">
        <f>G254</f>
        <v>#REF!</v>
      </c>
    </row>
    <row r="254" spans="1:7" ht="47.25" x14ac:dyDescent="0.25">
      <c r="A254" s="29" t="s">
        <v>131</v>
      </c>
      <c r="B254" s="5" t="s">
        <v>172</v>
      </c>
      <c r="C254" s="40" t="s">
        <v>118</v>
      </c>
      <c r="D254" s="40" t="s">
        <v>140</v>
      </c>
      <c r="E254" s="40" t="s">
        <v>132</v>
      </c>
      <c r="F254" s="40"/>
      <c r="G254" s="10" t="e">
        <f>G255</f>
        <v>#REF!</v>
      </c>
    </row>
    <row r="255" spans="1:7" ht="47.25" x14ac:dyDescent="0.25">
      <c r="A255" s="29" t="s">
        <v>133</v>
      </c>
      <c r="B255" s="5" t="s">
        <v>172</v>
      </c>
      <c r="C255" s="40" t="s">
        <v>118</v>
      </c>
      <c r="D255" s="40" t="s">
        <v>140</v>
      </c>
      <c r="E255" s="40" t="s">
        <v>134</v>
      </c>
      <c r="F255" s="40"/>
      <c r="G255" s="10" t="e">
        <f>'Пр.4 ведом.21'!#REF!</f>
        <v>#REF!</v>
      </c>
    </row>
    <row r="256" spans="1:7" ht="31.5" x14ac:dyDescent="0.25">
      <c r="A256" s="29" t="s">
        <v>148</v>
      </c>
      <c r="B256" s="5" t="s">
        <v>170</v>
      </c>
      <c r="C256" s="40" t="s">
        <v>118</v>
      </c>
      <c r="D256" s="40" t="s">
        <v>140</v>
      </c>
      <c r="E256" s="40"/>
      <c r="F256" s="40" t="s">
        <v>641</v>
      </c>
      <c r="G256" s="6" t="e">
        <f>G250</f>
        <v>#REF!</v>
      </c>
    </row>
    <row r="257" spans="1:7" ht="94.5" x14ac:dyDescent="0.25">
      <c r="A257" s="41" t="s">
        <v>173</v>
      </c>
      <c r="B257" s="172" t="s">
        <v>174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117</v>
      </c>
      <c r="B258" s="5" t="s">
        <v>174</v>
      </c>
      <c r="C258" s="40" t="s">
        <v>118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139</v>
      </c>
      <c r="B259" s="5" t="s">
        <v>174</v>
      </c>
      <c r="C259" s="40" t="s">
        <v>118</v>
      </c>
      <c r="D259" s="40" t="s">
        <v>140</v>
      </c>
      <c r="E259" s="40"/>
      <c r="F259" s="40"/>
      <c r="G259" s="6" t="e">
        <f>G260</f>
        <v>#REF!</v>
      </c>
    </row>
    <row r="260" spans="1:7" ht="31.5" x14ac:dyDescent="0.25">
      <c r="A260" s="45" t="s">
        <v>175</v>
      </c>
      <c r="B260" s="5" t="s">
        <v>176</v>
      </c>
      <c r="C260" s="9" t="s">
        <v>118</v>
      </c>
      <c r="D260" s="9" t="s">
        <v>140</v>
      </c>
      <c r="E260" s="9"/>
      <c r="F260" s="26"/>
      <c r="G260" s="26" t="e">
        <f>G261</f>
        <v>#REF!</v>
      </c>
    </row>
    <row r="261" spans="1:7" ht="47.25" x14ac:dyDescent="0.25">
      <c r="A261" s="25" t="s">
        <v>131</v>
      </c>
      <c r="B261" s="5" t="s">
        <v>176</v>
      </c>
      <c r="C261" s="9" t="s">
        <v>118</v>
      </c>
      <c r="D261" s="9" t="s">
        <v>140</v>
      </c>
      <c r="E261" s="9" t="s">
        <v>132</v>
      </c>
      <c r="F261" s="26"/>
      <c r="G261" s="26" t="e">
        <f>G262</f>
        <v>#REF!</v>
      </c>
    </row>
    <row r="262" spans="1:7" ht="47.25" x14ac:dyDescent="0.25">
      <c r="A262" s="25" t="s">
        <v>133</v>
      </c>
      <c r="B262" s="5" t="s">
        <v>176</v>
      </c>
      <c r="C262" s="9" t="s">
        <v>118</v>
      </c>
      <c r="D262" s="9" t="s">
        <v>140</v>
      </c>
      <c r="E262" s="9" t="s">
        <v>134</v>
      </c>
      <c r="F262" s="26"/>
      <c r="G262" s="26" t="e">
        <f>'Пр.4 ведом.21'!#REF!</f>
        <v>#REF!</v>
      </c>
    </row>
    <row r="263" spans="1:7" ht="31.5" x14ac:dyDescent="0.25">
      <c r="A263" s="29" t="s">
        <v>148</v>
      </c>
      <c r="B263" s="5" t="s">
        <v>174</v>
      </c>
      <c r="C263" s="40" t="s">
        <v>118</v>
      </c>
      <c r="D263" s="40" t="s">
        <v>140</v>
      </c>
      <c r="E263" s="40"/>
      <c r="F263" s="40" t="s">
        <v>641</v>
      </c>
      <c r="G263" s="6" t="e">
        <f>G257</f>
        <v>#REF!</v>
      </c>
    </row>
    <row r="264" spans="1:7" ht="63" x14ac:dyDescent="0.25">
      <c r="A264" s="23" t="s">
        <v>177</v>
      </c>
      <c r="B264" s="172" t="s">
        <v>178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117</v>
      </c>
      <c r="B265" s="5" t="s">
        <v>178</v>
      </c>
      <c r="C265" s="40" t="s">
        <v>118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139</v>
      </c>
      <c r="B266" s="5" t="s">
        <v>178</v>
      </c>
      <c r="C266" s="40" t="s">
        <v>118</v>
      </c>
      <c r="D266" s="40" t="s">
        <v>140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179</v>
      </c>
      <c r="B267" s="5" t="s">
        <v>180</v>
      </c>
      <c r="C267" s="40" t="s">
        <v>118</v>
      </c>
      <c r="D267" s="40" t="s">
        <v>140</v>
      </c>
      <c r="E267" s="40"/>
      <c r="F267" s="40"/>
      <c r="G267" s="10" t="e">
        <f>G268</f>
        <v>#REF!</v>
      </c>
    </row>
    <row r="268" spans="1:7" ht="47.25" x14ac:dyDescent="0.25">
      <c r="A268" s="29" t="s">
        <v>131</v>
      </c>
      <c r="B268" s="5" t="s">
        <v>180</v>
      </c>
      <c r="C268" s="40" t="s">
        <v>118</v>
      </c>
      <c r="D268" s="40" t="s">
        <v>140</v>
      </c>
      <c r="E268" s="40" t="s">
        <v>132</v>
      </c>
      <c r="F268" s="40"/>
      <c r="G268" s="10" t="e">
        <f>G269</f>
        <v>#REF!</v>
      </c>
    </row>
    <row r="269" spans="1:7" ht="47.25" x14ac:dyDescent="0.25">
      <c r="A269" s="29" t="s">
        <v>133</v>
      </c>
      <c r="B269" s="5" t="s">
        <v>180</v>
      </c>
      <c r="C269" s="40" t="s">
        <v>118</v>
      </c>
      <c r="D269" s="40" t="s">
        <v>140</v>
      </c>
      <c r="E269" s="40" t="s">
        <v>134</v>
      </c>
      <c r="F269" s="40"/>
      <c r="G269" s="10" t="e">
        <f>'Пр.4 ведом.21'!#REF!</f>
        <v>#REF!</v>
      </c>
    </row>
    <row r="270" spans="1:7" ht="31.5" x14ac:dyDescent="0.25">
      <c r="A270" s="29" t="s">
        <v>148</v>
      </c>
      <c r="B270" s="5" t="s">
        <v>178</v>
      </c>
      <c r="C270" s="40" t="s">
        <v>118</v>
      </c>
      <c r="D270" s="40" t="s">
        <v>140</v>
      </c>
      <c r="E270" s="40"/>
      <c r="F270" s="40" t="s">
        <v>641</v>
      </c>
      <c r="G270" s="10" t="e">
        <f>G264</f>
        <v>#REF!</v>
      </c>
    </row>
    <row r="271" spans="1:7" ht="69" customHeight="1" x14ac:dyDescent="0.25">
      <c r="A271" s="41" t="s">
        <v>481</v>
      </c>
      <c r="B271" s="3" t="s">
        <v>482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642</v>
      </c>
      <c r="B272" s="3" t="s">
        <v>484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263</v>
      </c>
      <c r="B273" s="40" t="s">
        <v>484</v>
      </c>
      <c r="C273" s="40" t="s">
        <v>264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265</v>
      </c>
      <c r="B274" s="40" t="s">
        <v>484</v>
      </c>
      <c r="C274" s="40" t="s">
        <v>264</v>
      </c>
      <c r="D274" s="40" t="s">
        <v>215</v>
      </c>
      <c r="E274" s="68"/>
      <c r="F274" s="68"/>
      <c r="G274" s="10" t="e">
        <f>G275+G290</f>
        <v>#REF!</v>
      </c>
    </row>
    <row r="275" spans="1:7" ht="63" x14ac:dyDescent="0.25">
      <c r="A275" s="29" t="s">
        <v>270</v>
      </c>
      <c r="B275" s="40" t="s">
        <v>485</v>
      </c>
      <c r="C275" s="40" t="s">
        <v>264</v>
      </c>
      <c r="D275" s="40" t="s">
        <v>215</v>
      </c>
      <c r="E275" s="68"/>
      <c r="F275" s="68"/>
      <c r="G275" s="10" t="e">
        <f>G276</f>
        <v>#REF!</v>
      </c>
    </row>
    <row r="276" spans="1:7" ht="63" x14ac:dyDescent="0.25">
      <c r="A276" s="29" t="s">
        <v>272</v>
      </c>
      <c r="B276" s="40" t="s">
        <v>485</v>
      </c>
      <c r="C276" s="40" t="s">
        <v>264</v>
      </c>
      <c r="D276" s="40" t="s">
        <v>215</v>
      </c>
      <c r="E276" s="40" t="s">
        <v>273</v>
      </c>
      <c r="F276" s="68"/>
      <c r="G276" s="10" t="e">
        <f>G277</f>
        <v>#REF!</v>
      </c>
    </row>
    <row r="277" spans="1:7" ht="15.75" x14ac:dyDescent="0.25">
      <c r="A277" s="29" t="s">
        <v>274</v>
      </c>
      <c r="B277" s="40" t="s">
        <v>485</v>
      </c>
      <c r="C277" s="40" t="s">
        <v>264</v>
      </c>
      <c r="D277" s="40" t="s">
        <v>215</v>
      </c>
      <c r="E277" s="40" t="s">
        <v>275</v>
      </c>
      <c r="F277" s="68"/>
      <c r="G277" s="10" t="e">
        <f>'Пр.4 ведом.21'!#REF!</f>
        <v>#REF!</v>
      </c>
    </row>
    <row r="278" spans="1:7" ht="78.75" hidden="1" customHeight="1" x14ac:dyDescent="0.25">
      <c r="A278" s="29" t="s">
        <v>595</v>
      </c>
      <c r="B278" s="40" t="s">
        <v>643</v>
      </c>
      <c r="C278" s="40" t="s">
        <v>264</v>
      </c>
      <c r="D278" s="40" t="s">
        <v>215</v>
      </c>
      <c r="E278" s="40"/>
      <c r="F278" s="68"/>
      <c r="G278" s="10">
        <f>G279</f>
        <v>0</v>
      </c>
    </row>
    <row r="279" spans="1:7" ht="63" hidden="1" x14ac:dyDescent="0.25">
      <c r="A279" s="29" t="s">
        <v>272</v>
      </c>
      <c r="B279" s="40" t="s">
        <v>643</v>
      </c>
      <c r="C279" s="40" t="s">
        <v>264</v>
      </c>
      <c r="D279" s="40" t="s">
        <v>215</v>
      </c>
      <c r="E279" s="40" t="s">
        <v>273</v>
      </c>
      <c r="F279" s="68"/>
      <c r="G279" s="10">
        <f>G280</f>
        <v>0</v>
      </c>
    </row>
    <row r="280" spans="1:7" ht="15.75" hidden="1" x14ac:dyDescent="0.25">
      <c r="A280" s="29" t="s">
        <v>274</v>
      </c>
      <c r="B280" s="40" t="s">
        <v>643</v>
      </c>
      <c r="C280" s="40" t="s">
        <v>264</v>
      </c>
      <c r="D280" s="40" t="s">
        <v>215</v>
      </c>
      <c r="E280" s="40" t="s">
        <v>275</v>
      </c>
      <c r="F280" s="68"/>
      <c r="G280" s="10">
        <f>G281</f>
        <v>0</v>
      </c>
    </row>
    <row r="281" spans="1:7" ht="47.25" hidden="1" x14ac:dyDescent="0.25">
      <c r="A281" s="46" t="s">
        <v>480</v>
      </c>
      <c r="B281" s="40" t="s">
        <v>643</v>
      </c>
      <c r="C281" s="40" t="s">
        <v>264</v>
      </c>
      <c r="D281" s="40" t="s">
        <v>215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278</v>
      </c>
      <c r="B282" s="40" t="s">
        <v>644</v>
      </c>
      <c r="C282" s="40" t="s">
        <v>264</v>
      </c>
      <c r="D282" s="40" t="s">
        <v>215</v>
      </c>
      <c r="E282" s="40"/>
      <c r="F282" s="68"/>
      <c r="G282" s="10">
        <f>G283</f>
        <v>0</v>
      </c>
    </row>
    <row r="283" spans="1:7" ht="63" hidden="1" x14ac:dyDescent="0.25">
      <c r="A283" s="29" t="s">
        <v>272</v>
      </c>
      <c r="B283" s="40" t="s">
        <v>644</v>
      </c>
      <c r="C283" s="40" t="s">
        <v>264</v>
      </c>
      <c r="D283" s="40" t="s">
        <v>215</v>
      </c>
      <c r="E283" s="40" t="s">
        <v>273</v>
      </c>
      <c r="F283" s="68"/>
      <c r="G283" s="10">
        <f>G284</f>
        <v>0</v>
      </c>
    </row>
    <row r="284" spans="1:7" ht="15.75" hidden="1" x14ac:dyDescent="0.25">
      <c r="A284" s="29" t="s">
        <v>274</v>
      </c>
      <c r="B284" s="40" t="s">
        <v>644</v>
      </c>
      <c r="C284" s="40" t="s">
        <v>264</v>
      </c>
      <c r="D284" s="40" t="s">
        <v>215</v>
      </c>
      <c r="E284" s="40" t="s">
        <v>275</v>
      </c>
      <c r="F284" s="68"/>
      <c r="G284" s="10"/>
    </row>
    <row r="285" spans="1:7" ht="47.25" hidden="1" x14ac:dyDescent="0.25">
      <c r="A285" s="46" t="s">
        <v>480</v>
      </c>
      <c r="B285" s="40" t="s">
        <v>644</v>
      </c>
      <c r="C285" s="40" t="s">
        <v>264</v>
      </c>
      <c r="D285" s="40" t="s">
        <v>215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280</v>
      </c>
      <c r="B286" s="40" t="s">
        <v>645</v>
      </c>
      <c r="C286" s="40" t="s">
        <v>264</v>
      </c>
      <c r="D286" s="40" t="s">
        <v>215</v>
      </c>
      <c r="E286" s="40"/>
      <c r="F286" s="68"/>
      <c r="G286" s="10">
        <f>G287</f>
        <v>0</v>
      </c>
    </row>
    <row r="287" spans="1:7" ht="63" hidden="1" x14ac:dyDescent="0.25">
      <c r="A287" s="29" t="s">
        <v>272</v>
      </c>
      <c r="B287" s="40" t="s">
        <v>645</v>
      </c>
      <c r="C287" s="40" t="s">
        <v>264</v>
      </c>
      <c r="D287" s="40" t="s">
        <v>215</v>
      </c>
      <c r="E287" s="40" t="s">
        <v>273</v>
      </c>
      <c r="F287" s="68"/>
      <c r="G287" s="10">
        <f>G288</f>
        <v>0</v>
      </c>
    </row>
    <row r="288" spans="1:7" ht="15.75" hidden="1" x14ac:dyDescent="0.25">
      <c r="A288" s="29" t="s">
        <v>274</v>
      </c>
      <c r="B288" s="40" t="s">
        <v>645</v>
      </c>
      <c r="C288" s="40" t="s">
        <v>264</v>
      </c>
      <c r="D288" s="40" t="s">
        <v>215</v>
      </c>
      <c r="E288" s="40" t="s">
        <v>275</v>
      </c>
      <c r="F288" s="68"/>
      <c r="G288" s="10"/>
    </row>
    <row r="289" spans="1:7" ht="47.25" hidden="1" x14ac:dyDescent="0.25">
      <c r="A289" s="46" t="s">
        <v>480</v>
      </c>
      <c r="B289" s="40" t="s">
        <v>645</v>
      </c>
      <c r="C289" s="40" t="s">
        <v>264</v>
      </c>
      <c r="D289" s="40" t="s">
        <v>215</v>
      </c>
      <c r="E289" s="40"/>
      <c r="F289" s="2">
        <v>907</v>
      </c>
      <c r="G289" s="10">
        <v>0</v>
      </c>
    </row>
    <row r="290" spans="1:7" ht="47.25" x14ac:dyDescent="0.25">
      <c r="A290" s="29" t="s">
        <v>282</v>
      </c>
      <c r="B290" s="40" t="s">
        <v>488</v>
      </c>
      <c r="C290" s="40" t="s">
        <v>264</v>
      </c>
      <c r="D290" s="40" t="s">
        <v>215</v>
      </c>
      <c r="E290" s="40"/>
      <c r="F290" s="68"/>
      <c r="G290" s="10" t="e">
        <f>G291</f>
        <v>#REF!</v>
      </c>
    </row>
    <row r="291" spans="1:7" ht="63" x14ac:dyDescent="0.25">
      <c r="A291" s="29" t="s">
        <v>272</v>
      </c>
      <c r="B291" s="40" t="s">
        <v>488</v>
      </c>
      <c r="C291" s="40" t="s">
        <v>264</v>
      </c>
      <c r="D291" s="40" t="s">
        <v>215</v>
      </c>
      <c r="E291" s="40" t="s">
        <v>273</v>
      </c>
      <c r="F291" s="68"/>
      <c r="G291" s="10" t="e">
        <f>G292</f>
        <v>#REF!</v>
      </c>
    </row>
    <row r="292" spans="1:7" ht="15.75" x14ac:dyDescent="0.25">
      <c r="A292" s="29" t="s">
        <v>274</v>
      </c>
      <c r="B292" s="40" t="s">
        <v>488</v>
      </c>
      <c r="C292" s="40" t="s">
        <v>264</v>
      </c>
      <c r="D292" s="40" t="s">
        <v>215</v>
      </c>
      <c r="E292" s="40" t="s">
        <v>275</v>
      </c>
      <c r="F292" s="68"/>
      <c r="G292" s="10" t="e">
        <f>'Пр.4 ведом.21'!#REF!</f>
        <v>#REF!</v>
      </c>
    </row>
    <row r="293" spans="1:7" ht="58.7" customHeight="1" x14ac:dyDescent="0.25">
      <c r="A293" s="70" t="s">
        <v>480</v>
      </c>
      <c r="B293" s="40" t="s">
        <v>484</v>
      </c>
      <c r="C293" s="40" t="s">
        <v>264</v>
      </c>
      <c r="D293" s="40" t="s">
        <v>215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493</v>
      </c>
      <c r="B294" s="7" t="s">
        <v>494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490</v>
      </c>
      <c r="B295" s="40" t="s">
        <v>494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492</v>
      </c>
      <c r="B296" s="40" t="s">
        <v>494</v>
      </c>
      <c r="C296" s="40" t="s">
        <v>491</v>
      </c>
      <c r="D296" s="40" t="s">
        <v>118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495</v>
      </c>
      <c r="B297" s="40" t="s">
        <v>496</v>
      </c>
      <c r="C297" s="40" t="s">
        <v>491</v>
      </c>
      <c r="D297" s="40" t="s">
        <v>118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272</v>
      </c>
      <c r="B298" s="40" t="s">
        <v>496</v>
      </c>
      <c r="C298" s="40" t="s">
        <v>491</v>
      </c>
      <c r="D298" s="40" t="s">
        <v>118</v>
      </c>
      <c r="E298" s="40" t="s">
        <v>273</v>
      </c>
      <c r="F298" s="5"/>
      <c r="G298" s="10" t="e">
        <f>G299</f>
        <v>#REF!</v>
      </c>
    </row>
    <row r="299" spans="1:7" ht="15.75" x14ac:dyDescent="0.25">
      <c r="A299" s="29" t="s">
        <v>274</v>
      </c>
      <c r="B299" s="40" t="s">
        <v>496</v>
      </c>
      <c r="C299" s="40" t="s">
        <v>491</v>
      </c>
      <c r="D299" s="40" t="s">
        <v>118</v>
      </c>
      <c r="E299" s="40" t="s">
        <v>275</v>
      </c>
      <c r="F299" s="5"/>
      <c r="G299" s="10" t="e">
        <f>'Пр.4 ведом.21'!#REF!</f>
        <v>#REF!</v>
      </c>
    </row>
    <row r="300" spans="1:7" ht="47.25" hidden="1" x14ac:dyDescent="0.25">
      <c r="A300" s="46" t="s">
        <v>480</v>
      </c>
      <c r="B300" s="40" t="s">
        <v>494</v>
      </c>
      <c r="C300" s="40" t="s">
        <v>491</v>
      </c>
      <c r="D300" s="40" t="s">
        <v>118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595</v>
      </c>
      <c r="B301" s="40" t="s">
        <v>646</v>
      </c>
      <c r="C301" s="40" t="s">
        <v>491</v>
      </c>
      <c r="D301" s="40" t="s">
        <v>118</v>
      </c>
      <c r="E301" s="40"/>
      <c r="F301" s="5"/>
      <c r="G301" s="10">
        <f>G302</f>
        <v>0</v>
      </c>
    </row>
    <row r="302" spans="1:7" ht="63" hidden="1" x14ac:dyDescent="0.25">
      <c r="A302" s="29" t="s">
        <v>272</v>
      </c>
      <c r="B302" s="40" t="s">
        <v>646</v>
      </c>
      <c r="C302" s="40" t="s">
        <v>491</v>
      </c>
      <c r="D302" s="40" t="s">
        <v>118</v>
      </c>
      <c r="E302" s="40" t="s">
        <v>273</v>
      </c>
      <c r="F302" s="5"/>
      <c r="G302" s="10">
        <f>G303</f>
        <v>0</v>
      </c>
    </row>
    <row r="303" spans="1:7" ht="15.75" hidden="1" x14ac:dyDescent="0.25">
      <c r="A303" s="29" t="s">
        <v>274</v>
      </c>
      <c r="B303" s="40" t="s">
        <v>646</v>
      </c>
      <c r="C303" s="40" t="s">
        <v>491</v>
      </c>
      <c r="D303" s="40" t="s">
        <v>118</v>
      </c>
      <c r="E303" s="40" t="s">
        <v>275</v>
      </c>
      <c r="F303" s="5"/>
      <c r="G303" s="10">
        <f>G304</f>
        <v>0</v>
      </c>
    </row>
    <row r="304" spans="1:7" ht="47.25" hidden="1" x14ac:dyDescent="0.25">
      <c r="A304" s="70" t="s">
        <v>480</v>
      </c>
      <c r="B304" s="40" t="s">
        <v>646</v>
      </c>
      <c r="C304" s="40" t="s">
        <v>491</v>
      </c>
      <c r="D304" s="40" t="s">
        <v>118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278</v>
      </c>
      <c r="B305" s="40" t="s">
        <v>497</v>
      </c>
      <c r="C305" s="40" t="s">
        <v>491</v>
      </c>
      <c r="D305" s="40" t="s">
        <v>118</v>
      </c>
      <c r="E305" s="40"/>
      <c r="F305" s="5"/>
      <c r="G305" s="10" t="e">
        <f>G306</f>
        <v>#REF!</v>
      </c>
    </row>
    <row r="306" spans="1:8" ht="63" x14ac:dyDescent="0.25">
      <c r="A306" s="29" t="s">
        <v>272</v>
      </c>
      <c r="B306" s="40" t="s">
        <v>497</v>
      </c>
      <c r="C306" s="40" t="s">
        <v>491</v>
      </c>
      <c r="D306" s="40" t="s">
        <v>118</v>
      </c>
      <c r="E306" s="40" t="s">
        <v>273</v>
      </c>
      <c r="F306" s="5"/>
      <c r="G306" s="10" t="e">
        <f>G307</f>
        <v>#REF!</v>
      </c>
    </row>
    <row r="307" spans="1:8" ht="15.75" x14ac:dyDescent="0.25">
      <c r="A307" s="29" t="s">
        <v>274</v>
      </c>
      <c r="B307" s="40" t="s">
        <v>497</v>
      </c>
      <c r="C307" s="40" t="s">
        <v>491</v>
      </c>
      <c r="D307" s="40" t="s">
        <v>118</v>
      </c>
      <c r="E307" s="40" t="s">
        <v>275</v>
      </c>
      <c r="F307" s="5"/>
      <c r="G307" s="157" t="e">
        <f>'Пр.4 ведом.21'!#REF!</f>
        <v>#REF!</v>
      </c>
      <c r="H307" s="158" t="s">
        <v>731</v>
      </c>
    </row>
    <row r="308" spans="1:8" ht="47.25" x14ac:dyDescent="0.25">
      <c r="A308" s="46" t="s">
        <v>480</v>
      </c>
      <c r="B308" s="40" t="s">
        <v>494</v>
      </c>
      <c r="C308" s="40" t="s">
        <v>491</v>
      </c>
      <c r="D308" s="40" t="s">
        <v>118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280</v>
      </c>
      <c r="B309" s="40" t="s">
        <v>647</v>
      </c>
      <c r="C309" s="40" t="s">
        <v>491</v>
      </c>
      <c r="D309" s="40" t="s">
        <v>118</v>
      </c>
      <c r="E309" s="40"/>
      <c r="F309" s="5"/>
      <c r="G309" s="10">
        <f>G310</f>
        <v>0</v>
      </c>
    </row>
    <row r="310" spans="1:8" ht="63" hidden="1" x14ac:dyDescent="0.25">
      <c r="A310" s="29" t="s">
        <v>272</v>
      </c>
      <c r="B310" s="40" t="s">
        <v>647</v>
      </c>
      <c r="C310" s="40" t="s">
        <v>491</v>
      </c>
      <c r="D310" s="40" t="s">
        <v>118</v>
      </c>
      <c r="E310" s="40" t="s">
        <v>273</v>
      </c>
      <c r="F310" s="5"/>
      <c r="G310" s="10">
        <f>G311</f>
        <v>0</v>
      </c>
    </row>
    <row r="311" spans="1:8" ht="15.75" hidden="1" x14ac:dyDescent="0.25">
      <c r="A311" s="29" t="s">
        <v>274</v>
      </c>
      <c r="B311" s="40" t="s">
        <v>647</v>
      </c>
      <c r="C311" s="40" t="s">
        <v>491</v>
      </c>
      <c r="D311" s="40" t="s">
        <v>118</v>
      </c>
      <c r="E311" s="40" t="s">
        <v>275</v>
      </c>
      <c r="F311" s="5"/>
      <c r="G311" s="10"/>
    </row>
    <row r="312" spans="1:8" ht="47.25" hidden="1" x14ac:dyDescent="0.25">
      <c r="A312" s="46" t="s">
        <v>480</v>
      </c>
      <c r="B312" s="40" t="s">
        <v>647</v>
      </c>
      <c r="C312" s="40" t="s">
        <v>491</v>
      </c>
      <c r="D312" s="40" t="s">
        <v>118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284</v>
      </c>
      <c r="B313" s="40" t="s">
        <v>648</v>
      </c>
      <c r="C313" s="40" t="s">
        <v>491</v>
      </c>
      <c r="D313" s="40" t="s">
        <v>118</v>
      </c>
      <c r="E313" s="40"/>
      <c r="F313" s="5"/>
      <c r="G313" s="10">
        <f>G314</f>
        <v>0</v>
      </c>
    </row>
    <row r="314" spans="1:8" ht="63" hidden="1" x14ac:dyDescent="0.25">
      <c r="A314" s="29" t="s">
        <v>272</v>
      </c>
      <c r="B314" s="40" t="s">
        <v>648</v>
      </c>
      <c r="C314" s="40" t="s">
        <v>491</v>
      </c>
      <c r="D314" s="40" t="s">
        <v>118</v>
      </c>
      <c r="E314" s="40" t="s">
        <v>273</v>
      </c>
      <c r="F314" s="5"/>
      <c r="G314" s="10">
        <f>G315</f>
        <v>0</v>
      </c>
    </row>
    <row r="315" spans="1:8" ht="15.75" hidden="1" x14ac:dyDescent="0.25">
      <c r="A315" s="29" t="s">
        <v>274</v>
      </c>
      <c r="B315" s="40" t="s">
        <v>648</v>
      </c>
      <c r="C315" s="40" t="s">
        <v>491</v>
      </c>
      <c r="D315" s="40" t="s">
        <v>118</v>
      </c>
      <c r="E315" s="40" t="s">
        <v>275</v>
      </c>
      <c r="F315" s="5"/>
      <c r="G315" s="10"/>
    </row>
    <row r="316" spans="1:8" ht="47.25" hidden="1" x14ac:dyDescent="0.25">
      <c r="A316" s="46" t="s">
        <v>480</v>
      </c>
      <c r="B316" s="40" t="s">
        <v>648</v>
      </c>
      <c r="C316" s="40" t="s">
        <v>491</v>
      </c>
      <c r="D316" s="40" t="s">
        <v>118</v>
      </c>
      <c r="E316" s="40"/>
      <c r="F316" s="5">
        <v>907</v>
      </c>
      <c r="G316" s="10">
        <v>0</v>
      </c>
    </row>
    <row r="317" spans="1:8" ht="63" x14ac:dyDescent="0.25">
      <c r="A317" s="58" t="s">
        <v>501</v>
      </c>
      <c r="B317" s="7" t="s">
        <v>502</v>
      </c>
      <c r="C317" s="7"/>
      <c r="D317" s="7"/>
      <c r="E317" s="7"/>
      <c r="F317" s="172"/>
      <c r="G317" s="4" t="e">
        <f>G318</f>
        <v>#REF!</v>
      </c>
    </row>
    <row r="318" spans="1:8" ht="15.75" x14ac:dyDescent="0.25">
      <c r="A318" s="29" t="s">
        <v>490</v>
      </c>
      <c r="B318" s="40" t="s">
        <v>502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500</v>
      </c>
      <c r="B319" s="40" t="s">
        <v>502</v>
      </c>
      <c r="C319" s="40" t="s">
        <v>491</v>
      </c>
      <c r="D319" s="40" t="s">
        <v>234</v>
      </c>
      <c r="E319" s="40"/>
      <c r="F319" s="5"/>
      <c r="G319" s="6" t="e">
        <f>G320</f>
        <v>#REF!</v>
      </c>
    </row>
    <row r="320" spans="1:8" ht="47.25" x14ac:dyDescent="0.25">
      <c r="A320" s="29" t="s">
        <v>157</v>
      </c>
      <c r="B320" s="40" t="s">
        <v>503</v>
      </c>
      <c r="C320" s="40" t="s">
        <v>491</v>
      </c>
      <c r="D320" s="40" t="s">
        <v>234</v>
      </c>
      <c r="E320" s="40"/>
      <c r="F320" s="5"/>
      <c r="G320" s="6" t="e">
        <f>G323+G321</f>
        <v>#REF!</v>
      </c>
    </row>
    <row r="321" spans="1:7" ht="110.25" x14ac:dyDescent="0.25">
      <c r="A321" s="25" t="s">
        <v>127</v>
      </c>
      <c r="B321" s="40" t="s">
        <v>503</v>
      </c>
      <c r="C321" s="40" t="s">
        <v>491</v>
      </c>
      <c r="D321" s="40" t="s">
        <v>234</v>
      </c>
      <c r="E321" s="40" t="s">
        <v>128</v>
      </c>
      <c r="F321" s="5"/>
      <c r="G321" s="6" t="e">
        <f>G322</f>
        <v>#REF!</v>
      </c>
    </row>
    <row r="322" spans="1:7" ht="55.5" customHeight="1" x14ac:dyDescent="0.25">
      <c r="A322" s="25" t="s">
        <v>129</v>
      </c>
      <c r="B322" s="40" t="s">
        <v>503</v>
      </c>
      <c r="C322" s="40" t="s">
        <v>491</v>
      </c>
      <c r="D322" s="40" t="s">
        <v>234</v>
      </c>
      <c r="E322" s="40" t="s">
        <v>130</v>
      </c>
      <c r="F322" s="5"/>
      <c r="G322" s="6" t="e">
        <f>'Пр.4 ведом.21'!#REF!</f>
        <v>#REF!</v>
      </c>
    </row>
    <row r="323" spans="1:7" ht="47.25" x14ac:dyDescent="0.25">
      <c r="A323" s="29" t="s">
        <v>131</v>
      </c>
      <c r="B323" s="40" t="s">
        <v>503</v>
      </c>
      <c r="C323" s="40" t="s">
        <v>491</v>
      </c>
      <c r="D323" s="40" t="s">
        <v>234</v>
      </c>
      <c r="E323" s="40" t="s">
        <v>132</v>
      </c>
      <c r="F323" s="5"/>
      <c r="G323" s="6" t="e">
        <f>G324</f>
        <v>#REF!</v>
      </c>
    </row>
    <row r="324" spans="1:7" ht="47.25" x14ac:dyDescent="0.25">
      <c r="A324" s="29" t="s">
        <v>133</v>
      </c>
      <c r="B324" s="40" t="s">
        <v>503</v>
      </c>
      <c r="C324" s="40" t="s">
        <v>491</v>
      </c>
      <c r="D324" s="40" t="s">
        <v>234</v>
      </c>
      <c r="E324" s="40" t="s">
        <v>134</v>
      </c>
      <c r="F324" s="5"/>
      <c r="G324" s="6" t="e">
        <f>'Пр.4 ведом.21'!#REF!</f>
        <v>#REF!</v>
      </c>
    </row>
    <row r="325" spans="1:7" ht="47.25" x14ac:dyDescent="0.25">
      <c r="A325" s="70" t="s">
        <v>480</v>
      </c>
      <c r="B325" s="40" t="s">
        <v>502</v>
      </c>
      <c r="C325" s="40" t="s">
        <v>491</v>
      </c>
      <c r="D325" s="40" t="s">
        <v>234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266</v>
      </c>
      <c r="B326" s="7" t="s">
        <v>267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268</v>
      </c>
      <c r="B327" s="7" t="s">
        <v>269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263</v>
      </c>
      <c r="B328" s="40" t="s">
        <v>269</v>
      </c>
      <c r="C328" s="40" t="s">
        <v>264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425</v>
      </c>
      <c r="B329" s="40" t="s">
        <v>269</v>
      </c>
      <c r="C329" s="40" t="s">
        <v>264</v>
      </c>
      <c r="D329" s="40" t="s">
        <v>215</v>
      </c>
      <c r="E329" s="72"/>
      <c r="F329" s="3"/>
      <c r="G329" s="10" t="e">
        <f>G330+G345</f>
        <v>#REF!</v>
      </c>
    </row>
    <row r="330" spans="1:7" ht="63" x14ac:dyDescent="0.25">
      <c r="A330" s="29" t="s">
        <v>270</v>
      </c>
      <c r="B330" s="40" t="s">
        <v>271</v>
      </c>
      <c r="C330" s="40" t="s">
        <v>264</v>
      </c>
      <c r="D330" s="40" t="s">
        <v>215</v>
      </c>
      <c r="E330" s="72"/>
      <c r="F330" s="3"/>
      <c r="G330" s="10" t="e">
        <f>G331</f>
        <v>#REF!</v>
      </c>
    </row>
    <row r="331" spans="1:7" ht="63" x14ac:dyDescent="0.25">
      <c r="A331" s="29" t="s">
        <v>272</v>
      </c>
      <c r="B331" s="40" t="s">
        <v>271</v>
      </c>
      <c r="C331" s="40" t="s">
        <v>264</v>
      </c>
      <c r="D331" s="40" t="s">
        <v>215</v>
      </c>
      <c r="E331" s="40" t="s">
        <v>273</v>
      </c>
      <c r="F331" s="3"/>
      <c r="G331" s="10" t="e">
        <f>G332</f>
        <v>#REF!</v>
      </c>
    </row>
    <row r="332" spans="1:7" ht="15.75" x14ac:dyDescent="0.25">
      <c r="A332" s="29" t="s">
        <v>274</v>
      </c>
      <c r="B332" s="40" t="s">
        <v>271</v>
      </c>
      <c r="C332" s="40" t="s">
        <v>264</v>
      </c>
      <c r="D332" s="40" t="s">
        <v>215</v>
      </c>
      <c r="E332" s="40" t="s">
        <v>275</v>
      </c>
      <c r="F332" s="3"/>
      <c r="G332" s="6" t="e">
        <f>'Пр.4 ведом.21'!#REF!</f>
        <v>#REF!</v>
      </c>
    </row>
    <row r="333" spans="1:7" ht="63" hidden="1" x14ac:dyDescent="0.25">
      <c r="A333" s="29" t="s">
        <v>276</v>
      </c>
      <c r="B333" s="40" t="s">
        <v>649</v>
      </c>
      <c r="C333" s="40" t="s">
        <v>264</v>
      </c>
      <c r="D333" s="40" t="s">
        <v>215</v>
      </c>
      <c r="E333" s="40"/>
      <c r="F333" s="3"/>
      <c r="G333" s="10">
        <f>G334</f>
        <v>0</v>
      </c>
    </row>
    <row r="334" spans="1:7" ht="63" hidden="1" x14ac:dyDescent="0.25">
      <c r="A334" s="29" t="s">
        <v>272</v>
      </c>
      <c r="B334" s="40" t="s">
        <v>649</v>
      </c>
      <c r="C334" s="40" t="s">
        <v>264</v>
      </c>
      <c r="D334" s="40" t="s">
        <v>215</v>
      </c>
      <c r="E334" s="40" t="s">
        <v>273</v>
      </c>
      <c r="F334" s="3"/>
      <c r="G334" s="10">
        <f>G335</f>
        <v>0</v>
      </c>
    </row>
    <row r="335" spans="1:7" ht="15.75" hidden="1" x14ac:dyDescent="0.25">
      <c r="A335" s="29" t="s">
        <v>274</v>
      </c>
      <c r="B335" s="40" t="s">
        <v>649</v>
      </c>
      <c r="C335" s="40" t="s">
        <v>264</v>
      </c>
      <c r="D335" s="40" t="s">
        <v>215</v>
      </c>
      <c r="E335" s="40" t="s">
        <v>275</v>
      </c>
      <c r="F335" s="3"/>
      <c r="G335" s="10"/>
    </row>
    <row r="336" spans="1:7" ht="63" hidden="1" x14ac:dyDescent="0.25">
      <c r="A336" s="45" t="s">
        <v>261</v>
      </c>
      <c r="B336" s="40" t="s">
        <v>649</v>
      </c>
      <c r="C336" s="40" t="s">
        <v>264</v>
      </c>
      <c r="D336" s="40" t="s">
        <v>215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278</v>
      </c>
      <c r="B337" s="40" t="s">
        <v>650</v>
      </c>
      <c r="C337" s="40" t="s">
        <v>264</v>
      </c>
      <c r="D337" s="40" t="s">
        <v>215</v>
      </c>
      <c r="E337" s="40"/>
      <c r="F337" s="3"/>
      <c r="G337" s="10">
        <f>G338</f>
        <v>0</v>
      </c>
    </row>
    <row r="338" spans="1:7" ht="63" hidden="1" x14ac:dyDescent="0.25">
      <c r="A338" s="29" t="s">
        <v>272</v>
      </c>
      <c r="B338" s="40" t="s">
        <v>650</v>
      </c>
      <c r="C338" s="40" t="s">
        <v>264</v>
      </c>
      <c r="D338" s="40" t="s">
        <v>215</v>
      </c>
      <c r="E338" s="40" t="s">
        <v>273</v>
      </c>
      <c r="F338" s="3"/>
      <c r="G338" s="10">
        <f>G339</f>
        <v>0</v>
      </c>
    </row>
    <row r="339" spans="1:7" ht="15.75" hidden="1" x14ac:dyDescent="0.25">
      <c r="A339" s="29" t="s">
        <v>274</v>
      </c>
      <c r="B339" s="40" t="s">
        <v>650</v>
      </c>
      <c r="C339" s="40" t="s">
        <v>264</v>
      </c>
      <c r="D339" s="40" t="s">
        <v>215</v>
      </c>
      <c r="E339" s="40" t="s">
        <v>275</v>
      </c>
      <c r="F339" s="3"/>
      <c r="G339" s="10"/>
    </row>
    <row r="340" spans="1:7" ht="63" hidden="1" x14ac:dyDescent="0.25">
      <c r="A340" s="45" t="s">
        <v>261</v>
      </c>
      <c r="B340" s="40" t="s">
        <v>650</v>
      </c>
      <c r="C340" s="40" t="s">
        <v>264</v>
      </c>
      <c r="D340" s="40" t="s">
        <v>215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280</v>
      </c>
      <c r="B341" s="40" t="s">
        <v>651</v>
      </c>
      <c r="C341" s="40" t="s">
        <v>264</v>
      </c>
      <c r="D341" s="40" t="s">
        <v>215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272</v>
      </c>
      <c r="B342" s="40" t="s">
        <v>651</v>
      </c>
      <c r="C342" s="40" t="s">
        <v>264</v>
      </c>
      <c r="D342" s="40" t="s">
        <v>215</v>
      </c>
      <c r="E342" s="40" t="s">
        <v>273</v>
      </c>
      <c r="F342" s="3"/>
      <c r="G342" s="10">
        <f>G343</f>
        <v>0</v>
      </c>
    </row>
    <row r="343" spans="1:7" ht="15.75" hidden="1" x14ac:dyDescent="0.25">
      <c r="A343" s="29" t="s">
        <v>274</v>
      </c>
      <c r="B343" s="40" t="s">
        <v>651</v>
      </c>
      <c r="C343" s="40" t="s">
        <v>264</v>
      </c>
      <c r="D343" s="40" t="s">
        <v>215</v>
      </c>
      <c r="E343" s="40" t="s">
        <v>275</v>
      </c>
      <c r="F343" s="3"/>
      <c r="G343" s="10"/>
    </row>
    <row r="344" spans="1:7" ht="63" hidden="1" x14ac:dyDescent="0.25">
      <c r="A344" s="45" t="s">
        <v>261</v>
      </c>
      <c r="B344" s="40" t="s">
        <v>651</v>
      </c>
      <c r="C344" s="40" t="s">
        <v>264</v>
      </c>
      <c r="D344" s="40" t="s">
        <v>215</v>
      </c>
      <c r="E344" s="40"/>
      <c r="F344" s="2">
        <v>903</v>
      </c>
      <c r="G344" s="10">
        <v>0</v>
      </c>
    </row>
    <row r="345" spans="1:7" ht="47.25" x14ac:dyDescent="0.25">
      <c r="A345" s="29" t="s">
        <v>282</v>
      </c>
      <c r="B345" s="40" t="s">
        <v>283</v>
      </c>
      <c r="C345" s="40" t="s">
        <v>264</v>
      </c>
      <c r="D345" s="40" t="s">
        <v>215</v>
      </c>
      <c r="E345" s="40"/>
      <c r="F345" s="3"/>
      <c r="G345" s="10" t="e">
        <f>G346</f>
        <v>#REF!</v>
      </c>
    </row>
    <row r="346" spans="1:7" ht="63" x14ac:dyDescent="0.25">
      <c r="A346" s="29" t="s">
        <v>272</v>
      </c>
      <c r="B346" s="40" t="s">
        <v>283</v>
      </c>
      <c r="C346" s="40" t="s">
        <v>264</v>
      </c>
      <c r="D346" s="40" t="s">
        <v>215</v>
      </c>
      <c r="E346" s="40" t="s">
        <v>273</v>
      </c>
      <c r="F346" s="3"/>
      <c r="G346" s="10" t="e">
        <f>G347</f>
        <v>#REF!</v>
      </c>
    </row>
    <row r="347" spans="1:7" ht="15.75" x14ac:dyDescent="0.25">
      <c r="A347" s="29" t="s">
        <v>274</v>
      </c>
      <c r="B347" s="40" t="s">
        <v>283</v>
      </c>
      <c r="C347" s="40" t="s">
        <v>264</v>
      </c>
      <c r="D347" s="40" t="s">
        <v>215</v>
      </c>
      <c r="E347" s="40" t="s">
        <v>275</v>
      </c>
      <c r="F347" s="3"/>
      <c r="G347" s="6" t="e">
        <f>'Пр.4 ведом.21'!#REF!</f>
        <v>#REF!</v>
      </c>
    </row>
    <row r="348" spans="1:7" ht="63" x14ac:dyDescent="0.25">
      <c r="A348" s="45" t="s">
        <v>261</v>
      </c>
      <c r="B348" s="40" t="s">
        <v>269</v>
      </c>
      <c r="C348" s="40" t="s">
        <v>264</v>
      </c>
      <c r="D348" s="40" t="s">
        <v>215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607</v>
      </c>
      <c r="B349" s="40" t="s">
        <v>608</v>
      </c>
      <c r="C349" s="40" t="s">
        <v>264</v>
      </c>
      <c r="D349" s="40" t="s">
        <v>213</v>
      </c>
      <c r="E349" s="40"/>
      <c r="F349" s="3"/>
      <c r="G349" s="10">
        <f>G350</f>
        <v>0</v>
      </c>
    </row>
    <row r="350" spans="1:7" ht="63" hidden="1" x14ac:dyDescent="0.25">
      <c r="A350" s="29" t="s">
        <v>272</v>
      </c>
      <c r="B350" s="40" t="s">
        <v>608</v>
      </c>
      <c r="C350" s="40" t="s">
        <v>264</v>
      </c>
      <c r="D350" s="40" t="s">
        <v>213</v>
      </c>
      <c r="E350" s="40" t="s">
        <v>273</v>
      </c>
      <c r="F350" s="3"/>
      <c r="G350" s="10">
        <f>G351</f>
        <v>0</v>
      </c>
    </row>
    <row r="351" spans="1:7" ht="15.75" hidden="1" x14ac:dyDescent="0.25">
      <c r="A351" s="29" t="s">
        <v>274</v>
      </c>
      <c r="B351" s="40" t="s">
        <v>608</v>
      </c>
      <c r="C351" s="40" t="s">
        <v>264</v>
      </c>
      <c r="D351" s="40" t="s">
        <v>213</v>
      </c>
      <c r="E351" s="40" t="s">
        <v>275</v>
      </c>
      <c r="F351" s="3"/>
      <c r="G351" s="10"/>
    </row>
    <row r="352" spans="1:7" ht="63" hidden="1" x14ac:dyDescent="0.25">
      <c r="A352" s="45" t="s">
        <v>261</v>
      </c>
      <c r="B352" s="40" t="s">
        <v>608</v>
      </c>
      <c r="C352" s="40" t="s">
        <v>264</v>
      </c>
      <c r="D352" s="40" t="s">
        <v>213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301</v>
      </c>
      <c r="B353" s="7" t="s">
        <v>302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298</v>
      </c>
      <c r="B354" s="40" t="s">
        <v>302</v>
      </c>
      <c r="C354" s="40" t="s">
        <v>299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300</v>
      </c>
      <c r="B355" s="40" t="s">
        <v>302</v>
      </c>
      <c r="C355" s="40" t="s">
        <v>299</v>
      </c>
      <c r="D355" s="40" t="s">
        <v>118</v>
      </c>
      <c r="E355" s="73"/>
      <c r="F355" s="2"/>
      <c r="G355" s="10" t="e">
        <f>G356+G363+G366</f>
        <v>#REF!</v>
      </c>
    </row>
    <row r="356" spans="1:7" ht="63" x14ac:dyDescent="0.25">
      <c r="A356" s="29" t="s">
        <v>303</v>
      </c>
      <c r="B356" s="40" t="s">
        <v>304</v>
      </c>
      <c r="C356" s="40" t="s">
        <v>299</v>
      </c>
      <c r="D356" s="40" t="s">
        <v>118</v>
      </c>
      <c r="E356" s="73"/>
      <c r="F356" s="2"/>
      <c r="G356" s="10" t="e">
        <f>G357</f>
        <v>#REF!</v>
      </c>
    </row>
    <row r="357" spans="1:7" ht="63" x14ac:dyDescent="0.25">
      <c r="A357" s="29" t="s">
        <v>272</v>
      </c>
      <c r="B357" s="40" t="s">
        <v>304</v>
      </c>
      <c r="C357" s="40" t="s">
        <v>299</v>
      </c>
      <c r="D357" s="40" t="s">
        <v>118</v>
      </c>
      <c r="E357" s="40" t="s">
        <v>273</v>
      </c>
      <c r="F357" s="2"/>
      <c r="G357" s="10" t="e">
        <f>G358</f>
        <v>#REF!</v>
      </c>
    </row>
    <row r="358" spans="1:7" ht="15.75" x14ac:dyDescent="0.25">
      <c r="A358" s="29" t="s">
        <v>274</v>
      </c>
      <c r="B358" s="40" t="s">
        <v>304</v>
      </c>
      <c r="C358" s="40" t="s">
        <v>299</v>
      </c>
      <c r="D358" s="40" t="s">
        <v>118</v>
      </c>
      <c r="E358" s="40" t="s">
        <v>275</v>
      </c>
      <c r="F358" s="2"/>
      <c r="G358" s="10" t="e">
        <f>'Пр.4 ведом.21'!#REF!</f>
        <v>#REF!</v>
      </c>
    </row>
    <row r="359" spans="1:7" ht="63" hidden="1" x14ac:dyDescent="0.25">
      <c r="A359" s="29" t="s">
        <v>276</v>
      </c>
      <c r="B359" s="40" t="s">
        <v>610</v>
      </c>
      <c r="C359" s="40" t="s">
        <v>299</v>
      </c>
      <c r="D359" s="40" t="s">
        <v>118</v>
      </c>
      <c r="E359" s="40"/>
      <c r="F359" s="2"/>
      <c r="G359" s="10">
        <f>G360</f>
        <v>0</v>
      </c>
    </row>
    <row r="360" spans="1:7" ht="63" hidden="1" x14ac:dyDescent="0.25">
      <c r="A360" s="29" t="s">
        <v>272</v>
      </c>
      <c r="B360" s="40" t="s">
        <v>610</v>
      </c>
      <c r="C360" s="40" t="s">
        <v>299</v>
      </c>
      <c r="D360" s="40" t="s">
        <v>118</v>
      </c>
      <c r="E360" s="40" t="s">
        <v>273</v>
      </c>
      <c r="F360" s="2"/>
      <c r="G360" s="10">
        <f>G361</f>
        <v>0</v>
      </c>
    </row>
    <row r="361" spans="1:7" ht="15.75" hidden="1" x14ac:dyDescent="0.25">
      <c r="A361" s="29" t="s">
        <v>274</v>
      </c>
      <c r="B361" s="40" t="s">
        <v>610</v>
      </c>
      <c r="C361" s="40" t="s">
        <v>299</v>
      </c>
      <c r="D361" s="40" t="s">
        <v>118</v>
      </c>
      <c r="E361" s="40" t="s">
        <v>275</v>
      </c>
      <c r="F361" s="2"/>
      <c r="G361" s="10"/>
    </row>
    <row r="362" spans="1:7" ht="63" hidden="1" x14ac:dyDescent="0.25">
      <c r="A362" s="45" t="s">
        <v>261</v>
      </c>
      <c r="B362" s="40" t="s">
        <v>610</v>
      </c>
      <c r="C362" s="40" t="s">
        <v>299</v>
      </c>
      <c r="D362" s="40" t="s">
        <v>118</v>
      </c>
      <c r="E362" s="40"/>
      <c r="F362" s="2">
        <v>903</v>
      </c>
      <c r="G362" s="10">
        <v>0</v>
      </c>
    </row>
    <row r="363" spans="1:7" ht="31.5" x14ac:dyDescent="0.25">
      <c r="A363" s="29" t="s">
        <v>612</v>
      </c>
      <c r="B363" s="40" t="s">
        <v>306</v>
      </c>
      <c r="C363" s="40" t="s">
        <v>299</v>
      </c>
      <c r="D363" s="40" t="s">
        <v>118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272</v>
      </c>
      <c r="B364" s="40" t="s">
        <v>306</v>
      </c>
      <c r="C364" s="40" t="s">
        <v>299</v>
      </c>
      <c r="D364" s="40" t="s">
        <v>118</v>
      </c>
      <c r="E364" s="40" t="s">
        <v>273</v>
      </c>
      <c r="F364" s="2"/>
      <c r="G364" s="10" t="e">
        <f>G365</f>
        <v>#REF!</v>
      </c>
    </row>
    <row r="365" spans="1:7" ht="15.75" x14ac:dyDescent="0.25">
      <c r="A365" s="29" t="s">
        <v>274</v>
      </c>
      <c r="B365" s="40" t="s">
        <v>306</v>
      </c>
      <c r="C365" s="40" t="s">
        <v>299</v>
      </c>
      <c r="D365" s="40" t="s">
        <v>118</v>
      </c>
      <c r="E365" s="40" t="s">
        <v>275</v>
      </c>
      <c r="F365" s="2"/>
      <c r="G365" s="10" t="e">
        <f>'Пр.4 ведом.21'!#REF!</f>
        <v>#REF!</v>
      </c>
    </row>
    <row r="366" spans="1:7" ht="31.5" x14ac:dyDescent="0.25">
      <c r="A366" s="29" t="s">
        <v>307</v>
      </c>
      <c r="B366" s="40" t="s">
        <v>308</v>
      </c>
      <c r="C366" s="40" t="s">
        <v>299</v>
      </c>
      <c r="D366" s="40" t="s">
        <v>118</v>
      </c>
      <c r="E366" s="40"/>
      <c r="F366" s="2"/>
      <c r="G366" s="10" t="e">
        <f>G367</f>
        <v>#REF!</v>
      </c>
    </row>
    <row r="367" spans="1:7" ht="63" x14ac:dyDescent="0.25">
      <c r="A367" s="29" t="s">
        <v>272</v>
      </c>
      <c r="B367" s="40" t="s">
        <v>308</v>
      </c>
      <c r="C367" s="40" t="s">
        <v>299</v>
      </c>
      <c r="D367" s="40" t="s">
        <v>118</v>
      </c>
      <c r="E367" s="40" t="s">
        <v>273</v>
      </c>
      <c r="F367" s="2"/>
      <c r="G367" s="10" t="e">
        <f>G368</f>
        <v>#REF!</v>
      </c>
    </row>
    <row r="368" spans="1:7" ht="15.75" x14ac:dyDescent="0.25">
      <c r="A368" s="29" t="s">
        <v>274</v>
      </c>
      <c r="B368" s="40" t="s">
        <v>308</v>
      </c>
      <c r="C368" s="40" t="s">
        <v>299</v>
      </c>
      <c r="D368" s="40" t="s">
        <v>118</v>
      </c>
      <c r="E368" s="40" t="s">
        <v>275</v>
      </c>
      <c r="F368" s="2"/>
      <c r="G368" s="10" t="e">
        <f>'Пр.4 ведом.21'!#REF!</f>
        <v>#REF!</v>
      </c>
    </row>
    <row r="369" spans="1:7" ht="63" x14ac:dyDescent="0.25">
      <c r="A369" s="45" t="s">
        <v>261</v>
      </c>
      <c r="B369" s="40" t="s">
        <v>302</v>
      </c>
      <c r="C369" s="40" t="s">
        <v>299</v>
      </c>
      <c r="D369" s="40" t="s">
        <v>118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284</v>
      </c>
      <c r="B370" s="40" t="s">
        <v>611</v>
      </c>
      <c r="C370" s="40" t="s">
        <v>299</v>
      </c>
      <c r="D370" s="40" t="s">
        <v>118</v>
      </c>
      <c r="E370" s="40"/>
      <c r="F370" s="2"/>
      <c r="G370" s="10">
        <f>G371</f>
        <v>0</v>
      </c>
    </row>
    <row r="371" spans="1:7" ht="63" hidden="1" x14ac:dyDescent="0.25">
      <c r="A371" s="29" t="s">
        <v>272</v>
      </c>
      <c r="B371" s="40" t="s">
        <v>611</v>
      </c>
      <c r="C371" s="40" t="s">
        <v>299</v>
      </c>
      <c r="D371" s="40" t="s">
        <v>118</v>
      </c>
      <c r="E371" s="40" t="s">
        <v>273</v>
      </c>
      <c r="F371" s="2"/>
      <c r="G371" s="10">
        <f>G372</f>
        <v>0</v>
      </c>
    </row>
    <row r="372" spans="1:7" ht="15.75" hidden="1" x14ac:dyDescent="0.25">
      <c r="A372" s="29" t="s">
        <v>274</v>
      </c>
      <c r="B372" s="40" t="s">
        <v>611</v>
      </c>
      <c r="C372" s="40" t="s">
        <v>299</v>
      </c>
      <c r="D372" s="40" t="s">
        <v>118</v>
      </c>
      <c r="E372" s="40" t="s">
        <v>275</v>
      </c>
      <c r="F372" s="2"/>
      <c r="G372" s="10"/>
    </row>
    <row r="373" spans="1:7" ht="63" hidden="1" x14ac:dyDescent="0.25">
      <c r="A373" s="45" t="s">
        <v>261</v>
      </c>
      <c r="B373" s="40" t="s">
        <v>611</v>
      </c>
      <c r="C373" s="40" t="s">
        <v>299</v>
      </c>
      <c r="D373" s="40" t="s">
        <v>118</v>
      </c>
      <c r="E373" s="40"/>
      <c r="F373" s="2">
        <v>903</v>
      </c>
      <c r="G373" s="10">
        <v>0</v>
      </c>
    </row>
    <row r="374" spans="1:7" ht="63" x14ac:dyDescent="0.25">
      <c r="A374" s="41" t="s">
        <v>312</v>
      </c>
      <c r="B374" s="7" t="s">
        <v>313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298</v>
      </c>
      <c r="B375" s="40" t="s">
        <v>313</v>
      </c>
      <c r="C375" s="40" t="s">
        <v>299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300</v>
      </c>
      <c r="B376" s="40" t="s">
        <v>313</v>
      </c>
      <c r="C376" s="40" t="s">
        <v>299</v>
      </c>
      <c r="D376" s="40" t="s">
        <v>118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303</v>
      </c>
      <c r="B377" s="40" t="s">
        <v>314</v>
      </c>
      <c r="C377" s="40" t="s">
        <v>299</v>
      </c>
      <c r="D377" s="40" t="s">
        <v>118</v>
      </c>
      <c r="E377" s="40"/>
      <c r="F377" s="74"/>
      <c r="G377" s="10" t="e">
        <f>G378</f>
        <v>#REF!</v>
      </c>
    </row>
    <row r="378" spans="1:7" ht="63" x14ac:dyDescent="0.25">
      <c r="A378" s="29" t="s">
        <v>272</v>
      </c>
      <c r="B378" s="40" t="s">
        <v>314</v>
      </c>
      <c r="C378" s="40" t="s">
        <v>299</v>
      </c>
      <c r="D378" s="40" t="s">
        <v>118</v>
      </c>
      <c r="E378" s="40" t="s">
        <v>273</v>
      </c>
      <c r="F378" s="74"/>
      <c r="G378" s="10" t="e">
        <f>G379</f>
        <v>#REF!</v>
      </c>
    </row>
    <row r="379" spans="1:7" ht="15.75" x14ac:dyDescent="0.25">
      <c r="A379" s="29" t="s">
        <v>274</v>
      </c>
      <c r="B379" s="40" t="s">
        <v>314</v>
      </c>
      <c r="C379" s="40" t="s">
        <v>299</v>
      </c>
      <c r="D379" s="40" t="s">
        <v>118</v>
      </c>
      <c r="E379" s="40" t="s">
        <v>275</v>
      </c>
      <c r="F379" s="74"/>
      <c r="G379" s="6" t="e">
        <f>'Пр.4 ведом.21'!#REF!</f>
        <v>#REF!</v>
      </c>
    </row>
    <row r="380" spans="1:7" ht="63" x14ac:dyDescent="0.25">
      <c r="A380" s="29" t="s">
        <v>276</v>
      </c>
      <c r="B380" s="40" t="s">
        <v>317</v>
      </c>
      <c r="C380" s="40" t="s">
        <v>299</v>
      </c>
      <c r="D380" s="40" t="s">
        <v>118</v>
      </c>
      <c r="E380" s="40"/>
      <c r="F380" s="74"/>
      <c r="G380" s="10" t="e">
        <f>G381</f>
        <v>#REF!</v>
      </c>
    </row>
    <row r="381" spans="1:7" ht="63" x14ac:dyDescent="0.25">
      <c r="A381" s="29" t="s">
        <v>272</v>
      </c>
      <c r="B381" s="40" t="s">
        <v>317</v>
      </c>
      <c r="C381" s="40" t="s">
        <v>299</v>
      </c>
      <c r="D381" s="40" t="s">
        <v>118</v>
      </c>
      <c r="E381" s="40" t="s">
        <v>273</v>
      </c>
      <c r="F381" s="74"/>
      <c r="G381" s="10" t="e">
        <f>G382</f>
        <v>#REF!</v>
      </c>
    </row>
    <row r="382" spans="1:7" ht="15.75" x14ac:dyDescent="0.25">
      <c r="A382" s="29" t="s">
        <v>274</v>
      </c>
      <c r="B382" s="40" t="s">
        <v>317</v>
      </c>
      <c r="C382" s="40" t="s">
        <v>299</v>
      </c>
      <c r="D382" s="40" t="s">
        <v>118</v>
      </c>
      <c r="E382" s="40" t="s">
        <v>275</v>
      </c>
      <c r="F382" s="74"/>
      <c r="G382" s="10" t="e">
        <f>'Пр.4 ведом.21'!#REF!</f>
        <v>#REF!</v>
      </c>
    </row>
    <row r="383" spans="1:7" ht="63" hidden="1" x14ac:dyDescent="0.25">
      <c r="A383" s="45" t="s">
        <v>261</v>
      </c>
      <c r="B383" s="40" t="s">
        <v>652</v>
      </c>
      <c r="C383" s="40" t="s">
        <v>299</v>
      </c>
      <c r="D383" s="40" t="s">
        <v>118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278</v>
      </c>
      <c r="B384" s="40" t="s">
        <v>318</v>
      </c>
      <c r="C384" s="40" t="s">
        <v>299</v>
      </c>
      <c r="D384" s="40" t="s">
        <v>118</v>
      </c>
      <c r="E384" s="40"/>
      <c r="F384" s="74"/>
      <c r="G384" s="10">
        <f>G385</f>
        <v>0</v>
      </c>
    </row>
    <row r="385" spans="1:7" ht="63" hidden="1" x14ac:dyDescent="0.25">
      <c r="A385" s="29" t="s">
        <v>272</v>
      </c>
      <c r="B385" s="40" t="s">
        <v>318</v>
      </c>
      <c r="C385" s="40" t="s">
        <v>299</v>
      </c>
      <c r="D385" s="40" t="s">
        <v>118</v>
      </c>
      <c r="E385" s="40" t="s">
        <v>273</v>
      </c>
      <c r="F385" s="74"/>
      <c r="G385" s="10">
        <f>G386</f>
        <v>0</v>
      </c>
    </row>
    <row r="386" spans="1:7" ht="35.450000000000003" hidden="1" customHeight="1" x14ac:dyDescent="0.25">
      <c r="A386" s="29" t="s">
        <v>274</v>
      </c>
      <c r="B386" s="40" t="s">
        <v>318</v>
      </c>
      <c r="C386" s="40" t="s">
        <v>299</v>
      </c>
      <c r="D386" s="40" t="s">
        <v>118</v>
      </c>
      <c r="E386" s="40" t="s">
        <v>275</v>
      </c>
      <c r="F386" s="74"/>
      <c r="G386" s="10"/>
    </row>
    <row r="387" spans="1:7" ht="63" hidden="1" x14ac:dyDescent="0.25">
      <c r="A387" s="45" t="s">
        <v>261</v>
      </c>
      <c r="B387" s="40" t="s">
        <v>318</v>
      </c>
      <c r="C387" s="40" t="s">
        <v>299</v>
      </c>
      <c r="D387" s="40" t="s">
        <v>118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653</v>
      </c>
      <c r="B388" s="40" t="s">
        <v>319</v>
      </c>
      <c r="C388" s="40" t="s">
        <v>299</v>
      </c>
      <c r="D388" s="40" t="s">
        <v>118</v>
      </c>
      <c r="E388" s="40"/>
      <c r="F388" s="74"/>
      <c r="G388" s="10">
        <f>G389</f>
        <v>0</v>
      </c>
    </row>
    <row r="389" spans="1:7" ht="63" hidden="1" x14ac:dyDescent="0.25">
      <c r="A389" s="29" t="s">
        <v>272</v>
      </c>
      <c r="B389" s="40" t="s">
        <v>319</v>
      </c>
      <c r="C389" s="40" t="s">
        <v>299</v>
      </c>
      <c r="D389" s="40" t="s">
        <v>118</v>
      </c>
      <c r="E389" s="40" t="s">
        <v>273</v>
      </c>
      <c r="F389" s="74"/>
      <c r="G389" s="10">
        <f>G390</f>
        <v>0</v>
      </c>
    </row>
    <row r="390" spans="1:7" ht="15.75" hidden="1" x14ac:dyDescent="0.25">
      <c r="A390" s="29" t="s">
        <v>274</v>
      </c>
      <c r="B390" s="40" t="s">
        <v>319</v>
      </c>
      <c r="C390" s="40" t="s">
        <v>299</v>
      </c>
      <c r="D390" s="40" t="s">
        <v>118</v>
      </c>
      <c r="E390" s="40" t="s">
        <v>275</v>
      </c>
      <c r="F390" s="74"/>
      <c r="G390" s="10"/>
    </row>
    <row r="391" spans="1:7" ht="63" hidden="1" x14ac:dyDescent="0.25">
      <c r="A391" s="45" t="s">
        <v>261</v>
      </c>
      <c r="B391" s="40" t="s">
        <v>319</v>
      </c>
      <c r="C391" s="40" t="s">
        <v>299</v>
      </c>
      <c r="D391" s="40" t="s">
        <v>118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284</v>
      </c>
      <c r="B392" s="40" t="s">
        <v>613</v>
      </c>
      <c r="C392" s="40" t="s">
        <v>299</v>
      </c>
      <c r="D392" s="40" t="s">
        <v>118</v>
      </c>
      <c r="E392" s="40"/>
      <c r="F392" s="74"/>
      <c r="G392" s="10">
        <f>G393</f>
        <v>0</v>
      </c>
    </row>
    <row r="393" spans="1:7" ht="63" hidden="1" x14ac:dyDescent="0.25">
      <c r="A393" s="29" t="s">
        <v>272</v>
      </c>
      <c r="B393" s="40" t="s">
        <v>613</v>
      </c>
      <c r="C393" s="40" t="s">
        <v>299</v>
      </c>
      <c r="D393" s="40" t="s">
        <v>118</v>
      </c>
      <c r="E393" s="40" t="s">
        <v>273</v>
      </c>
      <c r="F393" s="74"/>
      <c r="G393" s="10">
        <f>G394</f>
        <v>0</v>
      </c>
    </row>
    <row r="394" spans="1:7" ht="15.75" hidden="1" x14ac:dyDescent="0.25">
      <c r="A394" s="29" t="s">
        <v>274</v>
      </c>
      <c r="B394" s="40" t="s">
        <v>613</v>
      </c>
      <c r="C394" s="40" t="s">
        <v>299</v>
      </c>
      <c r="D394" s="40" t="s">
        <v>118</v>
      </c>
      <c r="E394" s="40" t="s">
        <v>275</v>
      </c>
      <c r="F394" s="74"/>
      <c r="G394" s="10"/>
    </row>
    <row r="395" spans="1:7" ht="63" hidden="1" x14ac:dyDescent="0.25">
      <c r="A395" s="45" t="s">
        <v>261</v>
      </c>
      <c r="B395" s="40" t="s">
        <v>613</v>
      </c>
      <c r="C395" s="40" t="s">
        <v>299</v>
      </c>
      <c r="D395" s="40" t="s">
        <v>118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654</v>
      </c>
      <c r="B396" s="40" t="s">
        <v>316</v>
      </c>
      <c r="C396" s="40" t="s">
        <v>299</v>
      </c>
      <c r="D396" s="40" t="s">
        <v>118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131</v>
      </c>
      <c r="B397" s="40" t="s">
        <v>316</v>
      </c>
      <c r="C397" s="40" t="s">
        <v>299</v>
      </c>
      <c r="D397" s="40" t="s">
        <v>118</v>
      </c>
      <c r="E397" s="40" t="s">
        <v>132</v>
      </c>
      <c r="F397" s="2"/>
      <c r="G397" s="10">
        <f>G398</f>
        <v>0</v>
      </c>
    </row>
    <row r="398" spans="1:7" ht="47.25" hidden="1" x14ac:dyDescent="0.25">
      <c r="A398" s="29" t="s">
        <v>133</v>
      </c>
      <c r="B398" s="40" t="s">
        <v>316</v>
      </c>
      <c r="C398" s="40" t="s">
        <v>299</v>
      </c>
      <c r="D398" s="40" t="s">
        <v>118</v>
      </c>
      <c r="E398" s="40" t="s">
        <v>134</v>
      </c>
      <c r="F398" s="2"/>
      <c r="G398" s="10">
        <v>0</v>
      </c>
    </row>
    <row r="399" spans="1:7" ht="62.45" customHeight="1" x14ac:dyDescent="0.25">
      <c r="A399" s="29" t="s">
        <v>272</v>
      </c>
      <c r="B399" s="40" t="s">
        <v>316</v>
      </c>
      <c r="C399" s="40" t="s">
        <v>299</v>
      </c>
      <c r="D399" s="40" t="s">
        <v>118</v>
      </c>
      <c r="E399" s="40" t="s">
        <v>273</v>
      </c>
      <c r="F399" s="2"/>
      <c r="G399" s="10" t="e">
        <f>G400</f>
        <v>#REF!</v>
      </c>
    </row>
    <row r="400" spans="1:7" ht="15.75" x14ac:dyDescent="0.25">
      <c r="A400" s="29" t="s">
        <v>274</v>
      </c>
      <c r="B400" s="40" t="s">
        <v>316</v>
      </c>
      <c r="C400" s="40" t="s">
        <v>299</v>
      </c>
      <c r="D400" s="40" t="s">
        <v>118</v>
      </c>
      <c r="E400" s="40" t="s">
        <v>275</v>
      </c>
      <c r="F400" s="2"/>
      <c r="G400" s="10" t="e">
        <f>'Пр.4 ведом.21'!#REF!</f>
        <v>#REF!</v>
      </c>
    </row>
    <row r="401" spans="1:7" ht="15.75" x14ac:dyDescent="0.25">
      <c r="A401" s="25" t="s">
        <v>683</v>
      </c>
      <c r="B401" s="20" t="s">
        <v>684</v>
      </c>
      <c r="C401" s="40" t="s">
        <v>299</v>
      </c>
      <c r="D401" s="40" t="s">
        <v>118</v>
      </c>
      <c r="E401" s="40"/>
      <c r="F401" s="2"/>
      <c r="G401" s="10" t="e">
        <f>G402</f>
        <v>#REF!</v>
      </c>
    </row>
    <row r="402" spans="1:7" ht="63" x14ac:dyDescent="0.25">
      <c r="A402" s="25" t="s">
        <v>272</v>
      </c>
      <c r="B402" s="20" t="s">
        <v>684</v>
      </c>
      <c r="C402" s="40" t="s">
        <v>299</v>
      </c>
      <c r="D402" s="40" t="s">
        <v>118</v>
      </c>
      <c r="E402" s="40" t="s">
        <v>273</v>
      </c>
      <c r="F402" s="2"/>
      <c r="G402" s="10" t="e">
        <f>G403</f>
        <v>#REF!</v>
      </c>
    </row>
    <row r="403" spans="1:7" ht="15.75" x14ac:dyDescent="0.25">
      <c r="A403" s="25" t="s">
        <v>274</v>
      </c>
      <c r="B403" s="20" t="s">
        <v>684</v>
      </c>
      <c r="C403" s="40" t="s">
        <v>299</v>
      </c>
      <c r="D403" s="40" t="s">
        <v>118</v>
      </c>
      <c r="E403" s="40" t="s">
        <v>275</v>
      </c>
      <c r="F403" s="2"/>
      <c r="G403" s="10" t="e">
        <f>'Пр.4 ведом.21'!#REF!</f>
        <v>#REF!</v>
      </c>
    </row>
    <row r="404" spans="1:7" ht="63" x14ac:dyDescent="0.25">
      <c r="A404" s="45" t="s">
        <v>261</v>
      </c>
      <c r="B404" s="40" t="s">
        <v>313</v>
      </c>
      <c r="C404" s="40" t="s">
        <v>299</v>
      </c>
      <c r="D404" s="40" t="s">
        <v>118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321</v>
      </c>
      <c r="B405" s="40" t="s">
        <v>322</v>
      </c>
      <c r="C405" s="40" t="s">
        <v>299</v>
      </c>
      <c r="D405" s="40" t="s">
        <v>118</v>
      </c>
      <c r="E405" s="40"/>
      <c r="F405" s="2"/>
      <c r="G405" s="10">
        <f>G406</f>
        <v>0</v>
      </c>
    </row>
    <row r="406" spans="1:7" ht="63" hidden="1" x14ac:dyDescent="0.25">
      <c r="A406" s="29" t="s">
        <v>272</v>
      </c>
      <c r="B406" s="40" t="s">
        <v>322</v>
      </c>
      <c r="C406" s="40" t="s">
        <v>299</v>
      </c>
      <c r="D406" s="40" t="s">
        <v>118</v>
      </c>
      <c r="E406" s="40" t="s">
        <v>273</v>
      </c>
      <c r="F406" s="2"/>
      <c r="G406" s="10"/>
    </row>
    <row r="407" spans="1:7" ht="15.75" hidden="1" x14ac:dyDescent="0.25">
      <c r="A407" s="29" t="s">
        <v>274</v>
      </c>
      <c r="B407" s="40" t="s">
        <v>322</v>
      </c>
      <c r="C407" s="40" t="s">
        <v>299</v>
      </c>
      <c r="D407" s="40" t="s">
        <v>118</v>
      </c>
      <c r="E407" s="40" t="s">
        <v>275</v>
      </c>
      <c r="F407" s="2"/>
      <c r="G407" s="10"/>
    </row>
    <row r="408" spans="1:7" ht="63" hidden="1" x14ac:dyDescent="0.25">
      <c r="A408" s="45" t="s">
        <v>261</v>
      </c>
      <c r="B408" s="40" t="s">
        <v>322</v>
      </c>
      <c r="C408" s="40" t="s">
        <v>299</v>
      </c>
      <c r="D408" s="40" t="s">
        <v>118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323</v>
      </c>
      <c r="B409" s="7" t="s">
        <v>324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298</v>
      </c>
      <c r="B410" s="40" t="s">
        <v>324</v>
      </c>
      <c r="C410" s="40" t="s">
        <v>299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300</v>
      </c>
      <c r="B411" s="40" t="s">
        <v>324</v>
      </c>
      <c r="C411" s="40" t="s">
        <v>299</v>
      </c>
      <c r="D411" s="40" t="s">
        <v>118</v>
      </c>
      <c r="E411" s="73"/>
      <c r="F411" s="73"/>
      <c r="G411" s="10" t="e">
        <f>G412</f>
        <v>#REF!</v>
      </c>
    </row>
    <row r="412" spans="1:7" ht="63" x14ac:dyDescent="0.25">
      <c r="A412" s="29" t="s">
        <v>325</v>
      </c>
      <c r="B412" s="40" t="s">
        <v>326</v>
      </c>
      <c r="C412" s="40" t="s">
        <v>299</v>
      </c>
      <c r="D412" s="40" t="s">
        <v>118</v>
      </c>
      <c r="E412" s="73"/>
      <c r="F412" s="73"/>
      <c r="G412" s="10" t="e">
        <f>G413</f>
        <v>#REF!</v>
      </c>
    </row>
    <row r="413" spans="1:7" ht="63" x14ac:dyDescent="0.25">
      <c r="A413" s="25" t="s">
        <v>272</v>
      </c>
      <c r="B413" s="40" t="s">
        <v>326</v>
      </c>
      <c r="C413" s="40" t="s">
        <v>299</v>
      </c>
      <c r="D413" s="40" t="s">
        <v>118</v>
      </c>
      <c r="E413" s="40" t="s">
        <v>273</v>
      </c>
      <c r="F413" s="73"/>
      <c r="G413" s="10" t="e">
        <f>G414</f>
        <v>#REF!</v>
      </c>
    </row>
    <row r="414" spans="1:7" ht="15.75" x14ac:dyDescent="0.25">
      <c r="A414" s="25" t="s">
        <v>274</v>
      </c>
      <c r="B414" s="40" t="s">
        <v>326</v>
      </c>
      <c r="C414" s="40" t="s">
        <v>299</v>
      </c>
      <c r="D414" s="40" t="s">
        <v>118</v>
      </c>
      <c r="E414" s="40" t="s">
        <v>275</v>
      </c>
      <c r="F414" s="73"/>
      <c r="G414" s="10" t="e">
        <f>'Пр.4 ведом.21'!#REF!</f>
        <v>#REF!</v>
      </c>
    </row>
    <row r="415" spans="1:7" ht="63" hidden="1" x14ac:dyDescent="0.25">
      <c r="A415" s="45" t="s">
        <v>655</v>
      </c>
      <c r="B415" s="40" t="s">
        <v>326</v>
      </c>
      <c r="C415" s="40" t="s">
        <v>299</v>
      </c>
      <c r="D415" s="40" t="s">
        <v>118</v>
      </c>
      <c r="E415" s="40"/>
      <c r="F415" s="73"/>
      <c r="G415" s="10">
        <f>G416</f>
        <v>0</v>
      </c>
    </row>
    <row r="416" spans="1:7" ht="63" hidden="1" x14ac:dyDescent="0.25">
      <c r="A416" s="29" t="s">
        <v>272</v>
      </c>
      <c r="B416" s="40" t="s">
        <v>326</v>
      </c>
      <c r="C416" s="40" t="s">
        <v>299</v>
      </c>
      <c r="D416" s="40" t="s">
        <v>118</v>
      </c>
      <c r="E416" s="40" t="s">
        <v>273</v>
      </c>
      <c r="F416" s="73"/>
      <c r="G416" s="10">
        <f>G417</f>
        <v>0</v>
      </c>
    </row>
    <row r="417" spans="1:7" ht="15.75" hidden="1" x14ac:dyDescent="0.25">
      <c r="A417" s="29" t="s">
        <v>274</v>
      </c>
      <c r="B417" s="40" t="s">
        <v>326</v>
      </c>
      <c r="C417" s="40" t="s">
        <v>299</v>
      </c>
      <c r="D417" s="40" t="s">
        <v>118</v>
      </c>
      <c r="E417" s="40" t="s">
        <v>275</v>
      </c>
      <c r="F417" s="73"/>
      <c r="G417" s="10"/>
    </row>
    <row r="418" spans="1:7" ht="63" x14ac:dyDescent="0.25">
      <c r="A418" s="45" t="s">
        <v>261</v>
      </c>
      <c r="B418" s="40" t="s">
        <v>324</v>
      </c>
      <c r="C418" s="40" t="s">
        <v>299</v>
      </c>
      <c r="D418" s="40" t="s">
        <v>118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542</v>
      </c>
      <c r="B419" s="7" t="s">
        <v>543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544</v>
      </c>
      <c r="B420" s="7" t="s">
        <v>545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390</v>
      </c>
      <c r="B421" s="40" t="s">
        <v>545</v>
      </c>
      <c r="C421" s="40" t="s">
        <v>234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541</v>
      </c>
      <c r="B422" s="40" t="s">
        <v>545</v>
      </c>
      <c r="C422" s="40" t="s">
        <v>234</v>
      </c>
      <c r="D422" s="40" t="s">
        <v>215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546</v>
      </c>
      <c r="B423" s="20" t="s">
        <v>547</v>
      </c>
      <c r="C423" s="40" t="s">
        <v>234</v>
      </c>
      <c r="D423" s="40" t="s">
        <v>215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131</v>
      </c>
      <c r="B424" s="20" t="s">
        <v>547</v>
      </c>
      <c r="C424" s="40" t="s">
        <v>234</v>
      </c>
      <c r="D424" s="40" t="s">
        <v>215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133</v>
      </c>
      <c r="B425" s="20" t="s">
        <v>547</v>
      </c>
      <c r="C425" s="40" t="s">
        <v>234</v>
      </c>
      <c r="D425" s="40" t="s">
        <v>215</v>
      </c>
      <c r="E425" s="2">
        <v>240</v>
      </c>
      <c r="F425" s="2"/>
      <c r="G425" s="10" t="e">
        <f>'Пр.4 ведом.21'!#REF!</f>
        <v>#REF!</v>
      </c>
    </row>
    <row r="426" spans="1:7" ht="31.7" customHeight="1" x14ac:dyDescent="0.25">
      <c r="A426" s="25" t="s">
        <v>548</v>
      </c>
      <c r="B426" s="20" t="s">
        <v>549</v>
      </c>
      <c r="C426" s="40" t="s">
        <v>234</v>
      </c>
      <c r="D426" s="40" t="s">
        <v>215</v>
      </c>
      <c r="E426" s="2"/>
      <c r="F426" s="2"/>
      <c r="G426" s="10" t="e">
        <f>G427</f>
        <v>#REF!</v>
      </c>
    </row>
    <row r="427" spans="1:7" ht="47.25" x14ac:dyDescent="0.25">
      <c r="A427" s="25" t="s">
        <v>131</v>
      </c>
      <c r="B427" s="20" t="s">
        <v>549</v>
      </c>
      <c r="C427" s="40" t="s">
        <v>234</v>
      </c>
      <c r="D427" s="40" t="s">
        <v>215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133</v>
      </c>
      <c r="B428" s="20" t="s">
        <v>549</v>
      </c>
      <c r="C428" s="40" t="s">
        <v>234</v>
      </c>
      <c r="D428" s="40" t="s">
        <v>215</v>
      </c>
      <c r="E428" s="2">
        <v>240</v>
      </c>
      <c r="F428" s="2"/>
      <c r="G428" s="10" t="e">
        <f>'Пр.4 ведом.21'!#REF!</f>
        <v>#REF!</v>
      </c>
    </row>
    <row r="429" spans="1:7" ht="31.5" x14ac:dyDescent="0.25">
      <c r="A429" s="25" t="s">
        <v>550</v>
      </c>
      <c r="B429" s="20" t="s">
        <v>551</v>
      </c>
      <c r="C429" s="40" t="s">
        <v>234</v>
      </c>
      <c r="D429" s="40" t="s">
        <v>215</v>
      </c>
      <c r="E429" s="2"/>
      <c r="F429" s="2"/>
      <c r="G429" s="10" t="e">
        <f>G430</f>
        <v>#REF!</v>
      </c>
    </row>
    <row r="430" spans="1:7" ht="47.25" x14ac:dyDescent="0.25">
      <c r="A430" s="25" t="s">
        <v>131</v>
      </c>
      <c r="B430" s="20" t="s">
        <v>551</v>
      </c>
      <c r="C430" s="40" t="s">
        <v>234</v>
      </c>
      <c r="D430" s="40" t="s">
        <v>215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133</v>
      </c>
      <c r="B431" s="20" t="s">
        <v>551</v>
      </c>
      <c r="C431" s="40" t="s">
        <v>234</v>
      </c>
      <c r="D431" s="40" t="s">
        <v>215</v>
      </c>
      <c r="E431" s="2">
        <v>240</v>
      </c>
      <c r="F431" s="2"/>
      <c r="G431" s="10" t="e">
        <f>'Пр.4 ведом.21'!#REF!</f>
        <v>#REF!</v>
      </c>
    </row>
    <row r="432" spans="1:7" ht="47.25" x14ac:dyDescent="0.25">
      <c r="A432" s="45" t="s">
        <v>623</v>
      </c>
      <c r="B432" s="40" t="s">
        <v>545</v>
      </c>
      <c r="C432" s="40" t="s">
        <v>234</v>
      </c>
      <c r="D432" s="40" t="s">
        <v>215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552</v>
      </c>
      <c r="B433" s="7" t="s">
        <v>553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390</v>
      </c>
      <c r="B434" s="40" t="s">
        <v>553</v>
      </c>
      <c r="C434" s="40" t="s">
        <v>234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541</v>
      </c>
      <c r="B435" s="40" t="s">
        <v>553</v>
      </c>
      <c r="C435" s="40" t="s">
        <v>234</v>
      </c>
      <c r="D435" s="40" t="s">
        <v>215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550</v>
      </c>
      <c r="B436" s="20" t="s">
        <v>554</v>
      </c>
      <c r="C436" s="40" t="s">
        <v>234</v>
      </c>
      <c r="D436" s="40" t="s">
        <v>215</v>
      </c>
      <c r="E436" s="2"/>
      <c r="F436" s="2"/>
      <c r="G436" s="10" t="e">
        <f>G437+G439</f>
        <v>#REF!</v>
      </c>
    </row>
    <row r="437" spans="1:7" ht="110.25" x14ac:dyDescent="0.25">
      <c r="A437" s="25" t="s">
        <v>127</v>
      </c>
      <c r="B437" s="20" t="s">
        <v>554</v>
      </c>
      <c r="C437" s="40" t="s">
        <v>234</v>
      </c>
      <c r="D437" s="40" t="s">
        <v>215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342</v>
      </c>
      <c r="B438" s="20" t="s">
        <v>554</v>
      </c>
      <c r="C438" s="40" t="s">
        <v>234</v>
      </c>
      <c r="D438" s="40" t="s">
        <v>215</v>
      </c>
      <c r="E438" s="2">
        <v>110</v>
      </c>
      <c r="F438" s="2"/>
      <c r="G438" s="10" t="e">
        <f>'Пр.4 ведом.21'!#REF!</f>
        <v>#REF!</v>
      </c>
    </row>
    <row r="439" spans="1:7" ht="47.25" x14ac:dyDescent="0.25">
      <c r="A439" s="25" t="s">
        <v>131</v>
      </c>
      <c r="B439" s="20" t="s">
        <v>554</v>
      </c>
      <c r="C439" s="40" t="s">
        <v>234</v>
      </c>
      <c r="D439" s="40" t="s">
        <v>215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133</v>
      </c>
      <c r="B440" s="20" t="s">
        <v>554</v>
      </c>
      <c r="C440" s="40" t="s">
        <v>234</v>
      </c>
      <c r="D440" s="40" t="s">
        <v>215</v>
      </c>
      <c r="E440" s="2">
        <v>240</v>
      </c>
      <c r="F440" s="2"/>
      <c r="G440" s="10" t="e">
        <f>'Пр.4 ведом.21'!#REF!</f>
        <v>#REF!</v>
      </c>
    </row>
    <row r="441" spans="1:7" ht="15.75" x14ac:dyDescent="0.25">
      <c r="A441" s="25" t="s">
        <v>555</v>
      </c>
      <c r="B441" s="20" t="s">
        <v>556</v>
      </c>
      <c r="C441" s="40" t="s">
        <v>234</v>
      </c>
      <c r="D441" s="40" t="s">
        <v>215</v>
      </c>
      <c r="E441" s="2"/>
      <c r="F441" s="2"/>
      <c r="G441" s="10" t="e">
        <f>G442</f>
        <v>#REF!</v>
      </c>
    </row>
    <row r="442" spans="1:7" ht="47.25" x14ac:dyDescent="0.25">
      <c r="A442" s="25" t="s">
        <v>131</v>
      </c>
      <c r="B442" s="20" t="s">
        <v>556</v>
      </c>
      <c r="C442" s="40" t="s">
        <v>234</v>
      </c>
      <c r="D442" s="40" t="s">
        <v>215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133</v>
      </c>
      <c r="B443" s="20" t="s">
        <v>556</v>
      </c>
      <c r="C443" s="40" t="s">
        <v>234</v>
      </c>
      <c r="D443" s="40" t="s">
        <v>215</v>
      </c>
      <c r="E443" s="2">
        <v>240</v>
      </c>
      <c r="F443" s="2"/>
      <c r="G443" s="10" t="e">
        <f>'Пр.4 ведом.21'!#REF!</f>
        <v>#REF!</v>
      </c>
    </row>
    <row r="444" spans="1:7" ht="63" x14ac:dyDescent="0.25">
      <c r="A444" s="98" t="s">
        <v>557</v>
      </c>
      <c r="B444" s="20" t="s">
        <v>558</v>
      </c>
      <c r="C444" s="40" t="s">
        <v>234</v>
      </c>
      <c r="D444" s="40" t="s">
        <v>215</v>
      </c>
      <c r="E444" s="2"/>
      <c r="F444" s="2"/>
      <c r="G444" s="10" t="e">
        <f>G445</f>
        <v>#REF!</v>
      </c>
    </row>
    <row r="445" spans="1:7" ht="47.25" x14ac:dyDescent="0.25">
      <c r="A445" s="25" t="s">
        <v>131</v>
      </c>
      <c r="B445" s="20" t="s">
        <v>558</v>
      </c>
      <c r="C445" s="40" t="s">
        <v>234</v>
      </c>
      <c r="D445" s="40" t="s">
        <v>215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133</v>
      </c>
      <c r="B446" s="20" t="s">
        <v>558</v>
      </c>
      <c r="C446" s="40" t="s">
        <v>234</v>
      </c>
      <c r="D446" s="40" t="s">
        <v>215</v>
      </c>
      <c r="E446" s="2">
        <v>240</v>
      </c>
      <c r="F446" s="2"/>
      <c r="G446" s="10" t="e">
        <f>'Пр.4 ведом.21'!#REF!</f>
        <v>#REF!</v>
      </c>
    </row>
    <row r="447" spans="1:7" ht="31.5" x14ac:dyDescent="0.25">
      <c r="A447" s="98" t="s">
        <v>559</v>
      </c>
      <c r="B447" s="20" t="s">
        <v>560</v>
      </c>
      <c r="C447" s="40" t="s">
        <v>234</v>
      </c>
      <c r="D447" s="40" t="s">
        <v>215</v>
      </c>
      <c r="E447" s="2"/>
      <c r="F447" s="2"/>
      <c r="G447" s="10" t="e">
        <f>G448</f>
        <v>#REF!</v>
      </c>
    </row>
    <row r="448" spans="1:7" ht="47.25" x14ac:dyDescent="0.25">
      <c r="A448" s="25" t="s">
        <v>131</v>
      </c>
      <c r="B448" s="20" t="s">
        <v>560</v>
      </c>
      <c r="C448" s="40" t="s">
        <v>234</v>
      </c>
      <c r="D448" s="40" t="s">
        <v>215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133</v>
      </c>
      <c r="B449" s="20" t="s">
        <v>560</v>
      </c>
      <c r="C449" s="40" t="s">
        <v>234</v>
      </c>
      <c r="D449" s="40" t="s">
        <v>215</v>
      </c>
      <c r="E449" s="2">
        <v>240</v>
      </c>
      <c r="F449" s="2"/>
      <c r="G449" s="10" t="e">
        <f>'Пр.4 ведом.21'!#REF!</f>
        <v>#REF!</v>
      </c>
    </row>
    <row r="450" spans="1:7" ht="47.25" x14ac:dyDescent="0.25">
      <c r="A450" s="45" t="s">
        <v>623</v>
      </c>
      <c r="B450" s="20" t="s">
        <v>553</v>
      </c>
      <c r="C450" s="40" t="s">
        <v>234</v>
      </c>
      <c r="D450" s="40" t="s">
        <v>215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181</v>
      </c>
      <c r="B451" s="172" t="s">
        <v>182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117</v>
      </c>
      <c r="B452" s="5" t="s">
        <v>182</v>
      </c>
      <c r="C452" s="40" t="s">
        <v>118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139</v>
      </c>
      <c r="B453" s="30" t="s">
        <v>182</v>
      </c>
      <c r="C453" s="40" t="s">
        <v>118</v>
      </c>
      <c r="D453" s="40" t="s">
        <v>140</v>
      </c>
      <c r="E453" s="40"/>
      <c r="F453" s="2"/>
      <c r="G453" s="10" t="e">
        <f>G454</f>
        <v>#REF!</v>
      </c>
    </row>
    <row r="454" spans="1:7" ht="47.25" x14ac:dyDescent="0.25">
      <c r="A454" s="29" t="s">
        <v>157</v>
      </c>
      <c r="B454" s="20" t="s">
        <v>183</v>
      </c>
      <c r="C454" s="40" t="s">
        <v>118</v>
      </c>
      <c r="D454" s="40" t="s">
        <v>140</v>
      </c>
      <c r="E454" s="40"/>
      <c r="F454" s="2"/>
      <c r="G454" s="10" t="e">
        <f>G455</f>
        <v>#REF!</v>
      </c>
    </row>
    <row r="455" spans="1:7" ht="47.25" x14ac:dyDescent="0.25">
      <c r="A455" s="29" t="s">
        <v>131</v>
      </c>
      <c r="B455" s="20" t="s">
        <v>183</v>
      </c>
      <c r="C455" s="40" t="s">
        <v>118</v>
      </c>
      <c r="D455" s="40" t="s">
        <v>140</v>
      </c>
      <c r="E455" s="40" t="s">
        <v>145</v>
      </c>
      <c r="F455" s="2"/>
      <c r="G455" s="10" t="e">
        <f>G456</f>
        <v>#REF!</v>
      </c>
    </row>
    <row r="456" spans="1:7" ht="78.75" x14ac:dyDescent="0.25">
      <c r="A456" s="29" t="s">
        <v>184</v>
      </c>
      <c r="B456" s="20" t="s">
        <v>183</v>
      </c>
      <c r="C456" s="40" t="s">
        <v>118</v>
      </c>
      <c r="D456" s="40" t="s">
        <v>140</v>
      </c>
      <c r="E456" s="40" t="s">
        <v>160</v>
      </c>
      <c r="F456" s="2"/>
      <c r="G456" s="10" t="e">
        <f>'Пр.4 ведом.21'!#REF!</f>
        <v>#REF!</v>
      </c>
    </row>
    <row r="457" spans="1:7" ht="31.5" x14ac:dyDescent="0.25">
      <c r="A457" s="29" t="s">
        <v>148</v>
      </c>
      <c r="B457" s="30" t="s">
        <v>182</v>
      </c>
      <c r="C457" s="40" t="s">
        <v>118</v>
      </c>
      <c r="D457" s="40" t="s">
        <v>140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656</v>
      </c>
      <c r="B458" s="7" t="s">
        <v>518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390</v>
      </c>
      <c r="B459" s="40" t="s">
        <v>518</v>
      </c>
      <c r="C459" s="40" t="s">
        <v>234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517</v>
      </c>
      <c r="B460" s="40" t="s">
        <v>518</v>
      </c>
      <c r="C460" s="40" t="s">
        <v>234</v>
      </c>
      <c r="D460" s="40" t="s">
        <v>213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519</v>
      </c>
      <c r="B461" s="20" t="s">
        <v>520</v>
      </c>
      <c r="C461" s="40" t="s">
        <v>234</v>
      </c>
      <c r="D461" s="40" t="s">
        <v>213</v>
      </c>
      <c r="E461" s="73"/>
      <c r="F461" s="2"/>
      <c r="G461" s="10">
        <f>G462</f>
        <v>0</v>
      </c>
    </row>
    <row r="462" spans="1:7" ht="47.25" hidden="1" x14ac:dyDescent="0.25">
      <c r="A462" s="29" t="s">
        <v>131</v>
      </c>
      <c r="B462" s="20" t="s">
        <v>520</v>
      </c>
      <c r="C462" s="40" t="s">
        <v>234</v>
      </c>
      <c r="D462" s="40" t="s">
        <v>213</v>
      </c>
      <c r="E462" s="40" t="s">
        <v>132</v>
      </c>
      <c r="F462" s="2"/>
      <c r="G462" s="10">
        <f>G463</f>
        <v>0</v>
      </c>
    </row>
    <row r="463" spans="1:7" ht="47.25" hidden="1" x14ac:dyDescent="0.25">
      <c r="A463" s="29" t="s">
        <v>133</v>
      </c>
      <c r="B463" s="20" t="s">
        <v>520</v>
      </c>
      <c r="C463" s="40" t="s">
        <v>234</v>
      </c>
      <c r="D463" s="40" t="s">
        <v>213</v>
      </c>
      <c r="E463" s="40" t="s">
        <v>134</v>
      </c>
      <c r="F463" s="2"/>
      <c r="G463" s="10"/>
    </row>
    <row r="464" spans="1:7" ht="47.25" hidden="1" x14ac:dyDescent="0.25">
      <c r="A464" s="45" t="s">
        <v>623</v>
      </c>
      <c r="B464" s="20" t="s">
        <v>520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8" t="s">
        <v>521</v>
      </c>
      <c r="B465" s="20" t="s">
        <v>522</v>
      </c>
      <c r="C465" s="40" t="s">
        <v>234</v>
      </c>
      <c r="D465" s="40" t="s">
        <v>213</v>
      </c>
      <c r="E465" s="40"/>
      <c r="F465" s="2"/>
      <c r="G465" s="10" t="e">
        <f>G466</f>
        <v>#REF!</v>
      </c>
    </row>
    <row r="466" spans="1:7" ht="47.25" x14ac:dyDescent="0.25">
      <c r="A466" s="31" t="s">
        <v>131</v>
      </c>
      <c r="B466" s="20" t="s">
        <v>522</v>
      </c>
      <c r="C466" s="40" t="s">
        <v>234</v>
      </c>
      <c r="D466" s="40" t="s">
        <v>213</v>
      </c>
      <c r="E466" s="40" t="s">
        <v>132</v>
      </c>
      <c r="F466" s="2"/>
      <c r="G466" s="10" t="e">
        <f>G467</f>
        <v>#REF!</v>
      </c>
    </row>
    <row r="467" spans="1:7" ht="47.25" x14ac:dyDescent="0.25">
      <c r="A467" s="31" t="s">
        <v>133</v>
      </c>
      <c r="B467" s="20" t="s">
        <v>522</v>
      </c>
      <c r="C467" s="40" t="s">
        <v>234</v>
      </c>
      <c r="D467" s="40" t="s">
        <v>213</v>
      </c>
      <c r="E467" s="40" t="s">
        <v>134</v>
      </c>
      <c r="F467" s="2"/>
      <c r="G467" s="10" t="e">
        <f>'Пр.4 ведом.21'!#REF!</f>
        <v>#REF!</v>
      </c>
    </row>
    <row r="468" spans="1:7" ht="15.75" x14ac:dyDescent="0.25">
      <c r="A468" s="98" t="s">
        <v>523</v>
      </c>
      <c r="B468" s="20" t="s">
        <v>524</v>
      </c>
      <c r="C468" s="40" t="s">
        <v>234</v>
      </c>
      <c r="D468" s="40" t="s">
        <v>213</v>
      </c>
      <c r="E468" s="40"/>
      <c r="F468" s="2"/>
      <c r="G468" s="10" t="e">
        <f>G469</f>
        <v>#REF!</v>
      </c>
    </row>
    <row r="469" spans="1:7" ht="47.25" x14ac:dyDescent="0.25">
      <c r="A469" s="31" t="s">
        <v>131</v>
      </c>
      <c r="B469" s="20" t="s">
        <v>524</v>
      </c>
      <c r="C469" s="40" t="s">
        <v>234</v>
      </c>
      <c r="D469" s="40" t="s">
        <v>213</v>
      </c>
      <c r="E469" s="40" t="s">
        <v>132</v>
      </c>
      <c r="F469" s="2"/>
      <c r="G469" s="10" t="e">
        <f>G470</f>
        <v>#REF!</v>
      </c>
    </row>
    <row r="470" spans="1:7" ht="47.25" x14ac:dyDescent="0.25">
      <c r="A470" s="31" t="s">
        <v>133</v>
      </c>
      <c r="B470" s="20" t="s">
        <v>524</v>
      </c>
      <c r="C470" s="40" t="s">
        <v>234</v>
      </c>
      <c r="D470" s="40" t="s">
        <v>213</v>
      </c>
      <c r="E470" s="40" t="s">
        <v>134</v>
      </c>
      <c r="F470" s="2"/>
      <c r="G470" s="10" t="e">
        <f>'Пр.4 ведом.21'!#REF!</f>
        <v>#REF!</v>
      </c>
    </row>
    <row r="471" spans="1:7" ht="15.75" x14ac:dyDescent="0.25">
      <c r="A471" s="98" t="s">
        <v>525</v>
      </c>
      <c r="B471" s="20" t="s">
        <v>526</v>
      </c>
      <c r="C471" s="40" t="s">
        <v>234</v>
      </c>
      <c r="D471" s="40" t="s">
        <v>213</v>
      </c>
      <c r="E471" s="40"/>
      <c r="F471" s="2"/>
      <c r="G471" s="10" t="e">
        <f>G472</f>
        <v>#REF!</v>
      </c>
    </row>
    <row r="472" spans="1:7" ht="47.25" x14ac:dyDescent="0.25">
      <c r="A472" s="31" t="s">
        <v>131</v>
      </c>
      <c r="B472" s="20" t="s">
        <v>526</v>
      </c>
      <c r="C472" s="40" t="s">
        <v>234</v>
      </c>
      <c r="D472" s="40" t="s">
        <v>213</v>
      </c>
      <c r="E472" s="40" t="s">
        <v>132</v>
      </c>
      <c r="F472" s="2"/>
      <c r="G472" s="10" t="e">
        <f>G473</f>
        <v>#REF!</v>
      </c>
    </row>
    <row r="473" spans="1:7" ht="47.25" x14ac:dyDescent="0.25">
      <c r="A473" s="31" t="s">
        <v>133</v>
      </c>
      <c r="B473" s="20" t="s">
        <v>526</v>
      </c>
      <c r="C473" s="40" t="s">
        <v>234</v>
      </c>
      <c r="D473" s="40" t="s">
        <v>213</v>
      </c>
      <c r="E473" s="40" t="s">
        <v>134</v>
      </c>
      <c r="F473" s="2"/>
      <c r="G473" s="10" t="e">
        <f>'Пр.4 ведом.21'!#REF!</f>
        <v>#REF!</v>
      </c>
    </row>
    <row r="474" spans="1:7" ht="31.5" x14ac:dyDescent="0.25">
      <c r="A474" s="98" t="s">
        <v>527</v>
      </c>
      <c r="B474" s="20" t="s">
        <v>528</v>
      </c>
      <c r="C474" s="40" t="s">
        <v>234</v>
      </c>
      <c r="D474" s="40" t="s">
        <v>213</v>
      </c>
      <c r="E474" s="40"/>
      <c r="F474" s="2"/>
      <c r="G474" s="10" t="e">
        <f>G475</f>
        <v>#REF!</v>
      </c>
    </row>
    <row r="475" spans="1:7" ht="47.25" x14ac:dyDescent="0.25">
      <c r="A475" s="31" t="s">
        <v>131</v>
      </c>
      <c r="B475" s="20" t="s">
        <v>528</v>
      </c>
      <c r="C475" s="40" t="s">
        <v>234</v>
      </c>
      <c r="D475" s="40" t="s">
        <v>213</v>
      </c>
      <c r="E475" s="40" t="s">
        <v>132</v>
      </c>
      <c r="F475" s="2"/>
      <c r="G475" s="10" t="e">
        <f>G476</f>
        <v>#REF!</v>
      </c>
    </row>
    <row r="476" spans="1:7" ht="47.25" x14ac:dyDescent="0.25">
      <c r="A476" s="31" t="s">
        <v>133</v>
      </c>
      <c r="B476" s="20" t="s">
        <v>528</v>
      </c>
      <c r="C476" s="40" t="s">
        <v>234</v>
      </c>
      <c r="D476" s="40" t="s">
        <v>213</v>
      </c>
      <c r="E476" s="40" t="s">
        <v>134</v>
      </c>
      <c r="F476" s="2"/>
      <c r="G476" s="10" t="e">
        <f>'Пр.4 ведом.21'!#REF!</f>
        <v>#REF!</v>
      </c>
    </row>
    <row r="477" spans="1:7" ht="15.75" x14ac:dyDescent="0.25">
      <c r="A477" s="98" t="s">
        <v>529</v>
      </c>
      <c r="B477" s="20" t="s">
        <v>530</v>
      </c>
      <c r="C477" s="40" t="s">
        <v>234</v>
      </c>
      <c r="D477" s="40" t="s">
        <v>213</v>
      </c>
      <c r="E477" s="40"/>
      <c r="F477" s="2"/>
      <c r="G477" s="10" t="e">
        <f>G478</f>
        <v>#REF!</v>
      </c>
    </row>
    <row r="478" spans="1:7" ht="47.25" x14ac:dyDescent="0.25">
      <c r="A478" s="31" t="s">
        <v>131</v>
      </c>
      <c r="B478" s="20" t="s">
        <v>530</v>
      </c>
      <c r="C478" s="40" t="s">
        <v>234</v>
      </c>
      <c r="D478" s="40" t="s">
        <v>213</v>
      </c>
      <c r="E478" s="40" t="s">
        <v>132</v>
      </c>
      <c r="F478" s="2"/>
      <c r="G478" s="10" t="e">
        <f>G479</f>
        <v>#REF!</v>
      </c>
    </row>
    <row r="479" spans="1:7" ht="47.25" x14ac:dyDescent="0.25">
      <c r="A479" s="31" t="s">
        <v>133</v>
      </c>
      <c r="B479" s="20" t="s">
        <v>530</v>
      </c>
      <c r="C479" s="40" t="s">
        <v>234</v>
      </c>
      <c r="D479" s="40" t="s">
        <v>213</v>
      </c>
      <c r="E479" s="40" t="s">
        <v>134</v>
      </c>
      <c r="F479" s="2"/>
      <c r="G479" s="10" t="e">
        <f>'Пр.4 ведом.21'!#REF!</f>
        <v>#REF!</v>
      </c>
    </row>
    <row r="480" spans="1:7" ht="31.5" hidden="1" x14ac:dyDescent="0.25">
      <c r="A480" s="97" t="s">
        <v>531</v>
      </c>
      <c r="B480" s="20" t="s">
        <v>532</v>
      </c>
      <c r="C480" s="40" t="s">
        <v>234</v>
      </c>
      <c r="D480" s="40" t="s">
        <v>213</v>
      </c>
      <c r="E480" s="40"/>
      <c r="F480" s="2"/>
      <c r="G480" s="10">
        <f>G481</f>
        <v>0</v>
      </c>
    </row>
    <row r="481" spans="1:7" ht="47.25" hidden="1" x14ac:dyDescent="0.25">
      <c r="A481" s="31" t="s">
        <v>131</v>
      </c>
      <c r="B481" s="20" t="s">
        <v>532</v>
      </c>
      <c r="C481" s="40" t="s">
        <v>234</v>
      </c>
      <c r="D481" s="40" t="s">
        <v>213</v>
      </c>
      <c r="E481" s="40"/>
      <c r="F481" s="2"/>
      <c r="G481" s="10">
        <f>G482</f>
        <v>0</v>
      </c>
    </row>
    <row r="482" spans="1:7" ht="47.25" hidden="1" x14ac:dyDescent="0.25">
      <c r="A482" s="31" t="s">
        <v>133</v>
      </c>
      <c r="B482" s="20" t="s">
        <v>532</v>
      </c>
      <c r="C482" s="40" t="s">
        <v>234</v>
      </c>
      <c r="D482" s="40" t="s">
        <v>213</v>
      </c>
      <c r="E482" s="40"/>
      <c r="F482" s="2"/>
      <c r="G482" s="10"/>
    </row>
    <row r="483" spans="1:7" ht="31.5" x14ac:dyDescent="0.25">
      <c r="A483" s="97" t="s">
        <v>533</v>
      </c>
      <c r="B483" s="20" t="s">
        <v>534</v>
      </c>
      <c r="C483" s="40" t="s">
        <v>234</v>
      </c>
      <c r="D483" s="40" t="s">
        <v>213</v>
      </c>
      <c r="E483" s="40"/>
      <c r="F483" s="2"/>
      <c r="G483" s="10" t="e">
        <f>G484</f>
        <v>#REF!</v>
      </c>
    </row>
    <row r="484" spans="1:7" ht="47.25" x14ac:dyDescent="0.3">
      <c r="A484" s="25" t="s">
        <v>131</v>
      </c>
      <c r="B484" s="20" t="s">
        <v>534</v>
      </c>
      <c r="C484" s="40" t="s">
        <v>234</v>
      </c>
      <c r="D484" s="40" t="s">
        <v>213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133</v>
      </c>
      <c r="B485" s="20" t="s">
        <v>534</v>
      </c>
      <c r="C485" s="40" t="s">
        <v>234</v>
      </c>
      <c r="D485" s="40" t="s">
        <v>213</v>
      </c>
      <c r="E485" s="2">
        <v>240</v>
      </c>
      <c r="F485" s="77"/>
      <c r="G485" s="6" t="e">
        <f>'Пр.4 ведом.21'!#REF!</f>
        <v>#REF!</v>
      </c>
    </row>
    <row r="486" spans="1:7" ht="47.25" x14ac:dyDescent="0.25">
      <c r="A486" s="45" t="s">
        <v>623</v>
      </c>
      <c r="B486" s="20" t="s">
        <v>518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334</v>
      </c>
      <c r="B487" s="24" t="s">
        <v>335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263</v>
      </c>
      <c r="B488" s="20" t="s">
        <v>335</v>
      </c>
      <c r="C488" s="40" t="s">
        <v>264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295</v>
      </c>
      <c r="B489" s="20" t="s">
        <v>335</v>
      </c>
      <c r="C489" s="40" t="s">
        <v>264</v>
      </c>
      <c r="D489" s="40" t="s">
        <v>219</v>
      </c>
      <c r="E489" s="2"/>
      <c r="F489" s="2"/>
      <c r="G489" s="6" t="e">
        <f>G490+G493</f>
        <v>#REF!</v>
      </c>
    </row>
    <row r="490" spans="1:7" ht="47.25" x14ac:dyDescent="0.25">
      <c r="A490" s="25" t="s">
        <v>336</v>
      </c>
      <c r="B490" s="20" t="s">
        <v>337</v>
      </c>
      <c r="C490" s="40" t="s">
        <v>264</v>
      </c>
      <c r="D490" s="40" t="s">
        <v>219</v>
      </c>
      <c r="E490" s="2"/>
      <c r="F490" s="2"/>
      <c r="G490" s="6" t="e">
        <f>G491</f>
        <v>#REF!</v>
      </c>
    </row>
    <row r="491" spans="1:7" ht="47.25" x14ac:dyDescent="0.25">
      <c r="A491" s="25" t="s">
        <v>131</v>
      </c>
      <c r="B491" s="20" t="s">
        <v>337</v>
      </c>
      <c r="C491" s="40" t="s">
        <v>264</v>
      </c>
      <c r="D491" s="40" t="s">
        <v>219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133</v>
      </c>
      <c r="B492" s="20" t="s">
        <v>337</v>
      </c>
      <c r="C492" s="40" t="s">
        <v>264</v>
      </c>
      <c r="D492" s="40" t="s">
        <v>219</v>
      </c>
      <c r="E492" s="2">
        <v>240</v>
      </c>
      <c r="F492" s="2"/>
      <c r="G492" s="6" t="e">
        <f>'Пр.4 ведом.21'!#REF!</f>
        <v>#REF!</v>
      </c>
    </row>
    <row r="493" spans="1:7" ht="78.75" x14ac:dyDescent="0.25">
      <c r="A493" s="25" t="s">
        <v>476</v>
      </c>
      <c r="B493" s="20" t="s">
        <v>477</v>
      </c>
      <c r="C493" s="40" t="s">
        <v>264</v>
      </c>
      <c r="D493" s="40" t="s">
        <v>219</v>
      </c>
      <c r="E493" s="2"/>
      <c r="F493" s="2"/>
      <c r="G493" s="6" t="e">
        <f>G494+G496</f>
        <v>#REF!</v>
      </c>
    </row>
    <row r="494" spans="1:7" ht="110.25" x14ac:dyDescent="0.25">
      <c r="A494" s="25" t="s">
        <v>127</v>
      </c>
      <c r="B494" s="20" t="s">
        <v>477</v>
      </c>
      <c r="C494" s="40" t="s">
        <v>264</v>
      </c>
      <c r="D494" s="40" t="s">
        <v>219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342</v>
      </c>
      <c r="B495" s="20" t="s">
        <v>477</v>
      </c>
      <c r="C495" s="40" t="s">
        <v>264</v>
      </c>
      <c r="D495" s="40" t="s">
        <v>219</v>
      </c>
      <c r="E495" s="2">
        <v>110</v>
      </c>
      <c r="F495" s="2"/>
      <c r="G495" s="6" t="e">
        <f>'Пр.4 ведом.21'!#REF!</f>
        <v>#REF!</v>
      </c>
    </row>
    <row r="496" spans="1:7" ht="47.25" x14ac:dyDescent="0.25">
      <c r="A496" s="25" t="s">
        <v>131</v>
      </c>
      <c r="B496" s="20" t="s">
        <v>477</v>
      </c>
      <c r="C496" s="40" t="s">
        <v>264</v>
      </c>
      <c r="D496" s="40" t="s">
        <v>219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133</v>
      </c>
      <c r="B497" s="20" t="s">
        <v>477</v>
      </c>
      <c r="C497" s="40" t="s">
        <v>264</v>
      </c>
      <c r="D497" s="40" t="s">
        <v>219</v>
      </c>
      <c r="E497" s="2">
        <v>240</v>
      </c>
      <c r="F497" s="2"/>
      <c r="G497" s="6" t="e">
        <f>'Пр.4 ведом.21'!#REF!</f>
        <v>#REF!</v>
      </c>
    </row>
    <row r="498" spans="1:9" ht="47.25" x14ac:dyDescent="0.25">
      <c r="A498" s="29" t="s">
        <v>403</v>
      </c>
      <c r="B498" s="20" t="s">
        <v>335</v>
      </c>
      <c r="C498" s="40" t="s">
        <v>264</v>
      </c>
      <c r="D498" s="40" t="s">
        <v>219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298</v>
      </c>
      <c r="B499" s="20" t="s">
        <v>335</v>
      </c>
      <c r="C499" s="40" t="s">
        <v>299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333</v>
      </c>
      <c r="B500" s="20" t="s">
        <v>335</v>
      </c>
      <c r="C500" s="40" t="s">
        <v>299</v>
      </c>
      <c r="D500" s="40" t="s">
        <v>150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336</v>
      </c>
      <c r="B501" s="20" t="s">
        <v>337</v>
      </c>
      <c r="C501" s="40" t="s">
        <v>299</v>
      </c>
      <c r="D501" s="40" t="s">
        <v>150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131</v>
      </c>
      <c r="B502" s="20" t="s">
        <v>337</v>
      </c>
      <c r="C502" s="40" t="s">
        <v>299</v>
      </c>
      <c r="D502" s="40" t="s">
        <v>150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133</v>
      </c>
      <c r="B503" s="20" t="s">
        <v>337</v>
      </c>
      <c r="C503" s="40" t="s">
        <v>299</v>
      </c>
      <c r="D503" s="40" t="s">
        <v>150</v>
      </c>
      <c r="E503" s="2">
        <v>240</v>
      </c>
      <c r="F503" s="2"/>
      <c r="G503" s="6" t="e">
        <f>'Пр.4 ведом.21'!#REF!</f>
        <v>#REF!</v>
      </c>
    </row>
    <row r="504" spans="1:9" ht="31.5" x14ac:dyDescent="0.25">
      <c r="A504" s="25" t="s">
        <v>338</v>
      </c>
      <c r="B504" s="20" t="s">
        <v>339</v>
      </c>
      <c r="C504" s="40" t="s">
        <v>299</v>
      </c>
      <c r="D504" s="40" t="s">
        <v>150</v>
      </c>
      <c r="E504" s="2"/>
      <c r="F504" s="2"/>
      <c r="G504" s="6" t="e">
        <f>G505</f>
        <v>#REF!</v>
      </c>
    </row>
    <row r="505" spans="1:9" ht="47.25" x14ac:dyDescent="0.25">
      <c r="A505" s="25" t="s">
        <v>131</v>
      </c>
      <c r="B505" s="20" t="s">
        <v>339</v>
      </c>
      <c r="C505" s="40" t="s">
        <v>299</v>
      </c>
      <c r="D505" s="40" t="s">
        <v>150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133</v>
      </c>
      <c r="B506" s="20" t="s">
        <v>339</v>
      </c>
      <c r="C506" s="40" t="s">
        <v>299</v>
      </c>
      <c r="D506" s="40" t="s">
        <v>150</v>
      </c>
      <c r="E506" s="2">
        <v>240</v>
      </c>
      <c r="F506" s="2"/>
      <c r="G506" s="6" t="e">
        <f>'Пр.4 ведом.21'!#REF!</f>
        <v>#REF!</v>
      </c>
    </row>
    <row r="507" spans="1:9" ht="47.25" x14ac:dyDescent="0.25">
      <c r="A507" s="25" t="s">
        <v>679</v>
      </c>
      <c r="B507" s="20" t="s">
        <v>680</v>
      </c>
      <c r="C507" s="40" t="s">
        <v>299</v>
      </c>
      <c r="D507" s="40" t="s">
        <v>150</v>
      </c>
      <c r="E507" s="2"/>
      <c r="F507" s="2"/>
      <c r="G507" s="6" t="e">
        <f>G508</f>
        <v>#REF!</v>
      </c>
    </row>
    <row r="508" spans="1:9" ht="47.25" x14ac:dyDescent="0.25">
      <c r="A508" s="25" t="s">
        <v>131</v>
      </c>
      <c r="B508" s="20" t="s">
        <v>680</v>
      </c>
      <c r="C508" s="40" t="s">
        <v>299</v>
      </c>
      <c r="D508" s="40" t="s">
        <v>150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133</v>
      </c>
      <c r="B509" s="20" t="s">
        <v>680</v>
      </c>
      <c r="C509" s="40" t="s">
        <v>299</v>
      </c>
      <c r="D509" s="40" t="s">
        <v>150</v>
      </c>
      <c r="E509" s="2">
        <v>240</v>
      </c>
      <c r="F509" s="2"/>
      <c r="G509" s="6" t="e">
        <f>'Пр.4 ведом.21'!#REF!</f>
        <v>#REF!</v>
      </c>
    </row>
    <row r="510" spans="1:9" ht="63" x14ac:dyDescent="0.25">
      <c r="A510" s="45" t="s">
        <v>261</v>
      </c>
      <c r="B510" s="20" t="s">
        <v>335</v>
      </c>
      <c r="C510" s="40" t="s">
        <v>299</v>
      </c>
      <c r="D510" s="40" t="s">
        <v>150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707</v>
      </c>
      <c r="B511" s="24" t="s">
        <v>705</v>
      </c>
      <c r="C511" s="7"/>
      <c r="D511" s="7"/>
      <c r="E511" s="3"/>
      <c r="F511" s="3"/>
      <c r="G511" s="4" t="e">
        <f>G512+G521</f>
        <v>#REF!</v>
      </c>
    </row>
    <row r="512" spans="1:9" s="121" customFormat="1" ht="15.75" x14ac:dyDescent="0.25">
      <c r="A512" s="29" t="s">
        <v>117</v>
      </c>
      <c r="B512" s="20" t="s">
        <v>705</v>
      </c>
      <c r="C512" s="40" t="s">
        <v>118</v>
      </c>
      <c r="D512" s="40"/>
      <c r="E512" s="2"/>
      <c r="F512" s="2"/>
      <c r="G512" s="6" t="e">
        <f>G513</f>
        <v>#REF!</v>
      </c>
      <c r="I512" s="122"/>
    </row>
    <row r="513" spans="1:9" s="121" customFormat="1" ht="31.5" x14ac:dyDescent="0.25">
      <c r="A513" s="29" t="s">
        <v>139</v>
      </c>
      <c r="B513" s="20" t="s">
        <v>705</v>
      </c>
      <c r="C513" s="40" t="s">
        <v>118</v>
      </c>
      <c r="D513" s="40" t="s">
        <v>140</v>
      </c>
      <c r="E513" s="2"/>
      <c r="F513" s="2"/>
      <c r="G513" s="6" t="e">
        <f>G514+G517</f>
        <v>#REF!</v>
      </c>
      <c r="I513" s="122"/>
    </row>
    <row r="514" spans="1:9" ht="47.25" x14ac:dyDescent="0.25">
      <c r="A514" s="31" t="s">
        <v>157</v>
      </c>
      <c r="B514" s="20" t="s">
        <v>713</v>
      </c>
      <c r="C514" s="40" t="s">
        <v>118</v>
      </c>
      <c r="D514" s="40" t="s">
        <v>140</v>
      </c>
      <c r="E514" s="2"/>
      <c r="F514" s="2"/>
      <c r="G514" s="6" t="e">
        <f>G515</f>
        <v>#REF!</v>
      </c>
    </row>
    <row r="515" spans="1:9" ht="47.25" x14ac:dyDescent="0.25">
      <c r="A515" s="25" t="s">
        <v>131</v>
      </c>
      <c r="B515" s="20" t="s">
        <v>713</v>
      </c>
      <c r="C515" s="40" t="s">
        <v>118</v>
      </c>
      <c r="D515" s="40" t="s">
        <v>140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133</v>
      </c>
      <c r="B516" s="20" t="s">
        <v>713</v>
      </c>
      <c r="C516" s="40" t="s">
        <v>118</v>
      </c>
      <c r="D516" s="40" t="s">
        <v>140</v>
      </c>
      <c r="E516" s="2">
        <v>240</v>
      </c>
      <c r="F516" s="2"/>
      <c r="G516" s="6" t="e">
        <f>'Пр.4 ведом.21'!#REF!</f>
        <v>#REF!</v>
      </c>
    </row>
    <row r="517" spans="1:9" ht="66.2" hidden="1" customHeight="1" x14ac:dyDescent="0.25">
      <c r="A517" s="29"/>
      <c r="B517" s="20" t="s">
        <v>706</v>
      </c>
      <c r="C517" s="40" t="s">
        <v>118</v>
      </c>
      <c r="D517" s="40" t="s">
        <v>140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131</v>
      </c>
      <c r="B518" s="20" t="s">
        <v>706</v>
      </c>
      <c r="C518" s="40" t="s">
        <v>118</v>
      </c>
      <c r="D518" s="40" t="s">
        <v>140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133</v>
      </c>
      <c r="B519" s="20" t="s">
        <v>706</v>
      </c>
      <c r="C519" s="40" t="s">
        <v>118</v>
      </c>
      <c r="D519" s="40" t="s">
        <v>140</v>
      </c>
      <c r="E519" s="2">
        <v>240</v>
      </c>
      <c r="F519" s="2"/>
      <c r="G519" s="6" t="e">
        <f>'Пр.4 ведом.21'!#REF!</f>
        <v>#REF!</v>
      </c>
    </row>
    <row r="520" spans="1:9" ht="31.5" x14ac:dyDescent="0.25">
      <c r="A520" s="29" t="s">
        <v>148</v>
      </c>
      <c r="B520" s="20" t="s">
        <v>705</v>
      </c>
      <c r="C520" s="40" t="s">
        <v>118</v>
      </c>
      <c r="D520" s="40" t="s">
        <v>140</v>
      </c>
      <c r="E520" s="2"/>
      <c r="F520" s="2">
        <v>902</v>
      </c>
      <c r="G520" s="6" t="e">
        <f>G511</f>
        <v>#REF!</v>
      </c>
    </row>
    <row r="521" spans="1:9" s="121" customFormat="1" ht="15.75" x14ac:dyDescent="0.25">
      <c r="A521" s="25" t="s">
        <v>298</v>
      </c>
      <c r="B521" s="20" t="s">
        <v>705</v>
      </c>
      <c r="C521" s="40" t="s">
        <v>299</v>
      </c>
      <c r="D521" s="40"/>
      <c r="E521" s="2"/>
      <c r="F521" s="2"/>
      <c r="G521" s="6" t="e">
        <f>G522</f>
        <v>#REF!</v>
      </c>
      <c r="I521" s="122"/>
    </row>
    <row r="522" spans="1:9" ht="31.5" x14ac:dyDescent="0.25">
      <c r="A522" s="41" t="s">
        <v>333</v>
      </c>
      <c r="B522" s="20" t="s">
        <v>705</v>
      </c>
      <c r="C522" s="40" t="s">
        <v>299</v>
      </c>
      <c r="D522" s="40" t="s">
        <v>150</v>
      </c>
      <c r="E522" s="2"/>
      <c r="F522" s="2"/>
      <c r="G522" s="6" t="e">
        <f>G523</f>
        <v>#REF!</v>
      </c>
    </row>
    <row r="523" spans="1:9" ht="47.25" x14ac:dyDescent="0.25">
      <c r="A523" s="31" t="s">
        <v>157</v>
      </c>
      <c r="B523" s="20" t="s">
        <v>713</v>
      </c>
      <c r="C523" s="40" t="s">
        <v>299</v>
      </c>
      <c r="D523" s="40" t="s">
        <v>150</v>
      </c>
      <c r="E523" s="2"/>
      <c r="F523" s="2"/>
      <c r="G523" s="6" t="e">
        <f>G524</f>
        <v>#REF!</v>
      </c>
    </row>
    <row r="524" spans="1:9" ht="47.25" x14ac:dyDescent="0.25">
      <c r="A524" s="25" t="s">
        <v>131</v>
      </c>
      <c r="B524" s="20" t="s">
        <v>713</v>
      </c>
      <c r="C524" s="40" t="s">
        <v>299</v>
      </c>
      <c r="D524" s="40" t="s">
        <v>150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133</v>
      </c>
      <c r="B525" s="20" t="s">
        <v>713</v>
      </c>
      <c r="C525" s="40" t="s">
        <v>299</v>
      </c>
      <c r="D525" s="40" t="s">
        <v>150</v>
      </c>
      <c r="E525" s="2">
        <v>240</v>
      </c>
      <c r="F525" s="2"/>
      <c r="G525" s="6" t="e">
        <f>'Пр.4 ведом.21'!#REF!</f>
        <v>#REF!</v>
      </c>
    </row>
    <row r="526" spans="1:9" ht="63" x14ac:dyDescent="0.25">
      <c r="A526" s="45" t="s">
        <v>261</v>
      </c>
      <c r="B526" s="20" t="s">
        <v>705</v>
      </c>
      <c r="C526" s="40" t="s">
        <v>299</v>
      </c>
      <c r="D526" s="40" t="s">
        <v>150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709</v>
      </c>
      <c r="B527" s="24" t="s">
        <v>711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390</v>
      </c>
      <c r="B528" s="20" t="s">
        <v>711</v>
      </c>
      <c r="C528" s="40" t="s">
        <v>234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541</v>
      </c>
      <c r="B529" s="20" t="s">
        <v>711</v>
      </c>
      <c r="C529" s="40" t="s">
        <v>234</v>
      </c>
      <c r="D529" s="40" t="s">
        <v>215</v>
      </c>
      <c r="E529" s="2"/>
      <c r="F529" s="2"/>
      <c r="G529" s="6" t="e">
        <f>G530</f>
        <v>#REF!</v>
      </c>
    </row>
    <row r="530" spans="1:7" ht="31.5" x14ac:dyDescent="0.25">
      <c r="A530" s="126" t="s">
        <v>710</v>
      </c>
      <c r="B530" s="20" t="s">
        <v>712</v>
      </c>
      <c r="C530" s="40" t="s">
        <v>234</v>
      </c>
      <c r="D530" s="40" t="s">
        <v>215</v>
      </c>
      <c r="E530" s="2"/>
      <c r="F530" s="2"/>
      <c r="G530" s="6" t="e">
        <f>G531</f>
        <v>#REF!</v>
      </c>
    </row>
    <row r="531" spans="1:7" ht="47.25" x14ac:dyDescent="0.25">
      <c r="A531" s="25" t="s">
        <v>131</v>
      </c>
      <c r="B531" s="20" t="s">
        <v>712</v>
      </c>
      <c r="C531" s="40" t="s">
        <v>234</v>
      </c>
      <c r="D531" s="40" t="s">
        <v>215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133</v>
      </c>
      <c r="B532" s="20" t="s">
        <v>712</v>
      </c>
      <c r="C532" s="40" t="s">
        <v>234</v>
      </c>
      <c r="D532" s="40" t="s">
        <v>215</v>
      </c>
      <c r="E532" s="2">
        <v>240</v>
      </c>
      <c r="F532" s="2"/>
      <c r="G532" s="6" t="e">
        <f>'Пр.4 ведом.21'!#REF!</f>
        <v>#REF!</v>
      </c>
    </row>
    <row r="533" spans="1:7" ht="47.25" x14ac:dyDescent="0.25">
      <c r="A533" s="45" t="s">
        <v>623</v>
      </c>
      <c r="B533" s="20" t="s">
        <v>711</v>
      </c>
      <c r="C533" s="40" t="s">
        <v>234</v>
      </c>
      <c r="D533" s="40" t="s">
        <v>215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657</v>
      </c>
      <c r="B534" s="72"/>
      <c r="C534" s="72"/>
      <c r="D534" s="78"/>
      <c r="E534" s="78"/>
      <c r="F534" s="78"/>
      <c r="G534" s="120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0"/>
  <sheetViews>
    <sheetView view="pageBreakPreview" zoomScaleNormal="100" zoomScaleSheetLayoutView="100" workbookViewId="0">
      <selection activeCell="G3" sqref="G3:H3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3.42578125" style="22" customWidth="1"/>
    <col min="8" max="8" width="15.5703125" style="22" customWidth="1"/>
  </cols>
  <sheetData>
    <row r="1" spans="1:8" ht="15.75" x14ac:dyDescent="0.25">
      <c r="A1" s="204"/>
      <c r="B1" s="204"/>
      <c r="C1" s="204"/>
      <c r="D1" s="204"/>
      <c r="E1" s="204"/>
      <c r="F1" s="204"/>
      <c r="G1" s="633" t="s">
        <v>1825</v>
      </c>
      <c r="H1" s="633"/>
    </row>
    <row r="2" spans="1:8" ht="15.75" x14ac:dyDescent="0.25">
      <c r="A2" s="204"/>
      <c r="B2" s="204"/>
      <c r="C2" s="204"/>
      <c r="D2" s="204"/>
      <c r="E2" s="204"/>
      <c r="F2" s="204"/>
      <c r="G2" s="633" t="s">
        <v>1535</v>
      </c>
      <c r="H2" s="633"/>
    </row>
    <row r="3" spans="1:8" ht="15.75" x14ac:dyDescent="0.25">
      <c r="A3" s="204"/>
      <c r="B3" s="204"/>
      <c r="C3" s="204"/>
      <c r="D3" s="204"/>
      <c r="E3" s="204"/>
      <c r="F3" s="62"/>
      <c r="G3" s="613" t="s">
        <v>1817</v>
      </c>
      <c r="H3" s="613"/>
    </row>
    <row r="4" spans="1:8" s="203" customFormat="1" ht="15.75" x14ac:dyDescent="0.25">
      <c r="A4" s="204"/>
      <c r="B4" s="204"/>
      <c r="C4" s="204"/>
      <c r="D4" s="204"/>
      <c r="E4" s="204"/>
      <c r="F4" s="62"/>
      <c r="G4" s="115"/>
      <c r="H4" s="269"/>
    </row>
    <row r="5" spans="1:8" ht="44.45" customHeight="1" x14ac:dyDescent="0.25">
      <c r="A5" s="632" t="s">
        <v>1335</v>
      </c>
      <c r="B5" s="632"/>
      <c r="C5" s="632"/>
      <c r="D5" s="632"/>
      <c r="E5" s="632"/>
      <c r="F5" s="632"/>
      <c r="G5" s="632"/>
      <c r="H5" s="632"/>
    </row>
    <row r="6" spans="1:8" ht="16.5" x14ac:dyDescent="0.25">
      <c r="A6" s="239"/>
      <c r="B6" s="239"/>
      <c r="C6" s="239"/>
      <c r="D6" s="239"/>
      <c r="E6" s="239"/>
      <c r="F6" s="239"/>
      <c r="G6" s="115"/>
      <c r="H6" s="115"/>
    </row>
    <row r="7" spans="1:8" ht="15.75" x14ac:dyDescent="0.25">
      <c r="A7" s="62"/>
      <c r="B7" s="62"/>
      <c r="C7" s="62"/>
      <c r="D7" s="62"/>
      <c r="E7" s="64"/>
      <c r="F7" s="64"/>
      <c r="G7" s="115"/>
      <c r="H7" s="270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393" t="s">
        <v>1029</v>
      </c>
      <c r="H8" s="383" t="s">
        <v>1295</v>
      </c>
    </row>
    <row r="9" spans="1:8" ht="47.25" x14ac:dyDescent="0.25">
      <c r="A9" s="58" t="s">
        <v>1381</v>
      </c>
      <c r="B9" s="7" t="s">
        <v>510</v>
      </c>
      <c r="C9" s="7"/>
      <c r="D9" s="7"/>
      <c r="E9" s="7"/>
      <c r="F9" s="7"/>
      <c r="G9" s="4">
        <f>G10+G17</f>
        <v>2127.6</v>
      </c>
      <c r="H9" s="4">
        <f>H10+H17</f>
        <v>1949.1</v>
      </c>
    </row>
    <row r="10" spans="1:8" ht="36" hidden="1" customHeight="1" x14ac:dyDescent="0.25">
      <c r="A10" s="34" t="s">
        <v>999</v>
      </c>
      <c r="B10" s="7" t="s">
        <v>958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232</v>
      </c>
      <c r="B11" s="40" t="s">
        <v>958</v>
      </c>
      <c r="C11" s="40" t="s">
        <v>150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508</v>
      </c>
      <c r="B12" s="40" t="s">
        <v>958</v>
      </c>
      <c r="C12" s="40" t="s">
        <v>150</v>
      </c>
      <c r="D12" s="40" t="s">
        <v>219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1001</v>
      </c>
      <c r="B13" s="40" t="s">
        <v>1000</v>
      </c>
      <c r="C13" s="40" t="s">
        <v>150</v>
      </c>
      <c r="D13" s="40" t="s">
        <v>219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131</v>
      </c>
      <c r="B14" s="40" t="s">
        <v>1000</v>
      </c>
      <c r="C14" s="40" t="s">
        <v>150</v>
      </c>
      <c r="D14" s="40" t="s">
        <v>219</v>
      </c>
      <c r="E14" s="40" t="s">
        <v>132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133</v>
      </c>
      <c r="B15" s="40" t="s">
        <v>1000</v>
      </c>
      <c r="C15" s="40" t="s">
        <v>150</v>
      </c>
      <c r="D15" s="40" t="s">
        <v>219</v>
      </c>
      <c r="E15" s="40" t="s">
        <v>134</v>
      </c>
      <c r="F15" s="40"/>
      <c r="G15" s="6">
        <f>'пр.4.1.ведом.22-23'!G865</f>
        <v>0</v>
      </c>
      <c r="H15" s="6">
        <f>'пр.4.1.ведом.22-23'!H865</f>
        <v>0</v>
      </c>
    </row>
    <row r="16" spans="1:8" ht="47.25" hidden="1" x14ac:dyDescent="0.25">
      <c r="A16" s="45" t="s">
        <v>623</v>
      </c>
      <c r="B16" s="40" t="s">
        <v>1000</v>
      </c>
      <c r="C16" s="40" t="s">
        <v>150</v>
      </c>
      <c r="D16" s="40" t="s">
        <v>219</v>
      </c>
      <c r="E16" s="40" t="s">
        <v>134</v>
      </c>
      <c r="F16" s="40" t="s">
        <v>624</v>
      </c>
      <c r="G16" s="6">
        <f>G15</f>
        <v>0</v>
      </c>
      <c r="H16" s="6">
        <f>H15</f>
        <v>0</v>
      </c>
    </row>
    <row r="17" spans="1:8" ht="47.25" x14ac:dyDescent="0.25">
      <c r="A17" s="34" t="s">
        <v>1063</v>
      </c>
      <c r="B17" s="24" t="s">
        <v>959</v>
      </c>
      <c r="C17" s="40"/>
      <c r="D17" s="40"/>
      <c r="E17" s="40"/>
      <c r="F17" s="40"/>
      <c r="G17" s="4">
        <f t="shared" ref="G17:H19" si="2">G18</f>
        <v>2127.6</v>
      </c>
      <c r="H17" s="4">
        <f t="shared" si="2"/>
        <v>1949.1</v>
      </c>
    </row>
    <row r="18" spans="1:8" ht="15.75" x14ac:dyDescent="0.25">
      <c r="A18" s="29" t="s">
        <v>232</v>
      </c>
      <c r="B18" s="40" t="s">
        <v>959</v>
      </c>
      <c r="C18" s="40" t="s">
        <v>150</v>
      </c>
      <c r="D18" s="40"/>
      <c r="E18" s="40"/>
      <c r="F18" s="40"/>
      <c r="G18" s="6">
        <f t="shared" si="2"/>
        <v>2127.6</v>
      </c>
      <c r="H18" s="6">
        <f t="shared" si="2"/>
        <v>1949.1</v>
      </c>
    </row>
    <row r="19" spans="1:8" ht="15.75" x14ac:dyDescent="0.25">
      <c r="A19" s="29" t="s">
        <v>508</v>
      </c>
      <c r="B19" s="40" t="s">
        <v>959</v>
      </c>
      <c r="C19" s="40" t="s">
        <v>150</v>
      </c>
      <c r="D19" s="40" t="s">
        <v>219</v>
      </c>
      <c r="E19" s="40"/>
      <c r="F19" s="40"/>
      <c r="G19" s="6">
        <f t="shared" si="2"/>
        <v>2127.6</v>
      </c>
      <c r="H19" s="6">
        <f t="shared" si="2"/>
        <v>1949.1</v>
      </c>
    </row>
    <row r="20" spans="1:8" ht="15.75" x14ac:dyDescent="0.25">
      <c r="A20" s="29" t="s">
        <v>511</v>
      </c>
      <c r="B20" s="40" t="s">
        <v>1002</v>
      </c>
      <c r="C20" s="40" t="s">
        <v>150</v>
      </c>
      <c r="D20" s="40" t="s">
        <v>219</v>
      </c>
      <c r="E20" s="40"/>
      <c r="F20" s="40"/>
      <c r="G20" s="6">
        <f>G24+G27+G21</f>
        <v>2127.6</v>
      </c>
      <c r="H20" s="6">
        <f>H24+H27+H21</f>
        <v>1949.1</v>
      </c>
    </row>
    <row r="21" spans="1:8" s="203" customFormat="1" ht="94.5" x14ac:dyDescent="0.25">
      <c r="A21" s="25" t="s">
        <v>127</v>
      </c>
      <c r="B21" s="40" t="s">
        <v>1002</v>
      </c>
      <c r="C21" s="40" t="s">
        <v>150</v>
      </c>
      <c r="D21" s="40" t="s">
        <v>219</v>
      </c>
      <c r="E21" s="40" t="s">
        <v>128</v>
      </c>
      <c r="F21" s="40"/>
      <c r="G21" s="6">
        <f>G22</f>
        <v>1807</v>
      </c>
      <c r="H21" s="6">
        <f>H22</f>
        <v>1807</v>
      </c>
    </row>
    <row r="22" spans="1:8" s="203" customFormat="1" ht="31.5" x14ac:dyDescent="0.25">
      <c r="A22" s="25" t="s">
        <v>342</v>
      </c>
      <c r="B22" s="40" t="s">
        <v>1002</v>
      </c>
      <c r="C22" s="40" t="s">
        <v>150</v>
      </c>
      <c r="D22" s="40" t="s">
        <v>219</v>
      </c>
      <c r="E22" s="40" t="s">
        <v>209</v>
      </c>
      <c r="F22" s="40"/>
      <c r="G22" s="6">
        <f>'пр.4.1.ведом.22-23'!G869</f>
        <v>1807</v>
      </c>
      <c r="H22" s="6">
        <f>'пр.4.1.ведом.22-23'!H869</f>
        <v>1807</v>
      </c>
    </row>
    <row r="23" spans="1:8" s="203" customFormat="1" ht="47.25" x14ac:dyDescent="0.25">
      <c r="A23" s="45" t="s">
        <v>623</v>
      </c>
      <c r="B23" s="40" t="s">
        <v>1002</v>
      </c>
      <c r="C23" s="40" t="s">
        <v>150</v>
      </c>
      <c r="D23" s="40" t="s">
        <v>219</v>
      </c>
      <c r="E23" s="40" t="s">
        <v>209</v>
      </c>
      <c r="F23" s="40" t="s">
        <v>624</v>
      </c>
      <c r="G23" s="6">
        <f>G22</f>
        <v>1807</v>
      </c>
      <c r="H23" s="6">
        <f>H22</f>
        <v>1807</v>
      </c>
    </row>
    <row r="24" spans="1:8" ht="31.5" x14ac:dyDescent="0.25">
      <c r="A24" s="29" t="s">
        <v>131</v>
      </c>
      <c r="B24" s="40" t="s">
        <v>1002</v>
      </c>
      <c r="C24" s="40" t="s">
        <v>150</v>
      </c>
      <c r="D24" s="40" t="s">
        <v>219</v>
      </c>
      <c r="E24" s="40" t="s">
        <v>132</v>
      </c>
      <c r="F24" s="40"/>
      <c r="G24" s="6">
        <f t="shared" ref="G24:H24" si="3">G25</f>
        <v>320.60000000000002</v>
      </c>
      <c r="H24" s="6">
        <f t="shared" si="3"/>
        <v>142.10000000000002</v>
      </c>
    </row>
    <row r="25" spans="1:8" ht="47.25" x14ac:dyDescent="0.25">
      <c r="A25" s="29" t="s">
        <v>133</v>
      </c>
      <c r="B25" s="40" t="s">
        <v>1002</v>
      </c>
      <c r="C25" s="40" t="s">
        <v>150</v>
      </c>
      <c r="D25" s="40" t="s">
        <v>219</v>
      </c>
      <c r="E25" s="40" t="s">
        <v>134</v>
      </c>
      <c r="F25" s="40"/>
      <c r="G25" s="6">
        <f>'пр.4.1.ведом.22-23'!G871</f>
        <v>320.60000000000002</v>
      </c>
      <c r="H25" s="6">
        <f>'пр.4.1.ведом.22-23'!H871</f>
        <v>142.10000000000002</v>
      </c>
    </row>
    <row r="26" spans="1:8" ht="47.25" x14ac:dyDescent="0.25">
      <c r="A26" s="45" t="s">
        <v>623</v>
      </c>
      <c r="B26" s="40" t="s">
        <v>1002</v>
      </c>
      <c r="C26" s="40" t="s">
        <v>150</v>
      </c>
      <c r="D26" s="40" t="s">
        <v>219</v>
      </c>
      <c r="E26" s="40" t="s">
        <v>134</v>
      </c>
      <c r="F26" s="40" t="s">
        <v>624</v>
      </c>
      <c r="G26" s="6">
        <f>G25</f>
        <v>320.60000000000002</v>
      </c>
      <c r="H26" s="6">
        <f>H25</f>
        <v>142.10000000000002</v>
      </c>
    </row>
    <row r="27" spans="1:8" ht="15.75" hidden="1" x14ac:dyDescent="0.25">
      <c r="A27" s="25" t="s">
        <v>135</v>
      </c>
      <c r="B27" s="40" t="s">
        <v>1002</v>
      </c>
      <c r="C27" s="40" t="s">
        <v>150</v>
      </c>
      <c r="D27" s="40" t="s">
        <v>219</v>
      </c>
      <c r="E27" s="40" t="s">
        <v>145</v>
      </c>
      <c r="F27" s="40"/>
      <c r="G27" s="6">
        <f t="shared" ref="G27:H27" si="4">G28</f>
        <v>0</v>
      </c>
      <c r="H27" s="6">
        <f t="shared" si="4"/>
        <v>0</v>
      </c>
    </row>
    <row r="28" spans="1:8" ht="15.75" hidden="1" x14ac:dyDescent="0.25">
      <c r="A28" s="25" t="s">
        <v>137</v>
      </c>
      <c r="B28" s="40" t="s">
        <v>1002</v>
      </c>
      <c r="C28" s="40" t="s">
        <v>150</v>
      </c>
      <c r="D28" s="40" t="s">
        <v>219</v>
      </c>
      <c r="E28" s="40" t="s">
        <v>138</v>
      </c>
      <c r="F28" s="40"/>
      <c r="G28" s="6">
        <f>'пр.4.1.ведом.22-23'!G873</f>
        <v>0</v>
      </c>
      <c r="H28" s="6">
        <f>'пр.4.1.ведом.22-23'!H873</f>
        <v>0</v>
      </c>
    </row>
    <row r="29" spans="1:8" ht="47.25" hidden="1" x14ac:dyDescent="0.25">
      <c r="A29" s="45" t="s">
        <v>623</v>
      </c>
      <c r="B29" s="40" t="s">
        <v>1002</v>
      </c>
      <c r="C29" s="40" t="s">
        <v>150</v>
      </c>
      <c r="D29" s="40" t="s">
        <v>219</v>
      </c>
      <c r="E29" s="40" t="s">
        <v>138</v>
      </c>
      <c r="F29" s="40" t="s">
        <v>624</v>
      </c>
      <c r="G29" s="6">
        <f>G28</f>
        <v>0</v>
      </c>
      <c r="H29" s="6">
        <f>H28</f>
        <v>0</v>
      </c>
    </row>
    <row r="30" spans="1:8" ht="63" x14ac:dyDescent="0.25">
      <c r="A30" s="58" t="s">
        <v>1393</v>
      </c>
      <c r="B30" s="7" t="s">
        <v>344</v>
      </c>
      <c r="C30" s="7"/>
      <c r="D30" s="7"/>
      <c r="E30" s="7"/>
      <c r="F30" s="7"/>
      <c r="G30" s="59">
        <f>G31+G60+G68+G97+G109</f>
        <v>3281.61</v>
      </c>
      <c r="H30" s="59">
        <f>H31+H60+H68+H97+H109</f>
        <v>3896.11</v>
      </c>
    </row>
    <row r="31" spans="1:8" ht="31.5" x14ac:dyDescent="0.25">
      <c r="A31" s="58" t="s">
        <v>625</v>
      </c>
      <c r="B31" s="7" t="s">
        <v>346</v>
      </c>
      <c r="C31" s="7"/>
      <c r="D31" s="7"/>
      <c r="E31" s="7"/>
      <c r="F31" s="7"/>
      <c r="G31" s="59">
        <f>G33+G43+G53</f>
        <v>760</v>
      </c>
      <c r="H31" s="59">
        <f>H33+H43+H53</f>
        <v>825</v>
      </c>
    </row>
    <row r="32" spans="1:8" ht="63" x14ac:dyDescent="0.25">
      <c r="A32" s="210" t="s">
        <v>1031</v>
      </c>
      <c r="B32" s="24" t="s">
        <v>892</v>
      </c>
      <c r="C32" s="7"/>
      <c r="D32" s="7"/>
      <c r="E32" s="40"/>
      <c r="F32" s="40"/>
      <c r="G32" s="59">
        <f>G33</f>
        <v>280</v>
      </c>
      <c r="H32" s="59">
        <f>H33</f>
        <v>280</v>
      </c>
    </row>
    <row r="33" spans="1:8" ht="15.75" x14ac:dyDescent="0.25">
      <c r="A33" s="45" t="s">
        <v>263</v>
      </c>
      <c r="B33" s="40" t="s">
        <v>892</v>
      </c>
      <c r="C33" s="40" t="s">
        <v>264</v>
      </c>
      <c r="D33" s="40"/>
      <c r="E33" s="40"/>
      <c r="F33" s="40"/>
      <c r="G33" s="10">
        <f t="shared" ref="G33:H33" si="5">G34</f>
        <v>280</v>
      </c>
      <c r="H33" s="10">
        <f t="shared" si="5"/>
        <v>280</v>
      </c>
    </row>
    <row r="34" spans="1:8" ht="17.45" customHeight="1" x14ac:dyDescent="0.25">
      <c r="A34" s="45" t="s">
        <v>466</v>
      </c>
      <c r="B34" s="40" t="s">
        <v>892</v>
      </c>
      <c r="C34" s="40" t="s">
        <v>264</v>
      </c>
      <c r="D34" s="40" t="s">
        <v>264</v>
      </c>
      <c r="E34" s="40"/>
      <c r="F34" s="40"/>
      <c r="G34" s="10">
        <f>G35+G39</f>
        <v>280</v>
      </c>
      <c r="H34" s="10">
        <f>H35+H39</f>
        <v>280</v>
      </c>
    </row>
    <row r="35" spans="1:8" ht="31.5" x14ac:dyDescent="0.25">
      <c r="A35" s="98" t="s">
        <v>1037</v>
      </c>
      <c r="B35" s="20" t="s">
        <v>893</v>
      </c>
      <c r="C35" s="40" t="s">
        <v>264</v>
      </c>
      <c r="D35" s="40" t="s">
        <v>264</v>
      </c>
      <c r="E35" s="40"/>
      <c r="F35" s="40"/>
      <c r="G35" s="10">
        <f>G36</f>
        <v>280</v>
      </c>
      <c r="H35" s="10">
        <f>H36</f>
        <v>280</v>
      </c>
    </row>
    <row r="36" spans="1:8" ht="94.5" x14ac:dyDescent="0.25">
      <c r="A36" s="25" t="s">
        <v>127</v>
      </c>
      <c r="B36" s="20" t="s">
        <v>893</v>
      </c>
      <c r="C36" s="40" t="s">
        <v>264</v>
      </c>
      <c r="D36" s="40" t="s">
        <v>264</v>
      </c>
      <c r="E36" s="40" t="s">
        <v>128</v>
      </c>
      <c r="F36" s="40"/>
      <c r="G36" s="10">
        <f>G37</f>
        <v>280</v>
      </c>
      <c r="H36" s="10">
        <f>H37</f>
        <v>280</v>
      </c>
    </row>
    <row r="37" spans="1:8" ht="31.5" x14ac:dyDescent="0.25">
      <c r="A37" s="25" t="s">
        <v>342</v>
      </c>
      <c r="B37" s="20" t="s">
        <v>893</v>
      </c>
      <c r="C37" s="40" t="s">
        <v>264</v>
      </c>
      <c r="D37" s="40" t="s">
        <v>264</v>
      </c>
      <c r="E37" s="40" t="s">
        <v>209</v>
      </c>
      <c r="F37" s="40"/>
      <c r="G37" s="10">
        <f>'пр.4.1.ведом.22-23'!G343</f>
        <v>280</v>
      </c>
      <c r="H37" s="10">
        <f>'пр.4.1.ведом.22-23'!H343</f>
        <v>280</v>
      </c>
    </row>
    <row r="38" spans="1:8" ht="47.25" x14ac:dyDescent="0.25">
      <c r="A38" s="45" t="s">
        <v>261</v>
      </c>
      <c r="B38" s="20" t="s">
        <v>893</v>
      </c>
      <c r="C38" s="40" t="s">
        <v>264</v>
      </c>
      <c r="D38" s="40" t="s">
        <v>264</v>
      </c>
      <c r="E38" s="40" t="s">
        <v>209</v>
      </c>
      <c r="F38" s="40" t="s">
        <v>627</v>
      </c>
      <c r="G38" s="6">
        <f>G37</f>
        <v>280</v>
      </c>
      <c r="H38" s="6">
        <f>H37</f>
        <v>280</v>
      </c>
    </row>
    <row r="39" spans="1:8" ht="31.5" hidden="1" x14ac:dyDescent="0.25">
      <c r="A39" s="25" t="s">
        <v>1032</v>
      </c>
      <c r="B39" s="20" t="s">
        <v>1049</v>
      </c>
      <c r="C39" s="40" t="s">
        <v>264</v>
      </c>
      <c r="D39" s="40" t="s">
        <v>264</v>
      </c>
      <c r="E39" s="40"/>
      <c r="F39" s="40"/>
      <c r="G39" s="10">
        <f>G40</f>
        <v>0</v>
      </c>
      <c r="H39" s="10">
        <f>H40</f>
        <v>0</v>
      </c>
    </row>
    <row r="40" spans="1:8" ht="31.5" hidden="1" x14ac:dyDescent="0.25">
      <c r="A40" s="25" t="s">
        <v>131</v>
      </c>
      <c r="B40" s="20" t="s">
        <v>1049</v>
      </c>
      <c r="C40" s="40" t="s">
        <v>264</v>
      </c>
      <c r="D40" s="40" t="s">
        <v>264</v>
      </c>
      <c r="E40" s="40" t="s">
        <v>132</v>
      </c>
      <c r="F40" s="40"/>
      <c r="G40" s="10">
        <f>G41</f>
        <v>0</v>
      </c>
      <c r="H40" s="10">
        <f>H41</f>
        <v>0</v>
      </c>
    </row>
    <row r="41" spans="1:8" ht="47.25" hidden="1" x14ac:dyDescent="0.25">
      <c r="A41" s="25" t="s">
        <v>133</v>
      </c>
      <c r="B41" s="20" t="s">
        <v>1049</v>
      </c>
      <c r="C41" s="40" t="s">
        <v>264</v>
      </c>
      <c r="D41" s="40" t="s">
        <v>264</v>
      </c>
      <c r="E41" s="40" t="s">
        <v>134</v>
      </c>
      <c r="F41" s="40"/>
      <c r="G41" s="10">
        <f>'пр.4.1.ведом.22-23'!G346</f>
        <v>0</v>
      </c>
      <c r="H41" s="10">
        <f>'пр.4.1.ведом.22-23'!H346</f>
        <v>0</v>
      </c>
    </row>
    <row r="42" spans="1:8" ht="47.25" hidden="1" x14ac:dyDescent="0.25">
      <c r="A42" s="45" t="s">
        <v>261</v>
      </c>
      <c r="B42" s="20" t="s">
        <v>1049</v>
      </c>
      <c r="C42" s="40" t="s">
        <v>264</v>
      </c>
      <c r="D42" s="40" t="s">
        <v>264</v>
      </c>
      <c r="E42" s="40" t="s">
        <v>134</v>
      </c>
      <c r="F42" s="40" t="s">
        <v>627</v>
      </c>
      <c r="G42" s="6">
        <f>G41</f>
        <v>0</v>
      </c>
      <c r="H42" s="6">
        <f>H41</f>
        <v>0</v>
      </c>
    </row>
    <row r="43" spans="1:8" ht="78.75" x14ac:dyDescent="0.25">
      <c r="A43" s="23" t="s">
        <v>1033</v>
      </c>
      <c r="B43" s="24" t="s">
        <v>894</v>
      </c>
      <c r="C43" s="40"/>
      <c r="D43" s="40"/>
      <c r="E43" s="40"/>
      <c r="F43" s="40"/>
      <c r="G43" s="59">
        <f>G44</f>
        <v>455</v>
      </c>
      <c r="H43" s="59">
        <f>H44</f>
        <v>520</v>
      </c>
    </row>
    <row r="44" spans="1:8" ht="15.75" x14ac:dyDescent="0.25">
      <c r="A44" s="45" t="s">
        <v>263</v>
      </c>
      <c r="B44" s="40" t="s">
        <v>894</v>
      </c>
      <c r="C44" s="40" t="s">
        <v>264</v>
      </c>
      <c r="D44" s="40"/>
      <c r="E44" s="40"/>
      <c r="F44" s="40"/>
      <c r="G44" s="10">
        <f>G45</f>
        <v>455</v>
      </c>
      <c r="H44" s="10">
        <f>H45</f>
        <v>520</v>
      </c>
    </row>
    <row r="45" spans="1:8" ht="21.75" customHeight="1" x14ac:dyDescent="0.25">
      <c r="A45" s="45" t="s">
        <v>466</v>
      </c>
      <c r="B45" s="40" t="s">
        <v>894</v>
      </c>
      <c r="C45" s="40" t="s">
        <v>264</v>
      </c>
      <c r="D45" s="40" t="s">
        <v>264</v>
      </c>
      <c r="E45" s="40"/>
      <c r="F45" s="40"/>
      <c r="G45" s="10">
        <f>G46+G50</f>
        <v>455</v>
      </c>
      <c r="H45" s="10">
        <f>H46+H50</f>
        <v>520</v>
      </c>
    </row>
    <row r="46" spans="1:8" ht="31.5" x14ac:dyDescent="0.25">
      <c r="A46" s="25" t="s">
        <v>1034</v>
      </c>
      <c r="B46" s="20" t="s">
        <v>901</v>
      </c>
      <c r="C46" s="40" t="s">
        <v>264</v>
      </c>
      <c r="D46" s="40" t="s">
        <v>264</v>
      </c>
      <c r="E46" s="40"/>
      <c r="F46" s="40"/>
      <c r="G46" s="10">
        <f>G47</f>
        <v>40</v>
      </c>
      <c r="H46" s="10">
        <f>H47</f>
        <v>40</v>
      </c>
    </row>
    <row r="47" spans="1:8" ht="94.5" x14ac:dyDescent="0.25">
      <c r="A47" s="25" t="s">
        <v>127</v>
      </c>
      <c r="B47" s="20" t="s">
        <v>901</v>
      </c>
      <c r="C47" s="40" t="s">
        <v>264</v>
      </c>
      <c r="D47" s="40" t="s">
        <v>264</v>
      </c>
      <c r="E47" s="40" t="s">
        <v>128</v>
      </c>
      <c r="F47" s="40"/>
      <c r="G47" s="10">
        <f t="shared" ref="G47:H47" si="6">G48</f>
        <v>40</v>
      </c>
      <c r="H47" s="10">
        <f t="shared" si="6"/>
        <v>40</v>
      </c>
    </row>
    <row r="48" spans="1:8" ht="31.5" x14ac:dyDescent="0.25">
      <c r="A48" s="25" t="s">
        <v>342</v>
      </c>
      <c r="B48" s="20" t="s">
        <v>901</v>
      </c>
      <c r="C48" s="40" t="s">
        <v>264</v>
      </c>
      <c r="D48" s="40" t="s">
        <v>264</v>
      </c>
      <c r="E48" s="40" t="s">
        <v>209</v>
      </c>
      <c r="F48" s="40"/>
      <c r="G48" s="10">
        <f>'пр.4.1.ведом.22-23'!G350</f>
        <v>40</v>
      </c>
      <c r="H48" s="10">
        <f>'пр.4.1.ведом.22-23'!H350</f>
        <v>40</v>
      </c>
    </row>
    <row r="49" spans="1:8" ht="47.25" x14ac:dyDescent="0.25">
      <c r="A49" s="45" t="s">
        <v>261</v>
      </c>
      <c r="B49" s="20" t="s">
        <v>901</v>
      </c>
      <c r="C49" s="40" t="s">
        <v>264</v>
      </c>
      <c r="D49" s="40" t="s">
        <v>264</v>
      </c>
      <c r="E49" s="40" t="s">
        <v>209</v>
      </c>
      <c r="F49" s="40" t="s">
        <v>627</v>
      </c>
      <c r="G49" s="6">
        <f>G48</f>
        <v>40</v>
      </c>
      <c r="H49" s="6">
        <f>H48</f>
        <v>40</v>
      </c>
    </row>
    <row r="50" spans="1:8" ht="31.5" x14ac:dyDescent="0.25">
      <c r="A50" s="25" t="s">
        <v>131</v>
      </c>
      <c r="B50" s="20" t="s">
        <v>901</v>
      </c>
      <c r="C50" s="40" t="s">
        <v>264</v>
      </c>
      <c r="D50" s="40" t="s">
        <v>264</v>
      </c>
      <c r="E50" s="40" t="s">
        <v>132</v>
      </c>
      <c r="F50" s="40"/>
      <c r="G50" s="10">
        <f t="shared" ref="G50:H50" si="7">G51</f>
        <v>415</v>
      </c>
      <c r="H50" s="10">
        <f t="shared" si="7"/>
        <v>480</v>
      </c>
    </row>
    <row r="51" spans="1:8" ht="47.25" x14ac:dyDescent="0.25">
      <c r="A51" s="25" t="s">
        <v>133</v>
      </c>
      <c r="B51" s="20" t="s">
        <v>901</v>
      </c>
      <c r="C51" s="40" t="s">
        <v>264</v>
      </c>
      <c r="D51" s="40" t="s">
        <v>264</v>
      </c>
      <c r="E51" s="40" t="s">
        <v>134</v>
      </c>
      <c r="F51" s="40"/>
      <c r="G51" s="6">
        <f>'пр.4.1.ведом.22-23'!G352</f>
        <v>415</v>
      </c>
      <c r="H51" s="6">
        <f>'пр.4.1.ведом.22-23'!H352</f>
        <v>480</v>
      </c>
    </row>
    <row r="52" spans="1:8" ht="47.25" x14ac:dyDescent="0.25">
      <c r="A52" s="45" t="s">
        <v>261</v>
      </c>
      <c r="B52" s="20" t="s">
        <v>901</v>
      </c>
      <c r="C52" s="40" t="s">
        <v>264</v>
      </c>
      <c r="D52" s="40" t="s">
        <v>264</v>
      </c>
      <c r="E52" s="40" t="s">
        <v>134</v>
      </c>
      <c r="F52" s="40" t="s">
        <v>627</v>
      </c>
      <c r="G52" s="6">
        <f>G51</f>
        <v>415</v>
      </c>
      <c r="H52" s="6">
        <f>H51</f>
        <v>480</v>
      </c>
    </row>
    <row r="53" spans="1:8" ht="47.25" x14ac:dyDescent="0.25">
      <c r="A53" s="23" t="s">
        <v>1039</v>
      </c>
      <c r="B53" s="24" t="s">
        <v>1035</v>
      </c>
      <c r="C53" s="40"/>
      <c r="D53" s="40"/>
      <c r="E53" s="40"/>
      <c r="F53" s="40"/>
      <c r="G53" s="4">
        <f>G56</f>
        <v>25</v>
      </c>
      <c r="H53" s="4">
        <f>H56</f>
        <v>25</v>
      </c>
    </row>
    <row r="54" spans="1:8" ht="15.75" x14ac:dyDescent="0.25">
      <c r="A54" s="45" t="s">
        <v>263</v>
      </c>
      <c r="B54" s="40" t="s">
        <v>1035</v>
      </c>
      <c r="C54" s="40" t="s">
        <v>264</v>
      </c>
      <c r="D54" s="40"/>
      <c r="E54" s="40"/>
      <c r="F54" s="40"/>
      <c r="G54" s="10">
        <f>G55</f>
        <v>25</v>
      </c>
      <c r="H54" s="10">
        <f>H55</f>
        <v>25</v>
      </c>
    </row>
    <row r="55" spans="1:8" ht="20.25" customHeight="1" x14ac:dyDescent="0.25">
      <c r="A55" s="45" t="s">
        <v>466</v>
      </c>
      <c r="B55" s="40" t="s">
        <v>1035</v>
      </c>
      <c r="C55" s="40" t="s">
        <v>264</v>
      </c>
      <c r="D55" s="40" t="s">
        <v>264</v>
      </c>
      <c r="E55" s="40"/>
      <c r="F55" s="40"/>
      <c r="G55" s="10">
        <f>G56</f>
        <v>25</v>
      </c>
      <c r="H55" s="10">
        <f>H56</f>
        <v>25</v>
      </c>
    </row>
    <row r="56" spans="1:8" ht="63" x14ac:dyDescent="0.25">
      <c r="A56" s="230" t="s">
        <v>1036</v>
      </c>
      <c r="B56" s="20" t="s">
        <v>1050</v>
      </c>
      <c r="C56" s="40" t="s">
        <v>264</v>
      </c>
      <c r="D56" s="40" t="s">
        <v>264</v>
      </c>
      <c r="E56" s="20"/>
      <c r="F56" s="40"/>
      <c r="G56" s="6">
        <f t="shared" ref="G56:H56" si="8">G57</f>
        <v>25</v>
      </c>
      <c r="H56" s="6">
        <f t="shared" si="8"/>
        <v>25</v>
      </c>
    </row>
    <row r="57" spans="1:8" ht="31.5" x14ac:dyDescent="0.25">
      <c r="A57" s="25" t="s">
        <v>248</v>
      </c>
      <c r="B57" s="20" t="s">
        <v>1050</v>
      </c>
      <c r="C57" s="40" t="s">
        <v>264</v>
      </c>
      <c r="D57" s="40" t="s">
        <v>264</v>
      </c>
      <c r="E57" s="20" t="s">
        <v>249</v>
      </c>
      <c r="F57" s="40"/>
      <c r="G57" s="6">
        <f>G58</f>
        <v>25</v>
      </c>
      <c r="H57" s="6">
        <f>H58</f>
        <v>25</v>
      </c>
    </row>
    <row r="58" spans="1:8" ht="31.5" x14ac:dyDescent="0.25">
      <c r="A58" s="25" t="s">
        <v>1201</v>
      </c>
      <c r="B58" s="20" t="s">
        <v>1050</v>
      </c>
      <c r="C58" s="40" t="s">
        <v>264</v>
      </c>
      <c r="D58" s="40" t="s">
        <v>264</v>
      </c>
      <c r="E58" s="20" t="s">
        <v>349</v>
      </c>
      <c r="F58" s="40"/>
      <c r="G58" s="10">
        <f>'пр.4.1.ведом.22-23'!G356</f>
        <v>25</v>
      </c>
      <c r="H58" s="10">
        <f>'пр.4.1.ведом.22-23'!H356</f>
        <v>25</v>
      </c>
    </row>
    <row r="59" spans="1:8" ht="47.25" x14ac:dyDescent="0.25">
      <c r="A59" s="45" t="s">
        <v>261</v>
      </c>
      <c r="B59" s="20" t="s">
        <v>1050</v>
      </c>
      <c r="C59" s="40" t="s">
        <v>264</v>
      </c>
      <c r="D59" s="40" t="s">
        <v>264</v>
      </c>
      <c r="E59" s="40" t="s">
        <v>349</v>
      </c>
      <c r="F59" s="40" t="s">
        <v>627</v>
      </c>
      <c r="G59" s="6">
        <f>G58</f>
        <v>25</v>
      </c>
      <c r="H59" s="6">
        <f>H58</f>
        <v>25</v>
      </c>
    </row>
    <row r="60" spans="1:8" ht="47.25" hidden="1" x14ac:dyDescent="0.25">
      <c r="A60" s="58" t="s">
        <v>1394</v>
      </c>
      <c r="B60" s="7" t="s">
        <v>353</v>
      </c>
      <c r="C60" s="7"/>
      <c r="D60" s="7"/>
      <c r="E60" s="7"/>
      <c r="F60" s="7"/>
      <c r="G60" s="59">
        <f>G61</f>
        <v>294.61</v>
      </c>
      <c r="H60" s="59">
        <f>H61</f>
        <v>289.11</v>
      </c>
    </row>
    <row r="61" spans="1:8" ht="31.5" hidden="1" x14ac:dyDescent="0.25">
      <c r="A61" s="23" t="s">
        <v>905</v>
      </c>
      <c r="B61" s="24" t="s">
        <v>904</v>
      </c>
      <c r="C61" s="7"/>
      <c r="D61" s="7"/>
      <c r="E61" s="7"/>
      <c r="F61" s="7"/>
      <c r="G61" s="59">
        <f>G62</f>
        <v>294.61</v>
      </c>
      <c r="H61" s="59">
        <f>H62</f>
        <v>289.11</v>
      </c>
    </row>
    <row r="62" spans="1:8" ht="15.75" hidden="1" x14ac:dyDescent="0.25">
      <c r="A62" s="45" t="s">
        <v>243</v>
      </c>
      <c r="B62" s="40" t="s">
        <v>904</v>
      </c>
      <c r="C62" s="40" t="s">
        <v>244</v>
      </c>
      <c r="D62" s="40"/>
      <c r="E62" s="40"/>
      <c r="F62" s="40"/>
      <c r="G62" s="10">
        <f t="shared" ref="G62:H65" si="9">G63</f>
        <v>294.61</v>
      </c>
      <c r="H62" s="10">
        <f t="shared" si="9"/>
        <v>289.11</v>
      </c>
    </row>
    <row r="63" spans="1:8" ht="15.75" hidden="1" x14ac:dyDescent="0.25">
      <c r="A63" s="45" t="s">
        <v>252</v>
      </c>
      <c r="B63" s="40" t="s">
        <v>904</v>
      </c>
      <c r="C63" s="40" t="s">
        <v>244</v>
      </c>
      <c r="D63" s="40" t="s">
        <v>215</v>
      </c>
      <c r="E63" s="40"/>
      <c r="F63" s="40"/>
      <c r="G63" s="10">
        <f>G64</f>
        <v>294.61</v>
      </c>
      <c r="H63" s="10">
        <f>H64</f>
        <v>289.11</v>
      </c>
    </row>
    <row r="64" spans="1:8" ht="31.5" hidden="1" x14ac:dyDescent="0.25">
      <c r="A64" s="25" t="s">
        <v>824</v>
      </c>
      <c r="B64" s="20" t="s">
        <v>906</v>
      </c>
      <c r="C64" s="40" t="s">
        <v>244</v>
      </c>
      <c r="D64" s="40" t="s">
        <v>215</v>
      </c>
      <c r="E64" s="40"/>
      <c r="F64" s="40"/>
      <c r="G64" s="10">
        <f t="shared" si="9"/>
        <v>294.61</v>
      </c>
      <c r="H64" s="10">
        <f t="shared" si="9"/>
        <v>289.11</v>
      </c>
    </row>
    <row r="65" spans="1:8" ht="31.5" hidden="1" x14ac:dyDescent="0.25">
      <c r="A65" s="29" t="s">
        <v>248</v>
      </c>
      <c r="B65" s="20" t="s">
        <v>906</v>
      </c>
      <c r="C65" s="40" t="s">
        <v>244</v>
      </c>
      <c r="D65" s="40" t="s">
        <v>215</v>
      </c>
      <c r="E65" s="40" t="s">
        <v>249</v>
      </c>
      <c r="F65" s="40"/>
      <c r="G65" s="10">
        <f t="shared" si="9"/>
        <v>294.61</v>
      </c>
      <c r="H65" s="10">
        <f t="shared" si="9"/>
        <v>289.11</v>
      </c>
    </row>
    <row r="66" spans="1:8" ht="47.25" hidden="1" x14ac:dyDescent="0.25">
      <c r="A66" s="29" t="s">
        <v>250</v>
      </c>
      <c r="B66" s="20" t="s">
        <v>906</v>
      </c>
      <c r="C66" s="40" t="s">
        <v>244</v>
      </c>
      <c r="D66" s="40" t="s">
        <v>215</v>
      </c>
      <c r="E66" s="40" t="s">
        <v>251</v>
      </c>
      <c r="F66" s="40"/>
      <c r="G66" s="10">
        <f>'пр.4.1.ведом.22-23'!G452</f>
        <v>294.61</v>
      </c>
      <c r="H66" s="10">
        <f>'пр.4.1.ведом.22-23'!H452</f>
        <v>289.11</v>
      </c>
    </row>
    <row r="67" spans="1:8" ht="47.25" hidden="1" x14ac:dyDescent="0.25">
      <c r="A67" s="45" t="s">
        <v>261</v>
      </c>
      <c r="B67" s="20" t="s">
        <v>906</v>
      </c>
      <c r="C67" s="40" t="s">
        <v>244</v>
      </c>
      <c r="D67" s="40" t="s">
        <v>215</v>
      </c>
      <c r="E67" s="40" t="s">
        <v>251</v>
      </c>
      <c r="F67" s="40" t="s">
        <v>627</v>
      </c>
      <c r="G67" s="10">
        <f>G66</f>
        <v>294.61</v>
      </c>
      <c r="H67" s="10">
        <f>H66</f>
        <v>289.11</v>
      </c>
    </row>
    <row r="68" spans="1:8" s="203" customFormat="1" ht="63" x14ac:dyDescent="0.25">
      <c r="A68" s="41" t="s">
        <v>367</v>
      </c>
      <c r="B68" s="7" t="s">
        <v>356</v>
      </c>
      <c r="C68" s="7"/>
      <c r="D68" s="7"/>
      <c r="E68" s="7"/>
      <c r="F68" s="7"/>
      <c r="G68" s="59">
        <f>G69+G76+G83+G90</f>
        <v>260</v>
      </c>
      <c r="H68" s="59">
        <f>H69+H76+H83+H90</f>
        <v>260</v>
      </c>
    </row>
    <row r="69" spans="1:8" s="203" customFormat="1" ht="47.25" hidden="1" x14ac:dyDescent="0.25">
      <c r="A69" s="214" t="s">
        <v>1045</v>
      </c>
      <c r="B69" s="24" t="s">
        <v>907</v>
      </c>
      <c r="C69" s="7"/>
      <c r="D69" s="7"/>
      <c r="E69" s="7"/>
      <c r="F69" s="7"/>
      <c r="G69" s="59">
        <f t="shared" ref="G69:H73" si="10">G70</f>
        <v>0</v>
      </c>
      <c r="H69" s="59">
        <f t="shared" si="10"/>
        <v>0</v>
      </c>
    </row>
    <row r="70" spans="1:8" s="203" customFormat="1" ht="15.75" hidden="1" x14ac:dyDescent="0.25">
      <c r="A70" s="45" t="s">
        <v>232</v>
      </c>
      <c r="B70" s="40" t="s">
        <v>907</v>
      </c>
      <c r="C70" s="40" t="s">
        <v>150</v>
      </c>
      <c r="D70" s="40"/>
      <c r="E70" s="40"/>
      <c r="F70" s="40"/>
      <c r="G70" s="10">
        <f t="shared" si="10"/>
        <v>0</v>
      </c>
      <c r="H70" s="10">
        <f t="shared" si="10"/>
        <v>0</v>
      </c>
    </row>
    <row r="71" spans="1:8" s="203" customFormat="1" ht="31.5" hidden="1" x14ac:dyDescent="0.25">
      <c r="A71" s="45" t="s">
        <v>237</v>
      </c>
      <c r="B71" s="40" t="s">
        <v>907</v>
      </c>
      <c r="C71" s="40" t="s">
        <v>150</v>
      </c>
      <c r="D71" s="40" t="s">
        <v>238</v>
      </c>
      <c r="E71" s="40"/>
      <c r="F71" s="40"/>
      <c r="G71" s="10">
        <f t="shared" si="10"/>
        <v>0</v>
      </c>
      <c r="H71" s="10">
        <f t="shared" si="10"/>
        <v>0</v>
      </c>
    </row>
    <row r="72" spans="1:8" s="203" customFormat="1" ht="63" hidden="1" x14ac:dyDescent="0.25">
      <c r="A72" s="25" t="s">
        <v>375</v>
      </c>
      <c r="B72" s="20" t="s">
        <v>1323</v>
      </c>
      <c r="C72" s="40" t="s">
        <v>150</v>
      </c>
      <c r="D72" s="40" t="s">
        <v>238</v>
      </c>
      <c r="E72" s="40"/>
      <c r="F72" s="40"/>
      <c r="G72" s="10">
        <f t="shared" si="10"/>
        <v>0</v>
      </c>
      <c r="H72" s="10">
        <f t="shared" si="10"/>
        <v>0</v>
      </c>
    </row>
    <row r="73" spans="1:8" s="203" customFormat="1" ht="31.5" hidden="1" x14ac:dyDescent="0.25">
      <c r="A73" s="25" t="s">
        <v>248</v>
      </c>
      <c r="B73" s="20" t="s">
        <v>1323</v>
      </c>
      <c r="C73" s="40" t="s">
        <v>150</v>
      </c>
      <c r="D73" s="40" t="s">
        <v>238</v>
      </c>
      <c r="E73" s="40" t="s">
        <v>249</v>
      </c>
      <c r="F73" s="40"/>
      <c r="G73" s="10">
        <f t="shared" si="10"/>
        <v>0</v>
      </c>
      <c r="H73" s="10">
        <f t="shared" si="10"/>
        <v>0</v>
      </c>
    </row>
    <row r="74" spans="1:8" s="203" customFormat="1" ht="47.25" hidden="1" x14ac:dyDescent="0.25">
      <c r="A74" s="25" t="s">
        <v>250</v>
      </c>
      <c r="B74" s="20" t="s">
        <v>1323</v>
      </c>
      <c r="C74" s="40" t="s">
        <v>150</v>
      </c>
      <c r="D74" s="40" t="s">
        <v>238</v>
      </c>
      <c r="E74" s="40" t="s">
        <v>251</v>
      </c>
      <c r="F74" s="40"/>
      <c r="G74" s="10">
        <f>'пр.4.1.ведом.22-23'!G280</f>
        <v>0</v>
      </c>
      <c r="H74" s="10">
        <f>'пр.4.1.ведом.22-23'!H280</f>
        <v>0</v>
      </c>
    </row>
    <row r="75" spans="1:8" s="203" customFormat="1" ht="47.25" hidden="1" x14ac:dyDescent="0.25">
      <c r="A75" s="45" t="s">
        <v>261</v>
      </c>
      <c r="B75" s="20" t="s">
        <v>1323</v>
      </c>
      <c r="C75" s="40" t="s">
        <v>150</v>
      </c>
      <c r="D75" s="40" t="s">
        <v>238</v>
      </c>
      <c r="E75" s="40" t="s">
        <v>251</v>
      </c>
      <c r="F75" s="40" t="s">
        <v>627</v>
      </c>
      <c r="G75" s="10">
        <f>G74</f>
        <v>0</v>
      </c>
      <c r="H75" s="10">
        <f>H74</f>
        <v>0</v>
      </c>
    </row>
    <row r="76" spans="1:8" s="203" customFormat="1" ht="47.25" x14ac:dyDescent="0.25">
      <c r="A76" s="23" t="s">
        <v>1043</v>
      </c>
      <c r="B76" s="7" t="s">
        <v>1204</v>
      </c>
      <c r="C76" s="7"/>
      <c r="D76" s="7"/>
      <c r="E76" s="7"/>
      <c r="F76" s="7"/>
      <c r="G76" s="59">
        <f t="shared" ref="G76:H80" si="11">G77</f>
        <v>260</v>
      </c>
      <c r="H76" s="59">
        <f t="shared" si="11"/>
        <v>260</v>
      </c>
    </row>
    <row r="77" spans="1:8" s="203" customFormat="1" ht="15.75" x14ac:dyDescent="0.25">
      <c r="A77" s="45" t="s">
        <v>232</v>
      </c>
      <c r="B77" s="40" t="s">
        <v>1204</v>
      </c>
      <c r="C77" s="40" t="s">
        <v>150</v>
      </c>
      <c r="D77" s="40"/>
      <c r="E77" s="40"/>
      <c r="F77" s="40"/>
      <c r="G77" s="10">
        <f t="shared" si="11"/>
        <v>260</v>
      </c>
      <c r="H77" s="10">
        <f t="shared" si="11"/>
        <v>260</v>
      </c>
    </row>
    <row r="78" spans="1:8" s="203" customFormat="1" ht="31.5" x14ac:dyDescent="0.25">
      <c r="A78" s="45" t="s">
        <v>237</v>
      </c>
      <c r="B78" s="40" t="s">
        <v>1204</v>
      </c>
      <c r="C78" s="40" t="s">
        <v>150</v>
      </c>
      <c r="D78" s="40" t="s">
        <v>238</v>
      </c>
      <c r="E78" s="40"/>
      <c r="F78" s="40"/>
      <c r="G78" s="10">
        <f t="shared" si="11"/>
        <v>260</v>
      </c>
      <c r="H78" s="10">
        <f t="shared" si="11"/>
        <v>260</v>
      </c>
    </row>
    <row r="79" spans="1:8" s="203" customFormat="1" ht="126" x14ac:dyDescent="0.25">
      <c r="A79" s="25" t="s">
        <v>1517</v>
      </c>
      <c r="B79" s="20" t="s">
        <v>1205</v>
      </c>
      <c r="C79" s="40" t="s">
        <v>150</v>
      </c>
      <c r="D79" s="40" t="s">
        <v>238</v>
      </c>
      <c r="E79" s="40"/>
      <c r="F79" s="40"/>
      <c r="G79" s="10">
        <f t="shared" si="11"/>
        <v>260</v>
      </c>
      <c r="H79" s="10">
        <f t="shared" si="11"/>
        <v>260</v>
      </c>
    </row>
    <row r="80" spans="1:8" s="203" customFormat="1" ht="47.25" x14ac:dyDescent="0.25">
      <c r="A80" s="25" t="s">
        <v>272</v>
      </c>
      <c r="B80" s="20" t="s">
        <v>1205</v>
      </c>
      <c r="C80" s="40" t="s">
        <v>150</v>
      </c>
      <c r="D80" s="40" t="s">
        <v>238</v>
      </c>
      <c r="E80" s="40" t="s">
        <v>273</v>
      </c>
      <c r="F80" s="40"/>
      <c r="G80" s="10">
        <f t="shared" si="11"/>
        <v>260</v>
      </c>
      <c r="H80" s="10">
        <f t="shared" si="11"/>
        <v>260</v>
      </c>
    </row>
    <row r="81" spans="1:8" s="203" customFormat="1" ht="78.75" x14ac:dyDescent="0.25">
      <c r="A81" s="25" t="s">
        <v>1093</v>
      </c>
      <c r="B81" s="20" t="s">
        <v>1205</v>
      </c>
      <c r="C81" s="40" t="s">
        <v>150</v>
      </c>
      <c r="D81" s="40" t="s">
        <v>238</v>
      </c>
      <c r="E81" s="40" t="s">
        <v>372</v>
      </c>
      <c r="F81" s="40"/>
      <c r="G81" s="10">
        <f>'пр.4.1.ведом.22-23'!G284</f>
        <v>260</v>
      </c>
      <c r="H81" s="10">
        <f>'пр.4.1.ведом.22-23'!H284</f>
        <v>260</v>
      </c>
    </row>
    <row r="82" spans="1:8" s="203" customFormat="1" ht="47.25" x14ac:dyDescent="0.25">
      <c r="A82" s="45" t="s">
        <v>261</v>
      </c>
      <c r="B82" s="20" t="s">
        <v>1205</v>
      </c>
      <c r="C82" s="40" t="s">
        <v>150</v>
      </c>
      <c r="D82" s="40" t="s">
        <v>238</v>
      </c>
      <c r="E82" s="40" t="s">
        <v>372</v>
      </c>
      <c r="F82" s="40" t="s">
        <v>627</v>
      </c>
      <c r="G82" s="10">
        <f>G81</f>
        <v>260</v>
      </c>
      <c r="H82" s="10">
        <f>H81</f>
        <v>260</v>
      </c>
    </row>
    <row r="83" spans="1:8" s="203" customFormat="1" ht="31.5" hidden="1" x14ac:dyDescent="0.25">
      <c r="A83" s="23" t="s">
        <v>995</v>
      </c>
      <c r="B83" s="24" t="s">
        <v>1315</v>
      </c>
      <c r="C83" s="7"/>
      <c r="D83" s="7"/>
      <c r="E83" s="7"/>
      <c r="F83" s="7"/>
      <c r="G83" s="59">
        <f t="shared" ref="G83:H87" si="12">G84</f>
        <v>0</v>
      </c>
      <c r="H83" s="59">
        <f t="shared" si="12"/>
        <v>0</v>
      </c>
    </row>
    <row r="84" spans="1:8" s="203" customFormat="1" ht="15.75" hidden="1" x14ac:dyDescent="0.25">
      <c r="A84" s="45" t="s">
        <v>232</v>
      </c>
      <c r="B84" s="40" t="s">
        <v>1315</v>
      </c>
      <c r="C84" s="40" t="s">
        <v>150</v>
      </c>
      <c r="D84" s="40"/>
      <c r="E84" s="40"/>
      <c r="F84" s="40"/>
      <c r="G84" s="10">
        <f t="shared" si="12"/>
        <v>0</v>
      </c>
      <c r="H84" s="10">
        <f t="shared" si="12"/>
        <v>0</v>
      </c>
    </row>
    <row r="85" spans="1:8" s="203" customFormat="1" ht="31.5" hidden="1" x14ac:dyDescent="0.25">
      <c r="A85" s="45" t="s">
        <v>237</v>
      </c>
      <c r="B85" s="40" t="s">
        <v>1315</v>
      </c>
      <c r="C85" s="40" t="s">
        <v>150</v>
      </c>
      <c r="D85" s="40" t="s">
        <v>238</v>
      </c>
      <c r="E85" s="40"/>
      <c r="F85" s="40"/>
      <c r="G85" s="10">
        <f t="shared" si="12"/>
        <v>0</v>
      </c>
      <c r="H85" s="10">
        <f t="shared" si="12"/>
        <v>0</v>
      </c>
    </row>
    <row r="86" spans="1:8" s="203" customFormat="1" ht="47.25" hidden="1" x14ac:dyDescent="0.25">
      <c r="A86" s="249" t="s">
        <v>1046</v>
      </c>
      <c r="B86" s="20" t="s">
        <v>1316</v>
      </c>
      <c r="C86" s="40" t="s">
        <v>150</v>
      </c>
      <c r="D86" s="40" t="s">
        <v>238</v>
      </c>
      <c r="E86" s="40"/>
      <c r="F86" s="40"/>
      <c r="G86" s="10">
        <f t="shared" si="12"/>
        <v>0</v>
      </c>
      <c r="H86" s="10">
        <f t="shared" si="12"/>
        <v>0</v>
      </c>
    </row>
    <row r="87" spans="1:8" s="203" customFormat="1" ht="31.5" hidden="1" x14ac:dyDescent="0.25">
      <c r="A87" s="25" t="s">
        <v>131</v>
      </c>
      <c r="B87" s="20" t="s">
        <v>1316</v>
      </c>
      <c r="C87" s="40" t="s">
        <v>150</v>
      </c>
      <c r="D87" s="40" t="s">
        <v>238</v>
      </c>
      <c r="E87" s="40" t="s">
        <v>132</v>
      </c>
      <c r="F87" s="40"/>
      <c r="G87" s="10">
        <f t="shared" si="12"/>
        <v>0</v>
      </c>
      <c r="H87" s="10">
        <f t="shared" si="12"/>
        <v>0</v>
      </c>
    </row>
    <row r="88" spans="1:8" s="203" customFormat="1" ht="47.25" hidden="1" x14ac:dyDescent="0.25">
      <c r="A88" s="25" t="s">
        <v>133</v>
      </c>
      <c r="B88" s="20" t="s">
        <v>1316</v>
      </c>
      <c r="C88" s="40" t="s">
        <v>150</v>
      </c>
      <c r="D88" s="40" t="s">
        <v>238</v>
      </c>
      <c r="E88" s="40" t="s">
        <v>134</v>
      </c>
      <c r="F88" s="40"/>
      <c r="G88" s="10">
        <f>'пр.4.1.ведом.22-23'!G288</f>
        <v>0</v>
      </c>
      <c r="H88" s="10">
        <f>'пр.4.1.ведом.22-23'!H288</f>
        <v>0</v>
      </c>
    </row>
    <row r="89" spans="1:8" s="203" customFormat="1" ht="47.25" hidden="1" x14ac:dyDescent="0.25">
      <c r="A89" s="45" t="s">
        <v>261</v>
      </c>
      <c r="B89" s="20" t="s">
        <v>1316</v>
      </c>
      <c r="C89" s="40" t="s">
        <v>150</v>
      </c>
      <c r="D89" s="40" t="s">
        <v>238</v>
      </c>
      <c r="E89" s="40" t="s">
        <v>134</v>
      </c>
      <c r="F89" s="9" t="s">
        <v>627</v>
      </c>
      <c r="G89" s="10">
        <f>G88</f>
        <v>0</v>
      </c>
      <c r="H89" s="10">
        <f>H88</f>
        <v>0</v>
      </c>
    </row>
    <row r="90" spans="1:8" s="203" customFormat="1" ht="47.25" hidden="1" x14ac:dyDescent="0.25">
      <c r="A90" s="211" t="s">
        <v>1106</v>
      </c>
      <c r="B90" s="24" t="s">
        <v>1206</v>
      </c>
      <c r="C90" s="7"/>
      <c r="D90" s="7"/>
      <c r="E90" s="7"/>
      <c r="F90" s="7"/>
      <c r="G90" s="59">
        <f t="shared" ref="G90:H94" si="13">G91</f>
        <v>0</v>
      </c>
      <c r="H90" s="59">
        <f t="shared" si="13"/>
        <v>0</v>
      </c>
    </row>
    <row r="91" spans="1:8" s="203" customFormat="1" ht="15.75" hidden="1" x14ac:dyDescent="0.25">
      <c r="A91" s="45" t="s">
        <v>232</v>
      </c>
      <c r="B91" s="40" t="s">
        <v>1206</v>
      </c>
      <c r="C91" s="40" t="s">
        <v>150</v>
      </c>
      <c r="D91" s="40"/>
      <c r="E91" s="40"/>
      <c r="F91" s="40"/>
      <c r="G91" s="10">
        <f t="shared" si="13"/>
        <v>0</v>
      </c>
      <c r="H91" s="10">
        <f t="shared" si="13"/>
        <v>0</v>
      </c>
    </row>
    <row r="92" spans="1:8" s="203" customFormat="1" ht="31.5" hidden="1" x14ac:dyDescent="0.25">
      <c r="A92" s="45" t="s">
        <v>237</v>
      </c>
      <c r="B92" s="40" t="s">
        <v>1206</v>
      </c>
      <c r="C92" s="40" t="s">
        <v>150</v>
      </c>
      <c r="D92" s="40" t="s">
        <v>238</v>
      </c>
      <c r="E92" s="40"/>
      <c r="F92" s="40"/>
      <c r="G92" s="10">
        <f t="shared" si="13"/>
        <v>0</v>
      </c>
      <c r="H92" s="10">
        <f t="shared" si="13"/>
        <v>0</v>
      </c>
    </row>
    <row r="93" spans="1:8" s="203" customFormat="1" ht="31.5" hidden="1" x14ac:dyDescent="0.25">
      <c r="A93" s="230" t="s">
        <v>1107</v>
      </c>
      <c r="B93" s="20" t="s">
        <v>1207</v>
      </c>
      <c r="C93" s="40" t="s">
        <v>150</v>
      </c>
      <c r="D93" s="40" t="s">
        <v>238</v>
      </c>
      <c r="E93" s="40"/>
      <c r="F93" s="40"/>
      <c r="G93" s="10">
        <f t="shared" si="13"/>
        <v>0</v>
      </c>
      <c r="H93" s="10">
        <f t="shared" si="13"/>
        <v>0</v>
      </c>
    </row>
    <row r="94" spans="1:8" s="203" customFormat="1" ht="31.5" hidden="1" x14ac:dyDescent="0.25">
      <c r="A94" s="25" t="s">
        <v>131</v>
      </c>
      <c r="B94" s="20" t="s">
        <v>1207</v>
      </c>
      <c r="C94" s="40" t="s">
        <v>150</v>
      </c>
      <c r="D94" s="40" t="s">
        <v>238</v>
      </c>
      <c r="E94" s="40" t="s">
        <v>132</v>
      </c>
      <c r="F94" s="40"/>
      <c r="G94" s="10">
        <f t="shared" si="13"/>
        <v>0</v>
      </c>
      <c r="H94" s="10">
        <f t="shared" si="13"/>
        <v>0</v>
      </c>
    </row>
    <row r="95" spans="1:8" s="203" customFormat="1" ht="47.25" hidden="1" x14ac:dyDescent="0.25">
      <c r="A95" s="25" t="s">
        <v>133</v>
      </c>
      <c r="B95" s="20" t="s">
        <v>1207</v>
      </c>
      <c r="C95" s="40" t="s">
        <v>150</v>
      </c>
      <c r="D95" s="40" t="s">
        <v>238</v>
      </c>
      <c r="E95" s="40" t="s">
        <v>134</v>
      </c>
      <c r="F95" s="40"/>
      <c r="G95" s="10">
        <f>'пр.4.1.ведом.22-23'!G292</f>
        <v>0</v>
      </c>
      <c r="H95" s="10">
        <f>'пр.4.1.ведом.22-23'!H292</f>
        <v>0</v>
      </c>
    </row>
    <row r="96" spans="1:8" s="203" customFormat="1" ht="47.25" hidden="1" x14ac:dyDescent="0.25">
      <c r="A96" s="45" t="s">
        <v>261</v>
      </c>
      <c r="B96" s="20" t="s">
        <v>1207</v>
      </c>
      <c r="C96" s="40" t="s">
        <v>150</v>
      </c>
      <c r="D96" s="40" t="s">
        <v>238</v>
      </c>
      <c r="E96" s="40" t="s">
        <v>134</v>
      </c>
      <c r="F96" s="9" t="s">
        <v>627</v>
      </c>
      <c r="G96" s="10">
        <f>G95</f>
        <v>0</v>
      </c>
      <c r="H96" s="10">
        <f>H95</f>
        <v>0</v>
      </c>
    </row>
    <row r="97" spans="1:8" s="203" customFormat="1" ht="94.5" x14ac:dyDescent="0.25">
      <c r="A97" s="41" t="s">
        <v>1359</v>
      </c>
      <c r="B97" s="7" t="s">
        <v>359</v>
      </c>
      <c r="C97" s="7"/>
      <c r="D97" s="7"/>
      <c r="E97" s="7"/>
      <c r="F97" s="8"/>
      <c r="G97" s="59">
        <f>G98</f>
        <v>200</v>
      </c>
      <c r="H97" s="59">
        <f>H98</f>
        <v>500</v>
      </c>
    </row>
    <row r="98" spans="1:8" s="203" customFormat="1" ht="63" x14ac:dyDescent="0.25">
      <c r="A98" s="247" t="s">
        <v>1047</v>
      </c>
      <c r="B98" s="7" t="s">
        <v>909</v>
      </c>
      <c r="C98" s="7"/>
      <c r="D98" s="7"/>
      <c r="E98" s="7"/>
      <c r="F98" s="8"/>
      <c r="G98" s="59">
        <f>G99</f>
        <v>200</v>
      </c>
      <c r="H98" s="59">
        <f>H99</f>
        <v>500</v>
      </c>
    </row>
    <row r="99" spans="1:8" s="203" customFormat="1" ht="15.75" x14ac:dyDescent="0.25">
      <c r="A99" s="45" t="s">
        <v>117</v>
      </c>
      <c r="B99" s="40" t="s">
        <v>909</v>
      </c>
      <c r="C99" s="40" t="s">
        <v>118</v>
      </c>
      <c r="D99" s="40"/>
      <c r="E99" s="40"/>
      <c r="F99" s="9"/>
      <c r="G99" s="10">
        <f t="shared" ref="G99:H102" si="14">G100</f>
        <v>200</v>
      </c>
      <c r="H99" s="10">
        <f t="shared" si="14"/>
        <v>500</v>
      </c>
    </row>
    <row r="100" spans="1:8" s="203" customFormat="1" ht="15.75" x14ac:dyDescent="0.25">
      <c r="A100" s="45" t="s">
        <v>139</v>
      </c>
      <c r="B100" s="40" t="s">
        <v>909</v>
      </c>
      <c r="C100" s="40" t="s">
        <v>118</v>
      </c>
      <c r="D100" s="40" t="s">
        <v>140</v>
      </c>
      <c r="E100" s="40"/>
      <c r="F100" s="9"/>
      <c r="G100" s="10">
        <f>G101</f>
        <v>200</v>
      </c>
      <c r="H100" s="10">
        <f>H101</f>
        <v>500</v>
      </c>
    </row>
    <row r="101" spans="1:8" s="203" customFormat="1" ht="47.25" x14ac:dyDescent="0.25">
      <c r="A101" s="98" t="s">
        <v>1048</v>
      </c>
      <c r="B101" s="40" t="s">
        <v>1203</v>
      </c>
      <c r="C101" s="40" t="s">
        <v>118</v>
      </c>
      <c r="D101" s="40" t="s">
        <v>140</v>
      </c>
      <c r="E101" s="40"/>
      <c r="F101" s="9"/>
      <c r="G101" s="10">
        <f t="shared" si="14"/>
        <v>200</v>
      </c>
      <c r="H101" s="10">
        <f t="shared" si="14"/>
        <v>500</v>
      </c>
    </row>
    <row r="102" spans="1:8" s="203" customFormat="1" ht="31.5" x14ac:dyDescent="0.25">
      <c r="A102" s="29" t="s">
        <v>131</v>
      </c>
      <c r="B102" s="40" t="s">
        <v>1203</v>
      </c>
      <c r="C102" s="40" t="s">
        <v>118</v>
      </c>
      <c r="D102" s="40" t="s">
        <v>140</v>
      </c>
      <c r="E102" s="40" t="s">
        <v>132</v>
      </c>
      <c r="F102" s="9"/>
      <c r="G102" s="10">
        <f t="shared" si="14"/>
        <v>200</v>
      </c>
      <c r="H102" s="10">
        <f t="shared" si="14"/>
        <v>500</v>
      </c>
    </row>
    <row r="103" spans="1:8" s="203" customFormat="1" ht="47.25" x14ac:dyDescent="0.25">
      <c r="A103" s="29" t="s">
        <v>133</v>
      </c>
      <c r="B103" s="40" t="s">
        <v>1203</v>
      </c>
      <c r="C103" s="40" t="s">
        <v>118</v>
      </c>
      <c r="D103" s="40" t="s">
        <v>140</v>
      </c>
      <c r="E103" s="40" t="s">
        <v>134</v>
      </c>
      <c r="F103" s="9"/>
      <c r="G103" s="10">
        <f>'пр.4.1.ведом.22-23'!G250</f>
        <v>200</v>
      </c>
      <c r="H103" s="10">
        <f>'пр.4.1.ведом.22-23'!H250</f>
        <v>500</v>
      </c>
    </row>
    <row r="104" spans="1:8" s="203" customFormat="1" ht="47.25" x14ac:dyDescent="0.25">
      <c r="A104" s="45" t="s">
        <v>261</v>
      </c>
      <c r="B104" s="40" t="s">
        <v>1203</v>
      </c>
      <c r="C104" s="40" t="s">
        <v>118</v>
      </c>
      <c r="D104" s="40" t="s">
        <v>140</v>
      </c>
      <c r="E104" s="40" t="s">
        <v>134</v>
      </c>
      <c r="F104" s="9" t="s">
        <v>627</v>
      </c>
      <c r="G104" s="10">
        <f>G103</f>
        <v>200</v>
      </c>
      <c r="H104" s="10">
        <f>H103</f>
        <v>500</v>
      </c>
    </row>
    <row r="105" spans="1:8" s="203" customFormat="1" ht="47.25" hidden="1" x14ac:dyDescent="0.25">
      <c r="A105" s="35" t="s">
        <v>886</v>
      </c>
      <c r="B105" s="20" t="s">
        <v>1302</v>
      </c>
      <c r="C105" s="40" t="s">
        <v>118</v>
      </c>
      <c r="D105" s="40" t="s">
        <v>140</v>
      </c>
      <c r="E105" s="40"/>
      <c r="F105" s="9"/>
      <c r="G105" s="10" t="e">
        <f>G106</f>
        <v>#REF!</v>
      </c>
      <c r="H105" s="10" t="e">
        <f>H106</f>
        <v>#REF!</v>
      </c>
    </row>
    <row r="106" spans="1:8" s="203" customFormat="1" ht="31.5" hidden="1" x14ac:dyDescent="0.25">
      <c r="A106" s="25" t="s">
        <v>131</v>
      </c>
      <c r="B106" s="20" t="s">
        <v>1302</v>
      </c>
      <c r="C106" s="40" t="s">
        <v>118</v>
      </c>
      <c r="D106" s="40" t="s">
        <v>140</v>
      </c>
      <c r="E106" s="40" t="s">
        <v>132</v>
      </c>
      <c r="F106" s="9"/>
      <c r="G106" s="10" t="e">
        <f>G107</f>
        <v>#REF!</v>
      </c>
      <c r="H106" s="10" t="e">
        <f>H107</f>
        <v>#REF!</v>
      </c>
    </row>
    <row r="107" spans="1:8" s="203" customFormat="1" ht="47.25" hidden="1" x14ac:dyDescent="0.25">
      <c r="A107" s="25" t="s">
        <v>133</v>
      </c>
      <c r="B107" s="20" t="s">
        <v>1302</v>
      </c>
      <c r="C107" s="40" t="s">
        <v>118</v>
      </c>
      <c r="D107" s="40" t="s">
        <v>140</v>
      </c>
      <c r="E107" s="40" t="s">
        <v>134</v>
      </c>
      <c r="F107" s="9"/>
      <c r="G107" s="10" t="e">
        <f>'пр.4.1.ведом.22-23'!#REF!</f>
        <v>#REF!</v>
      </c>
      <c r="H107" s="10" t="e">
        <f>'пр.4.1.ведом.22-23'!#REF!</f>
        <v>#REF!</v>
      </c>
    </row>
    <row r="108" spans="1:8" s="203" customFormat="1" ht="47.25" hidden="1" x14ac:dyDescent="0.25">
      <c r="A108" s="45" t="s">
        <v>261</v>
      </c>
      <c r="B108" s="20" t="s">
        <v>1302</v>
      </c>
      <c r="C108" s="40" t="s">
        <v>118</v>
      </c>
      <c r="D108" s="40" t="s">
        <v>140</v>
      </c>
      <c r="E108" s="40" t="s">
        <v>134</v>
      </c>
      <c r="F108" s="9" t="s">
        <v>627</v>
      </c>
      <c r="G108" s="10" t="e">
        <f>G107</f>
        <v>#REF!</v>
      </c>
      <c r="H108" s="10" t="e">
        <f>H107</f>
        <v>#REF!</v>
      </c>
    </row>
    <row r="109" spans="1:8" ht="47.25" x14ac:dyDescent="0.25">
      <c r="A109" s="58" t="s">
        <v>629</v>
      </c>
      <c r="B109" s="7" t="s">
        <v>362</v>
      </c>
      <c r="C109" s="7"/>
      <c r="D109" s="7"/>
      <c r="E109" s="7"/>
      <c r="F109" s="7"/>
      <c r="G109" s="59">
        <f>G110+G117+G127</f>
        <v>1767</v>
      </c>
      <c r="H109" s="59">
        <f>H110+H117+H127</f>
        <v>2022</v>
      </c>
    </row>
    <row r="110" spans="1:8" ht="31.5" x14ac:dyDescent="0.25">
      <c r="A110" s="23" t="s">
        <v>1040</v>
      </c>
      <c r="B110" s="24" t="s">
        <v>913</v>
      </c>
      <c r="C110" s="40"/>
      <c r="D110" s="40"/>
      <c r="E110" s="40"/>
      <c r="F110" s="40"/>
      <c r="G110" s="59">
        <f>G111</f>
        <v>630</v>
      </c>
      <c r="H110" s="59">
        <f>H111</f>
        <v>630</v>
      </c>
    </row>
    <row r="111" spans="1:8" ht="15.75" x14ac:dyDescent="0.25">
      <c r="A111" s="45" t="s">
        <v>243</v>
      </c>
      <c r="B111" s="40" t="s">
        <v>913</v>
      </c>
      <c r="C111" s="40" t="s">
        <v>244</v>
      </c>
      <c r="D111" s="40"/>
      <c r="E111" s="40"/>
      <c r="F111" s="40"/>
      <c r="G111" s="10">
        <f t="shared" ref="G111:H114" si="15">G112</f>
        <v>630</v>
      </c>
      <c r="H111" s="10">
        <f t="shared" si="15"/>
        <v>630</v>
      </c>
    </row>
    <row r="112" spans="1:8" ht="15.75" x14ac:dyDescent="0.25">
      <c r="A112" s="45" t="s">
        <v>252</v>
      </c>
      <c r="B112" s="40" t="s">
        <v>913</v>
      </c>
      <c r="C112" s="40" t="s">
        <v>244</v>
      </c>
      <c r="D112" s="40" t="s">
        <v>215</v>
      </c>
      <c r="E112" s="40"/>
      <c r="F112" s="40"/>
      <c r="G112" s="10">
        <f>G113</f>
        <v>630</v>
      </c>
      <c r="H112" s="10">
        <f>H113</f>
        <v>630</v>
      </c>
    </row>
    <row r="113" spans="1:8" ht="63" x14ac:dyDescent="0.25">
      <c r="A113" s="98" t="s">
        <v>1041</v>
      </c>
      <c r="B113" s="20" t="s">
        <v>1229</v>
      </c>
      <c r="C113" s="40" t="s">
        <v>244</v>
      </c>
      <c r="D113" s="40" t="s">
        <v>215</v>
      </c>
      <c r="E113" s="40"/>
      <c r="F113" s="40"/>
      <c r="G113" s="10">
        <f t="shared" si="15"/>
        <v>630</v>
      </c>
      <c r="H113" s="10">
        <f t="shared" si="15"/>
        <v>630</v>
      </c>
    </row>
    <row r="114" spans="1:8" ht="31.5" x14ac:dyDescent="0.25">
      <c r="A114" s="25" t="s">
        <v>248</v>
      </c>
      <c r="B114" s="20" t="s">
        <v>1229</v>
      </c>
      <c r="C114" s="40" t="s">
        <v>244</v>
      </c>
      <c r="D114" s="40" t="s">
        <v>215</v>
      </c>
      <c r="E114" s="40" t="s">
        <v>249</v>
      </c>
      <c r="F114" s="40"/>
      <c r="G114" s="10">
        <f t="shared" si="15"/>
        <v>630</v>
      </c>
      <c r="H114" s="10">
        <f t="shared" si="15"/>
        <v>630</v>
      </c>
    </row>
    <row r="115" spans="1:8" ht="31.5" x14ac:dyDescent="0.25">
      <c r="A115" s="25" t="s">
        <v>348</v>
      </c>
      <c r="B115" s="20" t="s">
        <v>1229</v>
      </c>
      <c r="C115" s="40" t="s">
        <v>244</v>
      </c>
      <c r="D115" s="40" t="s">
        <v>215</v>
      </c>
      <c r="E115" s="40" t="s">
        <v>349</v>
      </c>
      <c r="F115" s="40"/>
      <c r="G115" s="10">
        <f>'пр.4.1.ведом.22-23'!G457</f>
        <v>630</v>
      </c>
      <c r="H115" s="10">
        <f>'пр.4.1.ведом.22-23'!H457</f>
        <v>630</v>
      </c>
    </row>
    <row r="116" spans="1:8" ht="47.25" x14ac:dyDescent="0.25">
      <c r="A116" s="45" t="s">
        <v>261</v>
      </c>
      <c r="B116" s="20" t="s">
        <v>1229</v>
      </c>
      <c r="C116" s="40" t="s">
        <v>244</v>
      </c>
      <c r="D116" s="40" t="s">
        <v>215</v>
      </c>
      <c r="E116" s="40" t="s">
        <v>349</v>
      </c>
      <c r="F116" s="40" t="s">
        <v>627</v>
      </c>
      <c r="G116" s="10">
        <f>G115</f>
        <v>630</v>
      </c>
      <c r="H116" s="10">
        <f>H115</f>
        <v>630</v>
      </c>
    </row>
    <row r="117" spans="1:8" ht="31.5" x14ac:dyDescent="0.25">
      <c r="A117" s="23" t="s">
        <v>1233</v>
      </c>
      <c r="B117" s="24" t="s">
        <v>1231</v>
      </c>
      <c r="C117" s="7"/>
      <c r="D117" s="7"/>
      <c r="E117" s="7"/>
      <c r="F117" s="7"/>
      <c r="G117" s="59">
        <f>G118</f>
        <v>657</v>
      </c>
      <c r="H117" s="59">
        <f>H118</f>
        <v>657</v>
      </c>
    </row>
    <row r="118" spans="1:8" ht="15.75" x14ac:dyDescent="0.25">
      <c r="A118" s="45" t="s">
        <v>243</v>
      </c>
      <c r="B118" s="40" t="s">
        <v>1231</v>
      </c>
      <c r="C118" s="40" t="s">
        <v>244</v>
      </c>
      <c r="D118" s="40"/>
      <c r="E118" s="40"/>
      <c r="F118" s="40"/>
      <c r="G118" s="10">
        <f t="shared" ref="G118:H118" si="16">G119</f>
        <v>657</v>
      </c>
      <c r="H118" s="10">
        <f t="shared" si="16"/>
        <v>657</v>
      </c>
    </row>
    <row r="119" spans="1:8" ht="15.75" x14ac:dyDescent="0.25">
      <c r="A119" s="45" t="s">
        <v>252</v>
      </c>
      <c r="B119" s="40" t="s">
        <v>1231</v>
      </c>
      <c r="C119" s="40" t="s">
        <v>244</v>
      </c>
      <c r="D119" s="40" t="s">
        <v>215</v>
      </c>
      <c r="E119" s="40"/>
      <c r="F119" s="40"/>
      <c r="G119" s="10">
        <f>G120</f>
        <v>657</v>
      </c>
      <c r="H119" s="10">
        <f>H120</f>
        <v>657</v>
      </c>
    </row>
    <row r="120" spans="1:8" ht="31.5" x14ac:dyDescent="0.25">
      <c r="A120" s="25" t="s">
        <v>1230</v>
      </c>
      <c r="B120" s="20" t="s">
        <v>1232</v>
      </c>
      <c r="C120" s="40" t="s">
        <v>244</v>
      </c>
      <c r="D120" s="40" t="s">
        <v>215</v>
      </c>
      <c r="E120" s="40"/>
      <c r="F120" s="40"/>
      <c r="G120" s="10">
        <f>G121+G124</f>
        <v>657</v>
      </c>
      <c r="H120" s="10">
        <f>H121+H124</f>
        <v>657</v>
      </c>
    </row>
    <row r="121" spans="1:8" ht="31.5" x14ac:dyDescent="0.25">
      <c r="A121" s="25" t="s">
        <v>131</v>
      </c>
      <c r="B121" s="20" t="s">
        <v>1232</v>
      </c>
      <c r="C121" s="40" t="s">
        <v>244</v>
      </c>
      <c r="D121" s="40" t="s">
        <v>215</v>
      </c>
      <c r="E121" s="40" t="s">
        <v>132</v>
      </c>
      <c r="F121" s="40"/>
      <c r="G121" s="10">
        <f>G122</f>
        <v>400</v>
      </c>
      <c r="H121" s="10">
        <f>H122</f>
        <v>400</v>
      </c>
    </row>
    <row r="122" spans="1:8" ht="47.25" x14ac:dyDescent="0.25">
      <c r="A122" s="25" t="s">
        <v>133</v>
      </c>
      <c r="B122" s="20" t="s">
        <v>1232</v>
      </c>
      <c r="C122" s="40" t="s">
        <v>244</v>
      </c>
      <c r="D122" s="40" t="s">
        <v>215</v>
      </c>
      <c r="E122" s="40" t="s">
        <v>134</v>
      </c>
      <c r="F122" s="40"/>
      <c r="G122" s="10">
        <f>'пр.4.1.ведом.22-23'!G461</f>
        <v>400</v>
      </c>
      <c r="H122" s="10">
        <f>'пр.4.1.ведом.22-23'!H461</f>
        <v>400</v>
      </c>
    </row>
    <row r="123" spans="1:8" ht="47.25" x14ac:dyDescent="0.25">
      <c r="A123" s="45" t="s">
        <v>261</v>
      </c>
      <c r="B123" s="20" t="s">
        <v>1232</v>
      </c>
      <c r="C123" s="40" t="s">
        <v>244</v>
      </c>
      <c r="D123" s="40" t="s">
        <v>215</v>
      </c>
      <c r="E123" s="40" t="s">
        <v>134</v>
      </c>
      <c r="F123" s="40" t="s">
        <v>627</v>
      </c>
      <c r="G123" s="10">
        <f>G122</f>
        <v>400</v>
      </c>
      <c r="H123" s="10">
        <f>H122</f>
        <v>400</v>
      </c>
    </row>
    <row r="124" spans="1:8" ht="31.5" x14ac:dyDescent="0.25">
      <c r="A124" s="25" t="s">
        <v>248</v>
      </c>
      <c r="B124" s="20" t="s">
        <v>1232</v>
      </c>
      <c r="C124" s="40" t="s">
        <v>244</v>
      </c>
      <c r="D124" s="40" t="s">
        <v>215</v>
      </c>
      <c r="E124" s="40" t="s">
        <v>249</v>
      </c>
      <c r="F124" s="40"/>
      <c r="G124" s="10">
        <f>G125</f>
        <v>257</v>
      </c>
      <c r="H124" s="10">
        <f>H125</f>
        <v>257</v>
      </c>
    </row>
    <row r="125" spans="1:8" ht="31.5" x14ac:dyDescent="0.25">
      <c r="A125" s="25" t="s">
        <v>348</v>
      </c>
      <c r="B125" s="20" t="s">
        <v>1232</v>
      </c>
      <c r="C125" s="40" t="s">
        <v>244</v>
      </c>
      <c r="D125" s="40" t="s">
        <v>215</v>
      </c>
      <c r="E125" s="40" t="s">
        <v>349</v>
      </c>
      <c r="F125" s="40"/>
      <c r="G125" s="10">
        <f>'пр.4.1.ведом.22-23'!G463</f>
        <v>257</v>
      </c>
      <c r="H125" s="10">
        <f>'пр.4.1.ведом.22-23'!H463</f>
        <v>257</v>
      </c>
    </row>
    <row r="126" spans="1:8" ht="47.25" x14ac:dyDescent="0.25">
      <c r="A126" s="45" t="s">
        <v>261</v>
      </c>
      <c r="B126" s="20" t="s">
        <v>1232</v>
      </c>
      <c r="C126" s="40" t="s">
        <v>244</v>
      </c>
      <c r="D126" s="40" t="s">
        <v>215</v>
      </c>
      <c r="E126" s="40" t="s">
        <v>349</v>
      </c>
      <c r="F126" s="40" t="s">
        <v>627</v>
      </c>
      <c r="G126" s="10">
        <f>G125</f>
        <v>257</v>
      </c>
      <c r="H126" s="10">
        <f>H125</f>
        <v>257</v>
      </c>
    </row>
    <row r="127" spans="1:8" ht="31.5" x14ac:dyDescent="0.25">
      <c r="A127" s="23" t="s">
        <v>997</v>
      </c>
      <c r="B127" s="24" t="s">
        <v>1226</v>
      </c>
      <c r="C127" s="7"/>
      <c r="D127" s="7"/>
      <c r="E127" s="7"/>
      <c r="F127" s="7"/>
      <c r="G127" s="59">
        <f>G134+G128</f>
        <v>480</v>
      </c>
      <c r="H127" s="59">
        <f>H134+H128</f>
        <v>735</v>
      </c>
    </row>
    <row r="128" spans="1:8" ht="15.75" x14ac:dyDescent="0.25">
      <c r="A128" s="25" t="s">
        <v>298</v>
      </c>
      <c r="B128" s="20" t="s">
        <v>1226</v>
      </c>
      <c r="C128" s="40" t="s">
        <v>299</v>
      </c>
      <c r="D128" s="40"/>
      <c r="E128" s="7"/>
      <c r="F128" s="7"/>
      <c r="G128" s="10">
        <f t="shared" ref="G128:H131" si="17">G129</f>
        <v>260</v>
      </c>
      <c r="H128" s="10">
        <f t="shared" si="17"/>
        <v>285</v>
      </c>
    </row>
    <row r="129" spans="1:8" ht="15.75" x14ac:dyDescent="0.25">
      <c r="A129" s="25" t="s">
        <v>300</v>
      </c>
      <c r="B129" s="20" t="s">
        <v>1226</v>
      </c>
      <c r="C129" s="40" t="s">
        <v>299</v>
      </c>
      <c r="D129" s="40" t="s">
        <v>150</v>
      </c>
      <c r="E129" s="7"/>
      <c r="F129" s="7"/>
      <c r="G129" s="10">
        <f t="shared" si="17"/>
        <v>260</v>
      </c>
      <c r="H129" s="10">
        <f t="shared" si="17"/>
        <v>285</v>
      </c>
    </row>
    <row r="130" spans="1:8" ht="31.5" x14ac:dyDescent="0.25">
      <c r="A130" s="25" t="s">
        <v>996</v>
      </c>
      <c r="B130" s="20" t="s">
        <v>1227</v>
      </c>
      <c r="C130" s="40" t="s">
        <v>299</v>
      </c>
      <c r="D130" s="40" t="s">
        <v>150</v>
      </c>
      <c r="E130" s="7"/>
      <c r="F130" s="7"/>
      <c r="G130" s="10">
        <f t="shared" si="17"/>
        <v>260</v>
      </c>
      <c r="H130" s="10">
        <f t="shared" si="17"/>
        <v>285</v>
      </c>
    </row>
    <row r="131" spans="1:8" ht="31.5" x14ac:dyDescent="0.25">
      <c r="A131" s="25" t="s">
        <v>131</v>
      </c>
      <c r="B131" s="20" t="s">
        <v>1227</v>
      </c>
      <c r="C131" s="40" t="s">
        <v>299</v>
      </c>
      <c r="D131" s="40" t="s">
        <v>150</v>
      </c>
      <c r="E131" s="40" t="s">
        <v>132</v>
      </c>
      <c r="F131" s="40"/>
      <c r="G131" s="10">
        <f t="shared" si="17"/>
        <v>260</v>
      </c>
      <c r="H131" s="10">
        <f t="shared" si="17"/>
        <v>285</v>
      </c>
    </row>
    <row r="132" spans="1:8" s="203" customFormat="1" ht="47.25" x14ac:dyDescent="0.25">
      <c r="A132" s="25" t="s">
        <v>133</v>
      </c>
      <c r="B132" s="20" t="s">
        <v>1227</v>
      </c>
      <c r="C132" s="40" t="s">
        <v>299</v>
      </c>
      <c r="D132" s="40" t="s">
        <v>150</v>
      </c>
      <c r="E132" s="40" t="s">
        <v>134</v>
      </c>
      <c r="F132" s="40"/>
      <c r="G132" s="10">
        <f>'пр.4.1.ведом.22-23'!G439</f>
        <v>260</v>
      </c>
      <c r="H132" s="10">
        <f>'пр.4.1.ведом.22-23'!H439</f>
        <v>285</v>
      </c>
    </row>
    <row r="133" spans="1:8" s="203" customFormat="1" ht="47.25" x14ac:dyDescent="0.25">
      <c r="A133" s="45" t="s">
        <v>261</v>
      </c>
      <c r="B133" s="20" t="s">
        <v>1227</v>
      </c>
      <c r="C133" s="40" t="s">
        <v>299</v>
      </c>
      <c r="D133" s="40" t="s">
        <v>150</v>
      </c>
      <c r="E133" s="40" t="s">
        <v>134</v>
      </c>
      <c r="F133" s="40" t="s">
        <v>627</v>
      </c>
      <c r="G133" s="10">
        <f>G132</f>
        <v>260</v>
      </c>
      <c r="H133" s="10">
        <f>H132</f>
        <v>285</v>
      </c>
    </row>
    <row r="134" spans="1:8" s="203" customFormat="1" ht="15.75" x14ac:dyDescent="0.25">
      <c r="A134" s="45" t="s">
        <v>243</v>
      </c>
      <c r="B134" s="20" t="s">
        <v>1226</v>
      </c>
      <c r="C134" s="40" t="s">
        <v>244</v>
      </c>
      <c r="D134" s="40"/>
      <c r="E134" s="40"/>
      <c r="F134" s="40"/>
      <c r="G134" s="10">
        <f t="shared" ref="G134:H137" si="18">G135</f>
        <v>220</v>
      </c>
      <c r="H134" s="10">
        <f t="shared" si="18"/>
        <v>450</v>
      </c>
    </row>
    <row r="135" spans="1:8" ht="15.75" x14ac:dyDescent="0.25">
      <c r="A135" s="45" t="s">
        <v>252</v>
      </c>
      <c r="B135" s="20" t="s">
        <v>1226</v>
      </c>
      <c r="C135" s="40" t="s">
        <v>244</v>
      </c>
      <c r="D135" s="40" t="s">
        <v>215</v>
      </c>
      <c r="E135" s="40"/>
      <c r="F135" s="40"/>
      <c r="G135" s="10">
        <f t="shared" si="18"/>
        <v>220</v>
      </c>
      <c r="H135" s="10">
        <f t="shared" si="18"/>
        <v>450</v>
      </c>
    </row>
    <row r="136" spans="1:8" ht="15.75" x14ac:dyDescent="0.25">
      <c r="A136" s="25" t="s">
        <v>1038</v>
      </c>
      <c r="B136" s="20" t="s">
        <v>1228</v>
      </c>
      <c r="C136" s="40" t="s">
        <v>244</v>
      </c>
      <c r="D136" s="40" t="s">
        <v>215</v>
      </c>
      <c r="E136" s="40"/>
      <c r="F136" s="40"/>
      <c r="G136" s="10">
        <f t="shared" si="18"/>
        <v>220</v>
      </c>
      <c r="H136" s="10">
        <f t="shared" si="18"/>
        <v>450</v>
      </c>
    </row>
    <row r="137" spans="1:8" ht="31.5" x14ac:dyDescent="0.25">
      <c r="A137" s="25" t="s">
        <v>248</v>
      </c>
      <c r="B137" s="20" t="s">
        <v>1228</v>
      </c>
      <c r="C137" s="40" t="s">
        <v>244</v>
      </c>
      <c r="D137" s="40" t="s">
        <v>215</v>
      </c>
      <c r="E137" s="40" t="s">
        <v>249</v>
      </c>
      <c r="F137" s="40"/>
      <c r="G137" s="10">
        <f t="shared" si="18"/>
        <v>220</v>
      </c>
      <c r="H137" s="10">
        <f t="shared" si="18"/>
        <v>450</v>
      </c>
    </row>
    <row r="138" spans="1:8" ht="31.5" x14ac:dyDescent="0.25">
      <c r="A138" s="25" t="s">
        <v>348</v>
      </c>
      <c r="B138" s="20" t="s">
        <v>1228</v>
      </c>
      <c r="C138" s="40" t="s">
        <v>244</v>
      </c>
      <c r="D138" s="40" t="s">
        <v>215</v>
      </c>
      <c r="E138" s="40" t="s">
        <v>349</v>
      </c>
      <c r="F138" s="40"/>
      <c r="G138" s="10">
        <f>'Пр.4 ведом.21'!G525</f>
        <v>220</v>
      </c>
      <c r="H138" s="10">
        <f>'пр.4.1.ведом.22-23'!H467</f>
        <v>450</v>
      </c>
    </row>
    <row r="139" spans="1:8" ht="47.25" x14ac:dyDescent="0.25">
      <c r="A139" s="45" t="s">
        <v>261</v>
      </c>
      <c r="B139" s="20" t="s">
        <v>1228</v>
      </c>
      <c r="C139" s="40" t="s">
        <v>244</v>
      </c>
      <c r="D139" s="40" t="s">
        <v>215</v>
      </c>
      <c r="E139" s="40" t="s">
        <v>349</v>
      </c>
      <c r="F139" s="40" t="s">
        <v>627</v>
      </c>
      <c r="G139" s="10">
        <f>G138</f>
        <v>220</v>
      </c>
      <c r="H139" s="10">
        <f>H138</f>
        <v>450</v>
      </c>
    </row>
    <row r="140" spans="1:8" ht="47.25" x14ac:dyDescent="0.25">
      <c r="A140" s="58" t="s">
        <v>1369</v>
      </c>
      <c r="B140" s="7" t="s">
        <v>406</v>
      </c>
      <c r="C140" s="7"/>
      <c r="D140" s="7"/>
      <c r="E140" s="7"/>
      <c r="F140" s="7"/>
      <c r="G140" s="59">
        <f>G141+G158+G215+G248+G255+G284+G291+G298+G305+G312+G330+G323+G337</f>
        <v>324504.29999999993</v>
      </c>
      <c r="H140" s="59">
        <f>H141+H158+H215+H248+H255+H284+H291+H298+H305+H312+H330+H323+H337</f>
        <v>347534.15</v>
      </c>
    </row>
    <row r="141" spans="1:8" ht="47.25" x14ac:dyDescent="0.25">
      <c r="A141" s="23" t="s">
        <v>937</v>
      </c>
      <c r="B141" s="24" t="s">
        <v>1235</v>
      </c>
      <c r="C141" s="7"/>
      <c r="D141" s="7"/>
      <c r="E141" s="7"/>
      <c r="F141" s="7"/>
      <c r="G141" s="59">
        <f>G142</f>
        <v>80542.700000000012</v>
      </c>
      <c r="H141" s="59">
        <f>H142</f>
        <v>80542.700000000012</v>
      </c>
    </row>
    <row r="142" spans="1:8" ht="15.75" x14ac:dyDescent="0.25">
      <c r="A142" s="29" t="s">
        <v>263</v>
      </c>
      <c r="B142" s="40" t="s">
        <v>1235</v>
      </c>
      <c r="C142" s="40" t="s">
        <v>264</v>
      </c>
      <c r="D142" s="40"/>
      <c r="E142" s="40"/>
      <c r="F142" s="40"/>
      <c r="G142" s="10">
        <f>G143+G148+G153</f>
        <v>80542.700000000012</v>
      </c>
      <c r="H142" s="10">
        <f>H143+H148+H153</f>
        <v>80542.700000000012</v>
      </c>
    </row>
    <row r="143" spans="1:8" ht="15.75" x14ac:dyDescent="0.25">
      <c r="A143" s="45" t="s">
        <v>404</v>
      </c>
      <c r="B143" s="40" t="s">
        <v>1235</v>
      </c>
      <c r="C143" s="40" t="s">
        <v>264</v>
      </c>
      <c r="D143" s="40" t="s">
        <v>118</v>
      </c>
      <c r="E143" s="40"/>
      <c r="F143" s="40"/>
      <c r="G143" s="10">
        <f>G144</f>
        <v>14795.6</v>
      </c>
      <c r="H143" s="10">
        <f>H144</f>
        <v>14795.6</v>
      </c>
    </row>
    <row r="144" spans="1:8" ht="47.25" x14ac:dyDescent="0.25">
      <c r="A144" s="25" t="s">
        <v>1234</v>
      </c>
      <c r="B144" s="20" t="s">
        <v>1236</v>
      </c>
      <c r="C144" s="40" t="s">
        <v>264</v>
      </c>
      <c r="D144" s="40" t="s">
        <v>118</v>
      </c>
      <c r="E144" s="40"/>
      <c r="F144" s="40"/>
      <c r="G144" s="10">
        <f t="shared" ref="G144:H145" si="19">G145</f>
        <v>14795.6</v>
      </c>
      <c r="H144" s="10">
        <f t="shared" si="19"/>
        <v>14795.6</v>
      </c>
    </row>
    <row r="145" spans="1:8" ht="47.25" x14ac:dyDescent="0.25">
      <c r="A145" s="25" t="s">
        <v>272</v>
      </c>
      <c r="B145" s="20" t="s">
        <v>1236</v>
      </c>
      <c r="C145" s="40" t="s">
        <v>264</v>
      </c>
      <c r="D145" s="40" t="s">
        <v>118</v>
      </c>
      <c r="E145" s="40" t="s">
        <v>273</v>
      </c>
      <c r="F145" s="40"/>
      <c r="G145" s="10">
        <f t="shared" si="19"/>
        <v>14795.6</v>
      </c>
      <c r="H145" s="10">
        <f t="shared" si="19"/>
        <v>14795.6</v>
      </c>
    </row>
    <row r="146" spans="1:8" ht="15.75" x14ac:dyDescent="0.25">
      <c r="A146" s="25" t="s">
        <v>274</v>
      </c>
      <c r="B146" s="20" t="s">
        <v>1236</v>
      </c>
      <c r="C146" s="40" t="s">
        <v>264</v>
      </c>
      <c r="D146" s="40" t="s">
        <v>118</v>
      </c>
      <c r="E146" s="40" t="s">
        <v>275</v>
      </c>
      <c r="F146" s="40"/>
      <c r="G146" s="6">
        <f>'пр.4.1.ведом.22-23'!G554</f>
        <v>14795.6</v>
      </c>
      <c r="H146" s="6">
        <f>'пр.4.1.ведом.22-23'!H554</f>
        <v>14795.6</v>
      </c>
    </row>
    <row r="147" spans="1:8" ht="31.5" x14ac:dyDescent="0.25">
      <c r="A147" s="29" t="s">
        <v>403</v>
      </c>
      <c r="B147" s="20" t="s">
        <v>1236</v>
      </c>
      <c r="C147" s="40" t="s">
        <v>264</v>
      </c>
      <c r="D147" s="40" t="s">
        <v>118</v>
      </c>
      <c r="E147" s="40" t="s">
        <v>275</v>
      </c>
      <c r="F147" s="40" t="s">
        <v>636</v>
      </c>
      <c r="G147" s="10">
        <f>G146</f>
        <v>14795.6</v>
      </c>
      <c r="H147" s="10">
        <f>H146</f>
        <v>14795.6</v>
      </c>
    </row>
    <row r="148" spans="1:8" ht="15.75" x14ac:dyDescent="0.25">
      <c r="A148" s="29" t="s">
        <v>425</v>
      </c>
      <c r="B148" s="40" t="s">
        <v>1235</v>
      </c>
      <c r="C148" s="40" t="s">
        <v>264</v>
      </c>
      <c r="D148" s="40" t="s">
        <v>213</v>
      </c>
      <c r="E148" s="40"/>
      <c r="F148" s="40"/>
      <c r="G148" s="10">
        <f>G149</f>
        <v>28690.799999999999</v>
      </c>
      <c r="H148" s="10">
        <f>H149</f>
        <v>28690.799999999999</v>
      </c>
    </row>
    <row r="149" spans="1:8" ht="47.25" x14ac:dyDescent="0.25">
      <c r="A149" s="25" t="s">
        <v>427</v>
      </c>
      <c r="B149" s="20" t="s">
        <v>1254</v>
      </c>
      <c r="C149" s="40" t="s">
        <v>264</v>
      </c>
      <c r="D149" s="40" t="s">
        <v>213</v>
      </c>
      <c r="E149" s="40"/>
      <c r="F149" s="40"/>
      <c r="G149" s="10">
        <f t="shared" ref="G149:H150" si="20">G150</f>
        <v>28690.799999999999</v>
      </c>
      <c r="H149" s="10">
        <f t="shared" si="20"/>
        <v>28690.799999999999</v>
      </c>
    </row>
    <row r="150" spans="1:8" ht="47.25" x14ac:dyDescent="0.25">
      <c r="A150" s="25" t="s">
        <v>272</v>
      </c>
      <c r="B150" s="20" t="s">
        <v>1254</v>
      </c>
      <c r="C150" s="40" t="s">
        <v>264</v>
      </c>
      <c r="D150" s="40" t="s">
        <v>213</v>
      </c>
      <c r="E150" s="40" t="s">
        <v>273</v>
      </c>
      <c r="F150" s="40"/>
      <c r="G150" s="10">
        <f t="shared" si="20"/>
        <v>28690.799999999999</v>
      </c>
      <c r="H150" s="10">
        <f t="shared" si="20"/>
        <v>28690.799999999999</v>
      </c>
    </row>
    <row r="151" spans="1:8" ht="15.75" x14ac:dyDescent="0.25">
      <c r="A151" s="25" t="s">
        <v>274</v>
      </c>
      <c r="B151" s="20" t="s">
        <v>1254</v>
      </c>
      <c r="C151" s="40" t="s">
        <v>264</v>
      </c>
      <c r="D151" s="40" t="s">
        <v>213</v>
      </c>
      <c r="E151" s="40" t="s">
        <v>275</v>
      </c>
      <c r="F151" s="40"/>
      <c r="G151" s="6">
        <f>'пр.4.1.ведом.22-23'!G614</f>
        <v>28690.799999999999</v>
      </c>
      <c r="H151" s="6">
        <f>'пр.4.1.ведом.22-23'!H614</f>
        <v>28690.799999999999</v>
      </c>
    </row>
    <row r="152" spans="1:8" ht="31.5" x14ac:dyDescent="0.25">
      <c r="A152" s="29" t="s">
        <v>403</v>
      </c>
      <c r="B152" s="20" t="s">
        <v>1254</v>
      </c>
      <c r="C152" s="40" t="s">
        <v>264</v>
      </c>
      <c r="D152" s="40" t="s">
        <v>213</v>
      </c>
      <c r="E152" s="40" t="s">
        <v>275</v>
      </c>
      <c r="F152" s="40" t="s">
        <v>636</v>
      </c>
      <c r="G152" s="10">
        <f>G151</f>
        <v>28690.799999999999</v>
      </c>
      <c r="H152" s="10">
        <f>H151</f>
        <v>28690.799999999999</v>
      </c>
    </row>
    <row r="153" spans="1:8" ht="15.75" x14ac:dyDescent="0.25">
      <c r="A153" s="29" t="s">
        <v>265</v>
      </c>
      <c r="B153" s="40" t="s">
        <v>1235</v>
      </c>
      <c r="C153" s="40" t="s">
        <v>264</v>
      </c>
      <c r="D153" s="40" t="s">
        <v>215</v>
      </c>
      <c r="E153" s="40"/>
      <c r="F153" s="40"/>
      <c r="G153" s="6">
        <f t="shared" ref="G153:H155" si="21">G154</f>
        <v>37056.300000000003</v>
      </c>
      <c r="H153" s="6">
        <f t="shared" si="21"/>
        <v>37056.300000000003</v>
      </c>
    </row>
    <row r="154" spans="1:8" ht="47.25" x14ac:dyDescent="0.25">
      <c r="A154" s="29" t="s">
        <v>270</v>
      </c>
      <c r="B154" s="20" t="s">
        <v>1265</v>
      </c>
      <c r="C154" s="40" t="s">
        <v>264</v>
      </c>
      <c r="D154" s="40" t="s">
        <v>215</v>
      </c>
      <c r="E154" s="7"/>
      <c r="F154" s="7"/>
      <c r="G154" s="10">
        <f t="shared" si="21"/>
        <v>37056.300000000003</v>
      </c>
      <c r="H154" s="10">
        <f t="shared" si="21"/>
        <v>37056.300000000003</v>
      </c>
    </row>
    <row r="155" spans="1:8" ht="47.25" x14ac:dyDescent="0.25">
      <c r="A155" s="29" t="s">
        <v>272</v>
      </c>
      <c r="B155" s="20" t="s">
        <v>1265</v>
      </c>
      <c r="C155" s="40" t="s">
        <v>264</v>
      </c>
      <c r="D155" s="40" t="s">
        <v>215</v>
      </c>
      <c r="E155" s="40" t="s">
        <v>273</v>
      </c>
      <c r="F155" s="40"/>
      <c r="G155" s="10">
        <f t="shared" si="21"/>
        <v>37056.300000000003</v>
      </c>
      <c r="H155" s="10">
        <f t="shared" si="21"/>
        <v>37056.300000000003</v>
      </c>
    </row>
    <row r="156" spans="1:8" ht="15.75" x14ac:dyDescent="0.25">
      <c r="A156" s="29" t="s">
        <v>274</v>
      </c>
      <c r="B156" s="20" t="s">
        <v>1265</v>
      </c>
      <c r="C156" s="40" t="s">
        <v>264</v>
      </c>
      <c r="D156" s="40" t="s">
        <v>215</v>
      </c>
      <c r="E156" s="40" t="s">
        <v>275</v>
      </c>
      <c r="F156" s="40"/>
      <c r="G156" s="6">
        <f>'пр.4.1.ведом.22-23'!G696</f>
        <v>37056.300000000003</v>
      </c>
      <c r="H156" s="6">
        <f>'пр.4.1.ведом.22-23'!H696</f>
        <v>37056.300000000003</v>
      </c>
    </row>
    <row r="157" spans="1:8" ht="31.5" x14ac:dyDescent="0.25">
      <c r="A157" s="29" t="s">
        <v>403</v>
      </c>
      <c r="B157" s="20" t="s">
        <v>1265</v>
      </c>
      <c r="C157" s="40" t="s">
        <v>264</v>
      </c>
      <c r="D157" s="40" t="s">
        <v>215</v>
      </c>
      <c r="E157" s="40" t="s">
        <v>275</v>
      </c>
      <c r="F157" s="40" t="s">
        <v>636</v>
      </c>
      <c r="G157" s="10">
        <f>G156</f>
        <v>37056.300000000003</v>
      </c>
      <c r="H157" s="10">
        <f>H156</f>
        <v>37056.300000000003</v>
      </c>
    </row>
    <row r="158" spans="1:8" ht="47.25" x14ac:dyDescent="0.25">
      <c r="A158" s="23" t="s">
        <v>900</v>
      </c>
      <c r="B158" s="24" t="s">
        <v>1237</v>
      </c>
      <c r="C158" s="7"/>
      <c r="D158" s="7"/>
      <c r="E158" s="7"/>
      <c r="F158" s="7"/>
      <c r="G158" s="4">
        <f>G159</f>
        <v>209060.9</v>
      </c>
      <c r="H158" s="4">
        <f>H159</f>
        <v>232587.40000000002</v>
      </c>
    </row>
    <row r="159" spans="1:8" ht="15.75" x14ac:dyDescent="0.25">
      <c r="A159" s="29" t="s">
        <v>263</v>
      </c>
      <c r="B159" s="40" t="s">
        <v>1237</v>
      </c>
      <c r="C159" s="40" t="s">
        <v>264</v>
      </c>
      <c r="D159" s="40"/>
      <c r="E159" s="40"/>
      <c r="F159" s="40"/>
      <c r="G159" s="10">
        <f>G160+G177+G202</f>
        <v>209060.9</v>
      </c>
      <c r="H159" s="10">
        <f>H160+H177+H202</f>
        <v>232587.40000000002</v>
      </c>
    </row>
    <row r="160" spans="1:8" ht="15.75" x14ac:dyDescent="0.25">
      <c r="A160" s="45" t="s">
        <v>404</v>
      </c>
      <c r="B160" s="40" t="s">
        <v>1237</v>
      </c>
      <c r="C160" s="40" t="s">
        <v>264</v>
      </c>
      <c r="D160" s="40" t="s">
        <v>118</v>
      </c>
      <c r="E160" s="40"/>
      <c r="F160" s="40"/>
      <c r="G160" s="10">
        <f>G165+G169+G173+G161</f>
        <v>75561.5</v>
      </c>
      <c r="H160" s="10">
        <f>H165+H169+H173+H161</f>
        <v>79924.100000000006</v>
      </c>
    </row>
    <row r="161" spans="1:8" s="203" customFormat="1" ht="110.25" x14ac:dyDescent="0.25">
      <c r="A161" s="31" t="s">
        <v>293</v>
      </c>
      <c r="B161" s="20" t="s">
        <v>1401</v>
      </c>
      <c r="C161" s="40" t="s">
        <v>264</v>
      </c>
      <c r="D161" s="40" t="s">
        <v>118</v>
      </c>
      <c r="E161" s="40"/>
      <c r="F161" s="40"/>
      <c r="G161" s="6">
        <f>G162</f>
        <v>3230</v>
      </c>
      <c r="H161" s="6">
        <f>H162</f>
        <v>3230</v>
      </c>
    </row>
    <row r="162" spans="1:8" s="203" customFormat="1" ht="47.25" x14ac:dyDescent="0.25">
      <c r="A162" s="25" t="s">
        <v>272</v>
      </c>
      <c r="B162" s="20" t="s">
        <v>1401</v>
      </c>
      <c r="C162" s="40" t="s">
        <v>264</v>
      </c>
      <c r="D162" s="40" t="s">
        <v>118</v>
      </c>
      <c r="E162" s="40" t="s">
        <v>273</v>
      </c>
      <c r="F162" s="40"/>
      <c r="G162" s="6">
        <f>G163</f>
        <v>3230</v>
      </c>
      <c r="H162" s="6">
        <f>H163</f>
        <v>3230</v>
      </c>
    </row>
    <row r="163" spans="1:8" s="203" customFormat="1" ht="15.75" x14ac:dyDescent="0.25">
      <c r="A163" s="25" t="s">
        <v>274</v>
      </c>
      <c r="B163" s="20" t="s">
        <v>1401</v>
      </c>
      <c r="C163" s="40" t="s">
        <v>264</v>
      </c>
      <c r="D163" s="40" t="s">
        <v>118</v>
      </c>
      <c r="E163" s="40" t="s">
        <v>275</v>
      </c>
      <c r="F163" s="40"/>
      <c r="G163" s="6">
        <f>'пр.4.1.ведом.22-23'!G558</f>
        <v>3230</v>
      </c>
      <c r="H163" s="6">
        <f>'пр.4.1.ведом.22-23'!H558</f>
        <v>3230</v>
      </c>
    </row>
    <row r="164" spans="1:8" s="203" customFormat="1" ht="31.5" x14ac:dyDescent="0.25">
      <c r="A164" s="29" t="s">
        <v>403</v>
      </c>
      <c r="B164" s="20" t="s">
        <v>1401</v>
      </c>
      <c r="C164" s="40" t="s">
        <v>264</v>
      </c>
      <c r="D164" s="40" t="s">
        <v>118</v>
      </c>
      <c r="E164" s="40" t="s">
        <v>275</v>
      </c>
      <c r="F164" s="40" t="s">
        <v>636</v>
      </c>
      <c r="G164" s="10">
        <f>G163</f>
        <v>3230</v>
      </c>
      <c r="H164" s="10">
        <f>H163</f>
        <v>3230</v>
      </c>
    </row>
    <row r="165" spans="1:8" ht="78.75" x14ac:dyDescent="0.25">
      <c r="A165" s="31" t="s">
        <v>289</v>
      </c>
      <c r="B165" s="20" t="s">
        <v>1238</v>
      </c>
      <c r="C165" s="40" t="s">
        <v>264</v>
      </c>
      <c r="D165" s="40" t="s">
        <v>118</v>
      </c>
      <c r="E165" s="40"/>
      <c r="F165" s="40"/>
      <c r="G165" s="6">
        <f>G166</f>
        <v>589</v>
      </c>
      <c r="H165" s="6">
        <f>H166</f>
        <v>589</v>
      </c>
    </row>
    <row r="166" spans="1:8" ht="47.25" x14ac:dyDescent="0.25">
      <c r="A166" s="25" t="s">
        <v>272</v>
      </c>
      <c r="B166" s="20" t="s">
        <v>1238</v>
      </c>
      <c r="C166" s="40" t="s">
        <v>264</v>
      </c>
      <c r="D166" s="40" t="s">
        <v>118</v>
      </c>
      <c r="E166" s="40" t="s">
        <v>273</v>
      </c>
      <c r="F166" s="40"/>
      <c r="G166" s="6">
        <f>G167</f>
        <v>589</v>
      </c>
      <c r="H166" s="6">
        <f>H167</f>
        <v>589</v>
      </c>
    </row>
    <row r="167" spans="1:8" ht="15.75" x14ac:dyDescent="0.25">
      <c r="A167" s="25" t="s">
        <v>274</v>
      </c>
      <c r="B167" s="20" t="s">
        <v>1238</v>
      </c>
      <c r="C167" s="40" t="s">
        <v>264</v>
      </c>
      <c r="D167" s="40" t="s">
        <v>118</v>
      </c>
      <c r="E167" s="40" t="s">
        <v>275</v>
      </c>
      <c r="F167" s="40"/>
      <c r="G167" s="6">
        <f>'пр.4.1.ведом.22-23'!G561</f>
        <v>589</v>
      </c>
      <c r="H167" s="6">
        <f>'пр.4.1.ведом.22-23'!H561</f>
        <v>589</v>
      </c>
    </row>
    <row r="168" spans="1:8" ht="31.5" x14ac:dyDescent="0.25">
      <c r="A168" s="29" t="s">
        <v>403</v>
      </c>
      <c r="B168" s="20" t="s">
        <v>1238</v>
      </c>
      <c r="C168" s="40" t="s">
        <v>264</v>
      </c>
      <c r="D168" s="40" t="s">
        <v>118</v>
      </c>
      <c r="E168" s="40" t="s">
        <v>275</v>
      </c>
      <c r="F168" s="40" t="s">
        <v>636</v>
      </c>
      <c r="G168" s="10">
        <f>G167</f>
        <v>589</v>
      </c>
      <c r="H168" s="10">
        <f>H167</f>
        <v>589</v>
      </c>
    </row>
    <row r="169" spans="1:8" ht="94.5" x14ac:dyDescent="0.25">
      <c r="A169" s="31" t="s">
        <v>291</v>
      </c>
      <c r="B169" s="20" t="s">
        <v>1239</v>
      </c>
      <c r="C169" s="40" t="s">
        <v>264</v>
      </c>
      <c r="D169" s="40" t="s">
        <v>118</v>
      </c>
      <c r="E169" s="40"/>
      <c r="F169" s="40"/>
      <c r="G169" s="6">
        <f>G170</f>
        <v>1629.3</v>
      </c>
      <c r="H169" s="6">
        <f>H170</f>
        <v>1629.3</v>
      </c>
    </row>
    <row r="170" spans="1:8" ht="47.25" x14ac:dyDescent="0.25">
      <c r="A170" s="25" t="s">
        <v>272</v>
      </c>
      <c r="B170" s="20" t="s">
        <v>1239</v>
      </c>
      <c r="C170" s="40" t="s">
        <v>264</v>
      </c>
      <c r="D170" s="40" t="s">
        <v>118</v>
      </c>
      <c r="E170" s="40" t="s">
        <v>273</v>
      </c>
      <c r="F170" s="40"/>
      <c r="G170" s="6">
        <f>G171</f>
        <v>1629.3</v>
      </c>
      <c r="H170" s="6">
        <f>H171</f>
        <v>1629.3</v>
      </c>
    </row>
    <row r="171" spans="1:8" ht="15.75" x14ac:dyDescent="0.25">
      <c r="A171" s="25" t="s">
        <v>274</v>
      </c>
      <c r="B171" s="20" t="s">
        <v>1239</v>
      </c>
      <c r="C171" s="40" t="s">
        <v>264</v>
      </c>
      <c r="D171" s="40" t="s">
        <v>118</v>
      </c>
      <c r="E171" s="40" t="s">
        <v>275</v>
      </c>
      <c r="F171" s="40"/>
      <c r="G171" s="6">
        <f>'пр.4.1.ведом.22-23'!G564</f>
        <v>1629.3</v>
      </c>
      <c r="H171" s="6">
        <f>'пр.4.1.ведом.22-23'!H564</f>
        <v>1629.3</v>
      </c>
    </row>
    <row r="172" spans="1:8" ht="31.5" x14ac:dyDescent="0.25">
      <c r="A172" s="29" t="s">
        <v>403</v>
      </c>
      <c r="B172" s="20" t="s">
        <v>1239</v>
      </c>
      <c r="C172" s="40" t="s">
        <v>264</v>
      </c>
      <c r="D172" s="40" t="s">
        <v>118</v>
      </c>
      <c r="E172" s="40" t="s">
        <v>275</v>
      </c>
      <c r="F172" s="40" t="s">
        <v>636</v>
      </c>
      <c r="G172" s="10">
        <f>G171</f>
        <v>1629.3</v>
      </c>
      <c r="H172" s="10">
        <f>H171</f>
        <v>1629.3</v>
      </c>
    </row>
    <row r="173" spans="1:8" ht="91.5" customHeight="1" x14ac:dyDescent="0.25">
      <c r="A173" s="31" t="s">
        <v>1188</v>
      </c>
      <c r="B173" s="20" t="s">
        <v>1240</v>
      </c>
      <c r="C173" s="40" t="s">
        <v>264</v>
      </c>
      <c r="D173" s="40" t="s">
        <v>118</v>
      </c>
      <c r="E173" s="40"/>
      <c r="F173" s="40"/>
      <c r="G173" s="6">
        <f>G174</f>
        <v>70113.2</v>
      </c>
      <c r="H173" s="6">
        <f>H174</f>
        <v>74475.8</v>
      </c>
    </row>
    <row r="174" spans="1:8" ht="47.25" x14ac:dyDescent="0.25">
      <c r="A174" s="25" t="s">
        <v>272</v>
      </c>
      <c r="B174" s="20" t="s">
        <v>1240</v>
      </c>
      <c r="C174" s="40" t="s">
        <v>264</v>
      </c>
      <c r="D174" s="40" t="s">
        <v>118</v>
      </c>
      <c r="E174" s="40" t="s">
        <v>273</v>
      </c>
      <c r="F174" s="40"/>
      <c r="G174" s="6">
        <f>G175</f>
        <v>70113.2</v>
      </c>
      <c r="H174" s="6">
        <f>H175</f>
        <v>74475.8</v>
      </c>
    </row>
    <row r="175" spans="1:8" ht="15.75" x14ac:dyDescent="0.25">
      <c r="A175" s="25" t="s">
        <v>274</v>
      </c>
      <c r="B175" s="20" t="s">
        <v>1240</v>
      </c>
      <c r="C175" s="40" t="s">
        <v>264</v>
      </c>
      <c r="D175" s="40" t="s">
        <v>118</v>
      </c>
      <c r="E175" s="40" t="s">
        <v>275</v>
      </c>
      <c r="F175" s="40"/>
      <c r="G175" s="6">
        <f>'пр.4.1.ведом.22-23'!G567</f>
        <v>70113.2</v>
      </c>
      <c r="H175" s="6">
        <f>'пр.4.1.ведом.22-23'!H567</f>
        <v>74475.8</v>
      </c>
    </row>
    <row r="176" spans="1:8" ht="31.5" x14ac:dyDescent="0.25">
      <c r="A176" s="29" t="s">
        <v>403</v>
      </c>
      <c r="B176" s="20" t="s">
        <v>1240</v>
      </c>
      <c r="C176" s="40" t="s">
        <v>264</v>
      </c>
      <c r="D176" s="40" t="s">
        <v>118</v>
      </c>
      <c r="E176" s="40" t="s">
        <v>275</v>
      </c>
      <c r="F176" s="40" t="s">
        <v>636</v>
      </c>
      <c r="G176" s="10">
        <f>G175</f>
        <v>70113.2</v>
      </c>
      <c r="H176" s="10">
        <f>H175</f>
        <v>74475.8</v>
      </c>
    </row>
    <row r="177" spans="1:8" ht="15.75" x14ac:dyDescent="0.25">
      <c r="A177" s="29" t="s">
        <v>425</v>
      </c>
      <c r="B177" s="40" t="s">
        <v>1237</v>
      </c>
      <c r="C177" s="40" t="s">
        <v>264</v>
      </c>
      <c r="D177" s="40" t="s">
        <v>213</v>
      </c>
      <c r="E177" s="40"/>
      <c r="F177" s="40"/>
      <c r="G177" s="10">
        <f>G186+G190+G194+G198+G182+G178</f>
        <v>131370.9</v>
      </c>
      <c r="H177" s="10">
        <f>H186+H190+H194+H198+H182+H178</f>
        <v>150534.80000000002</v>
      </c>
    </row>
    <row r="178" spans="1:8" s="203" customFormat="1" ht="78.75" x14ac:dyDescent="0.25">
      <c r="A178" s="25" t="s">
        <v>1403</v>
      </c>
      <c r="B178" s="20" t="s">
        <v>1404</v>
      </c>
      <c r="C178" s="40" t="s">
        <v>264</v>
      </c>
      <c r="D178" s="40" t="s">
        <v>213</v>
      </c>
      <c r="E178" s="40"/>
      <c r="F178" s="40"/>
      <c r="G178" s="10">
        <f>G179</f>
        <v>7226.1</v>
      </c>
      <c r="H178" s="10">
        <f>H179</f>
        <v>7226.1</v>
      </c>
    </row>
    <row r="179" spans="1:8" s="203" customFormat="1" ht="47.25" x14ac:dyDescent="0.25">
      <c r="A179" s="25" t="s">
        <v>272</v>
      </c>
      <c r="B179" s="20" t="s">
        <v>1404</v>
      </c>
      <c r="C179" s="40" t="s">
        <v>264</v>
      </c>
      <c r="D179" s="40" t="s">
        <v>213</v>
      </c>
      <c r="E179" s="40" t="s">
        <v>273</v>
      </c>
      <c r="F179" s="40"/>
      <c r="G179" s="10">
        <f>G180</f>
        <v>7226.1</v>
      </c>
      <c r="H179" s="10">
        <f>H180</f>
        <v>7226.1</v>
      </c>
    </row>
    <row r="180" spans="1:8" s="203" customFormat="1" ht="15.75" x14ac:dyDescent="0.25">
      <c r="A180" s="25" t="s">
        <v>274</v>
      </c>
      <c r="B180" s="20" t="s">
        <v>1404</v>
      </c>
      <c r="C180" s="40" t="s">
        <v>264</v>
      </c>
      <c r="D180" s="40" t="s">
        <v>213</v>
      </c>
      <c r="E180" s="40" t="s">
        <v>275</v>
      </c>
      <c r="F180" s="40"/>
      <c r="G180" s="10">
        <f>'пр.4.1.ведом.22-23'!G618</f>
        <v>7226.1</v>
      </c>
      <c r="H180" s="10">
        <f>'пр.4.1.ведом.22-23'!H618</f>
        <v>7226.1</v>
      </c>
    </row>
    <row r="181" spans="1:8" s="203" customFormat="1" ht="31.5" x14ac:dyDescent="0.25">
      <c r="A181" s="45" t="s">
        <v>403</v>
      </c>
      <c r="B181" s="20" t="s">
        <v>1404</v>
      </c>
      <c r="C181" s="40" t="s">
        <v>264</v>
      </c>
      <c r="D181" s="40" t="s">
        <v>213</v>
      </c>
      <c r="E181" s="40" t="s">
        <v>275</v>
      </c>
      <c r="F181" s="40" t="s">
        <v>636</v>
      </c>
      <c r="G181" s="10">
        <f>G178</f>
        <v>7226.1</v>
      </c>
      <c r="H181" s="10">
        <f>H178</f>
        <v>7226.1</v>
      </c>
    </row>
    <row r="182" spans="1:8" s="203" customFormat="1" ht="110.25" x14ac:dyDescent="0.25">
      <c r="A182" s="31" t="s">
        <v>464</v>
      </c>
      <c r="B182" s="20" t="s">
        <v>1401</v>
      </c>
      <c r="C182" s="40" t="s">
        <v>264</v>
      </c>
      <c r="D182" s="40" t="s">
        <v>213</v>
      </c>
      <c r="E182" s="40"/>
      <c r="F182" s="40"/>
      <c r="G182" s="6">
        <f>G183</f>
        <v>4610</v>
      </c>
      <c r="H182" s="6">
        <f>H183</f>
        <v>4610</v>
      </c>
    </row>
    <row r="183" spans="1:8" s="203" customFormat="1" ht="47.25" x14ac:dyDescent="0.25">
      <c r="A183" s="25" t="s">
        <v>272</v>
      </c>
      <c r="B183" s="20" t="s">
        <v>1401</v>
      </c>
      <c r="C183" s="40" t="s">
        <v>264</v>
      </c>
      <c r="D183" s="40" t="s">
        <v>213</v>
      </c>
      <c r="E183" s="40" t="s">
        <v>273</v>
      </c>
      <c r="F183" s="40"/>
      <c r="G183" s="6">
        <f>G184</f>
        <v>4610</v>
      </c>
      <c r="H183" s="6">
        <f>H184</f>
        <v>4610</v>
      </c>
    </row>
    <row r="184" spans="1:8" s="203" customFormat="1" ht="15.75" x14ac:dyDescent="0.25">
      <c r="A184" s="25" t="s">
        <v>274</v>
      </c>
      <c r="B184" s="20" t="s">
        <v>1401</v>
      </c>
      <c r="C184" s="40" t="s">
        <v>264</v>
      </c>
      <c r="D184" s="40" t="s">
        <v>213</v>
      </c>
      <c r="E184" s="40" t="s">
        <v>275</v>
      </c>
      <c r="F184" s="40"/>
      <c r="G184" s="6">
        <f>'пр.4.1.ведом.22-23'!G621</f>
        <v>4610</v>
      </c>
      <c r="H184" s="6">
        <f>'пр.4.1.ведом.22-23'!H621</f>
        <v>4610</v>
      </c>
    </row>
    <row r="185" spans="1:8" s="203" customFormat="1" ht="31.5" x14ac:dyDescent="0.25">
      <c r="A185" s="29" t="s">
        <v>403</v>
      </c>
      <c r="B185" s="20" t="s">
        <v>1401</v>
      </c>
      <c r="C185" s="40" t="s">
        <v>264</v>
      </c>
      <c r="D185" s="40" t="s">
        <v>213</v>
      </c>
      <c r="E185" s="40" t="s">
        <v>275</v>
      </c>
      <c r="F185" s="40" t="s">
        <v>636</v>
      </c>
      <c r="G185" s="10">
        <f>G184</f>
        <v>4610</v>
      </c>
      <c r="H185" s="10">
        <f>H184</f>
        <v>4610</v>
      </c>
    </row>
    <row r="186" spans="1:8" ht="94.5" x14ac:dyDescent="0.25">
      <c r="A186" s="31" t="s">
        <v>1189</v>
      </c>
      <c r="B186" s="20" t="s">
        <v>1255</v>
      </c>
      <c r="C186" s="40" t="s">
        <v>264</v>
      </c>
      <c r="D186" s="40" t="s">
        <v>213</v>
      </c>
      <c r="E186" s="40"/>
      <c r="F186" s="40"/>
      <c r="G186" s="6">
        <f>G187</f>
        <v>115047.8</v>
      </c>
      <c r="H186" s="6">
        <f>H187</f>
        <v>134211.70000000001</v>
      </c>
    </row>
    <row r="187" spans="1:8" ht="47.25" x14ac:dyDescent="0.25">
      <c r="A187" s="25" t="s">
        <v>272</v>
      </c>
      <c r="B187" s="20" t="s">
        <v>1255</v>
      </c>
      <c r="C187" s="40" t="s">
        <v>264</v>
      </c>
      <c r="D187" s="40" t="s">
        <v>213</v>
      </c>
      <c r="E187" s="40" t="s">
        <v>273</v>
      </c>
      <c r="F187" s="40"/>
      <c r="G187" s="6">
        <f>G188</f>
        <v>115047.8</v>
      </c>
      <c r="H187" s="6">
        <f>H188</f>
        <v>134211.70000000001</v>
      </c>
    </row>
    <row r="188" spans="1:8" ht="15.75" x14ac:dyDescent="0.25">
      <c r="A188" s="25" t="s">
        <v>274</v>
      </c>
      <c r="B188" s="20" t="s">
        <v>1255</v>
      </c>
      <c r="C188" s="40" t="s">
        <v>264</v>
      </c>
      <c r="D188" s="40" t="s">
        <v>213</v>
      </c>
      <c r="E188" s="40" t="s">
        <v>275</v>
      </c>
      <c r="F188" s="40"/>
      <c r="G188" s="6">
        <f>'пр.4.1.ведом.22-23'!G624</f>
        <v>115047.8</v>
      </c>
      <c r="H188" s="6">
        <f>'пр.4.1.ведом.22-23'!H624</f>
        <v>134211.70000000001</v>
      </c>
    </row>
    <row r="189" spans="1:8" ht="31.5" x14ac:dyDescent="0.25">
      <c r="A189" s="29" t="s">
        <v>403</v>
      </c>
      <c r="B189" s="20" t="s">
        <v>1255</v>
      </c>
      <c r="C189" s="40" t="s">
        <v>264</v>
      </c>
      <c r="D189" s="40" t="s">
        <v>213</v>
      </c>
      <c r="E189" s="40" t="s">
        <v>275</v>
      </c>
      <c r="F189" s="40" t="s">
        <v>636</v>
      </c>
      <c r="G189" s="10">
        <f>G188</f>
        <v>115047.8</v>
      </c>
      <c r="H189" s="10">
        <f>H188</f>
        <v>134211.70000000001</v>
      </c>
    </row>
    <row r="190" spans="1:8" ht="78.75" x14ac:dyDescent="0.25">
      <c r="A190" s="31" t="s">
        <v>289</v>
      </c>
      <c r="B190" s="20" t="s">
        <v>1238</v>
      </c>
      <c r="C190" s="40" t="s">
        <v>264</v>
      </c>
      <c r="D190" s="40" t="s">
        <v>213</v>
      </c>
      <c r="E190" s="40"/>
      <c r="F190" s="40"/>
      <c r="G190" s="6">
        <f>G191</f>
        <v>1311</v>
      </c>
      <c r="H190" s="6">
        <f>H191</f>
        <v>1311</v>
      </c>
    </row>
    <row r="191" spans="1:8" ht="47.25" x14ac:dyDescent="0.25">
      <c r="A191" s="25" t="s">
        <v>272</v>
      </c>
      <c r="B191" s="20" t="s">
        <v>1238</v>
      </c>
      <c r="C191" s="40" t="s">
        <v>264</v>
      </c>
      <c r="D191" s="40" t="s">
        <v>213</v>
      </c>
      <c r="E191" s="40" t="s">
        <v>273</v>
      </c>
      <c r="F191" s="40"/>
      <c r="G191" s="6">
        <f>G192</f>
        <v>1311</v>
      </c>
      <c r="H191" s="6">
        <f>H192</f>
        <v>1311</v>
      </c>
    </row>
    <row r="192" spans="1:8" ht="15.75" x14ac:dyDescent="0.25">
      <c r="A192" s="25" t="s">
        <v>274</v>
      </c>
      <c r="B192" s="20" t="s">
        <v>1238</v>
      </c>
      <c r="C192" s="40" t="s">
        <v>264</v>
      </c>
      <c r="D192" s="40" t="s">
        <v>213</v>
      </c>
      <c r="E192" s="40" t="s">
        <v>275</v>
      </c>
      <c r="F192" s="40"/>
      <c r="G192" s="6">
        <f>'пр.4.1.ведом.22-23'!G627</f>
        <v>1311</v>
      </c>
      <c r="H192" s="6">
        <f>'пр.4.1.ведом.22-23'!H627</f>
        <v>1311</v>
      </c>
    </row>
    <row r="193" spans="1:8" ht="31.5" x14ac:dyDescent="0.25">
      <c r="A193" s="29" t="s">
        <v>403</v>
      </c>
      <c r="B193" s="20" t="s">
        <v>1238</v>
      </c>
      <c r="C193" s="40" t="s">
        <v>264</v>
      </c>
      <c r="D193" s="40" t="s">
        <v>213</v>
      </c>
      <c r="E193" s="40" t="s">
        <v>275</v>
      </c>
      <c r="F193" s="40" t="s">
        <v>636</v>
      </c>
      <c r="G193" s="10">
        <f>G192</f>
        <v>1311</v>
      </c>
      <c r="H193" s="10">
        <f>H192</f>
        <v>1311</v>
      </c>
    </row>
    <row r="194" spans="1:8" ht="84.2" customHeight="1" x14ac:dyDescent="0.25">
      <c r="A194" s="31" t="s">
        <v>291</v>
      </c>
      <c r="B194" s="20" t="s">
        <v>1239</v>
      </c>
      <c r="C194" s="40" t="s">
        <v>264</v>
      </c>
      <c r="D194" s="40" t="s">
        <v>213</v>
      </c>
      <c r="E194" s="40"/>
      <c r="F194" s="40"/>
      <c r="G194" s="6">
        <f>G195</f>
        <v>2266.6999999999998</v>
      </c>
      <c r="H194" s="6">
        <f>H195</f>
        <v>2266.6999999999998</v>
      </c>
    </row>
    <row r="195" spans="1:8" ht="47.25" x14ac:dyDescent="0.25">
      <c r="A195" s="25" t="s">
        <v>272</v>
      </c>
      <c r="B195" s="20" t="s">
        <v>1239</v>
      </c>
      <c r="C195" s="40" t="s">
        <v>264</v>
      </c>
      <c r="D195" s="40" t="s">
        <v>213</v>
      </c>
      <c r="E195" s="40" t="s">
        <v>273</v>
      </c>
      <c r="F195" s="40"/>
      <c r="G195" s="6">
        <f>G196</f>
        <v>2266.6999999999998</v>
      </c>
      <c r="H195" s="6">
        <f>H196</f>
        <v>2266.6999999999998</v>
      </c>
    </row>
    <row r="196" spans="1:8" ht="15.75" x14ac:dyDescent="0.25">
      <c r="A196" s="25" t="s">
        <v>274</v>
      </c>
      <c r="B196" s="20" t="s">
        <v>1239</v>
      </c>
      <c r="C196" s="40" t="s">
        <v>264</v>
      </c>
      <c r="D196" s="40" t="s">
        <v>213</v>
      </c>
      <c r="E196" s="40" t="s">
        <v>275</v>
      </c>
      <c r="F196" s="40"/>
      <c r="G196" s="6">
        <f>'пр.4.1.ведом.22-23'!G630</f>
        <v>2266.6999999999998</v>
      </c>
      <c r="H196" s="6">
        <f>'пр.4.1.ведом.22-23'!H630</f>
        <v>2266.6999999999998</v>
      </c>
    </row>
    <row r="197" spans="1:8" ht="31.5" x14ac:dyDescent="0.25">
      <c r="A197" s="29" t="s">
        <v>403</v>
      </c>
      <c r="B197" s="20" t="s">
        <v>1239</v>
      </c>
      <c r="C197" s="40" t="s">
        <v>264</v>
      </c>
      <c r="D197" s="40" t="s">
        <v>213</v>
      </c>
      <c r="E197" s="40" t="s">
        <v>275</v>
      </c>
      <c r="F197" s="40" t="s">
        <v>636</v>
      </c>
      <c r="G197" s="10">
        <f>G196</f>
        <v>2266.6999999999998</v>
      </c>
      <c r="H197" s="10">
        <f>H196</f>
        <v>2266.6999999999998</v>
      </c>
    </row>
    <row r="198" spans="1:8" ht="47.25" x14ac:dyDescent="0.25">
      <c r="A198" s="31" t="s">
        <v>462</v>
      </c>
      <c r="B198" s="20" t="s">
        <v>1256</v>
      </c>
      <c r="C198" s="40" t="s">
        <v>264</v>
      </c>
      <c r="D198" s="40" t="s">
        <v>213</v>
      </c>
      <c r="E198" s="40"/>
      <c r="F198" s="40"/>
      <c r="G198" s="6">
        <f>G199</f>
        <v>909.3</v>
      </c>
      <c r="H198" s="6">
        <f>H199</f>
        <v>909.3</v>
      </c>
    </row>
    <row r="199" spans="1:8" ht="47.25" x14ac:dyDescent="0.25">
      <c r="A199" s="25" t="s">
        <v>272</v>
      </c>
      <c r="B199" s="20" t="s">
        <v>1256</v>
      </c>
      <c r="C199" s="40" t="s">
        <v>264</v>
      </c>
      <c r="D199" s="40" t="s">
        <v>213</v>
      </c>
      <c r="E199" s="40" t="s">
        <v>273</v>
      </c>
      <c r="F199" s="40"/>
      <c r="G199" s="6">
        <f>G200</f>
        <v>909.3</v>
      </c>
      <c r="H199" s="6">
        <f>H200</f>
        <v>909.3</v>
      </c>
    </row>
    <row r="200" spans="1:8" ht="15.75" x14ac:dyDescent="0.25">
      <c r="A200" s="25" t="s">
        <v>274</v>
      </c>
      <c r="B200" s="20" t="s">
        <v>1256</v>
      </c>
      <c r="C200" s="40" t="s">
        <v>264</v>
      </c>
      <c r="D200" s="40" t="s">
        <v>213</v>
      </c>
      <c r="E200" s="40" t="s">
        <v>275</v>
      </c>
      <c r="F200" s="40"/>
      <c r="G200" s="6">
        <f>'пр.4.1.ведом.22-23'!G633</f>
        <v>909.3</v>
      </c>
      <c r="H200" s="6">
        <f>'пр.4.1.ведом.22-23'!H633</f>
        <v>909.3</v>
      </c>
    </row>
    <row r="201" spans="1:8" ht="31.5" x14ac:dyDescent="0.25">
      <c r="A201" s="29" t="s">
        <v>403</v>
      </c>
      <c r="B201" s="20" t="s">
        <v>1256</v>
      </c>
      <c r="C201" s="40" t="s">
        <v>264</v>
      </c>
      <c r="D201" s="40" t="s">
        <v>213</v>
      </c>
      <c r="E201" s="40" t="s">
        <v>275</v>
      </c>
      <c r="F201" s="40" t="s">
        <v>636</v>
      </c>
      <c r="G201" s="10">
        <f>G200</f>
        <v>909.3</v>
      </c>
      <c r="H201" s="10">
        <f>H200</f>
        <v>909.3</v>
      </c>
    </row>
    <row r="202" spans="1:8" ht="15.75" x14ac:dyDescent="0.25">
      <c r="A202" s="29" t="s">
        <v>265</v>
      </c>
      <c r="B202" s="40" t="s">
        <v>1237</v>
      </c>
      <c r="C202" s="40" t="s">
        <v>264</v>
      </c>
      <c r="D202" s="40" t="s">
        <v>215</v>
      </c>
      <c r="E202" s="40"/>
      <c r="F202" s="40"/>
      <c r="G202" s="6">
        <f>G207+G211+G203</f>
        <v>2128.5</v>
      </c>
      <c r="H202" s="6">
        <f>H207+H211+H203</f>
        <v>2128.5</v>
      </c>
    </row>
    <row r="203" spans="1:8" s="203" customFormat="1" ht="110.25" x14ac:dyDescent="0.25">
      <c r="A203" s="31" t="s">
        <v>293</v>
      </c>
      <c r="B203" s="20" t="s">
        <v>1401</v>
      </c>
      <c r="C203" s="40" t="s">
        <v>264</v>
      </c>
      <c r="D203" s="40" t="s">
        <v>215</v>
      </c>
      <c r="E203" s="40"/>
      <c r="F203" s="40"/>
      <c r="G203" s="6">
        <f>G204</f>
        <v>1400</v>
      </c>
      <c r="H203" s="6">
        <f>H204</f>
        <v>1400</v>
      </c>
    </row>
    <row r="204" spans="1:8" s="203" customFormat="1" ht="47.25" x14ac:dyDescent="0.25">
      <c r="A204" s="25" t="s">
        <v>272</v>
      </c>
      <c r="B204" s="20" t="s">
        <v>1401</v>
      </c>
      <c r="C204" s="40" t="s">
        <v>264</v>
      </c>
      <c r="D204" s="40" t="s">
        <v>215</v>
      </c>
      <c r="E204" s="40" t="s">
        <v>273</v>
      </c>
      <c r="F204" s="40"/>
      <c r="G204" s="6">
        <f>G205</f>
        <v>1400</v>
      </c>
      <c r="H204" s="6">
        <f>H205</f>
        <v>1400</v>
      </c>
    </row>
    <row r="205" spans="1:8" s="203" customFormat="1" ht="15.75" x14ac:dyDescent="0.25">
      <c r="A205" s="25" t="s">
        <v>274</v>
      </c>
      <c r="B205" s="20" t="s">
        <v>1401</v>
      </c>
      <c r="C205" s="40" t="s">
        <v>264</v>
      </c>
      <c r="D205" s="40" t="s">
        <v>215</v>
      </c>
      <c r="E205" s="40" t="s">
        <v>275</v>
      </c>
      <c r="F205" s="40"/>
      <c r="G205" s="6">
        <f>'пр.4.1.ведом.22-23'!G700</f>
        <v>1400</v>
      </c>
      <c r="H205" s="6">
        <f>'пр.4.1.ведом.22-23'!H700</f>
        <v>1400</v>
      </c>
    </row>
    <row r="206" spans="1:8" s="203" customFormat="1" ht="31.5" x14ac:dyDescent="0.25">
      <c r="A206" s="29" t="s">
        <v>403</v>
      </c>
      <c r="B206" s="20" t="s">
        <v>1401</v>
      </c>
      <c r="C206" s="40" t="s">
        <v>264</v>
      </c>
      <c r="D206" s="40" t="s">
        <v>215</v>
      </c>
      <c r="E206" s="40" t="s">
        <v>275</v>
      </c>
      <c r="F206" s="40" t="s">
        <v>636</v>
      </c>
      <c r="G206" s="10">
        <f>G205</f>
        <v>1400</v>
      </c>
      <c r="H206" s="10">
        <f>H205</f>
        <v>1400</v>
      </c>
    </row>
    <row r="207" spans="1:8" ht="78.75" x14ac:dyDescent="0.25">
      <c r="A207" s="31" t="s">
        <v>289</v>
      </c>
      <c r="B207" s="20" t="s">
        <v>1238</v>
      </c>
      <c r="C207" s="40" t="s">
        <v>264</v>
      </c>
      <c r="D207" s="40" t="s">
        <v>215</v>
      </c>
      <c r="E207" s="40"/>
      <c r="F207" s="40"/>
      <c r="G207" s="6">
        <f>G208</f>
        <v>179</v>
      </c>
      <c r="H207" s="6">
        <f>H208</f>
        <v>179</v>
      </c>
    </row>
    <row r="208" spans="1:8" ht="47.25" x14ac:dyDescent="0.25">
      <c r="A208" s="25" t="s">
        <v>272</v>
      </c>
      <c r="B208" s="20" t="s">
        <v>1238</v>
      </c>
      <c r="C208" s="40" t="s">
        <v>264</v>
      </c>
      <c r="D208" s="40" t="s">
        <v>215</v>
      </c>
      <c r="E208" s="40" t="s">
        <v>273</v>
      </c>
      <c r="F208" s="40"/>
      <c r="G208" s="6">
        <f>G209</f>
        <v>179</v>
      </c>
      <c r="H208" s="6">
        <f>H209</f>
        <v>179</v>
      </c>
    </row>
    <row r="209" spans="1:8" ht="15.75" x14ac:dyDescent="0.25">
      <c r="A209" s="25" t="s">
        <v>274</v>
      </c>
      <c r="B209" s="20" t="s">
        <v>1238</v>
      </c>
      <c r="C209" s="40" t="s">
        <v>264</v>
      </c>
      <c r="D209" s="40" t="s">
        <v>215</v>
      </c>
      <c r="E209" s="40" t="s">
        <v>275</v>
      </c>
      <c r="F209" s="40"/>
      <c r="G209" s="6">
        <f>'пр.4.1.ведом.22-23'!G703</f>
        <v>179</v>
      </c>
      <c r="H209" s="6">
        <f>'пр.4.1.ведом.22-23'!H703</f>
        <v>179</v>
      </c>
    </row>
    <row r="210" spans="1:8" ht="31.5" x14ac:dyDescent="0.25">
      <c r="A210" s="29" t="s">
        <v>403</v>
      </c>
      <c r="B210" s="20" t="s">
        <v>1238</v>
      </c>
      <c r="C210" s="40" t="s">
        <v>264</v>
      </c>
      <c r="D210" s="40" t="s">
        <v>215</v>
      </c>
      <c r="E210" s="40" t="s">
        <v>275</v>
      </c>
      <c r="F210" s="40" t="s">
        <v>636</v>
      </c>
      <c r="G210" s="10">
        <f>G209</f>
        <v>179</v>
      </c>
      <c r="H210" s="10">
        <f>H209</f>
        <v>179</v>
      </c>
    </row>
    <row r="211" spans="1:8" ht="85.7" customHeight="1" x14ac:dyDescent="0.25">
      <c r="A211" s="31" t="s">
        <v>291</v>
      </c>
      <c r="B211" s="20" t="s">
        <v>1239</v>
      </c>
      <c r="C211" s="40" t="s">
        <v>264</v>
      </c>
      <c r="D211" s="40" t="s">
        <v>215</v>
      </c>
      <c r="E211" s="40"/>
      <c r="F211" s="40"/>
      <c r="G211" s="6">
        <f>G212</f>
        <v>549.5</v>
      </c>
      <c r="H211" s="6">
        <f>H212</f>
        <v>549.5</v>
      </c>
    </row>
    <row r="212" spans="1:8" ht="47.25" x14ac:dyDescent="0.25">
      <c r="A212" s="25" t="s">
        <v>272</v>
      </c>
      <c r="B212" s="20" t="s">
        <v>1239</v>
      </c>
      <c r="C212" s="40" t="s">
        <v>264</v>
      </c>
      <c r="D212" s="40" t="s">
        <v>215</v>
      </c>
      <c r="E212" s="40" t="s">
        <v>273</v>
      </c>
      <c r="F212" s="40"/>
      <c r="G212" s="6">
        <f>G213</f>
        <v>549.5</v>
      </c>
      <c r="H212" s="6">
        <f>H213</f>
        <v>549.5</v>
      </c>
    </row>
    <row r="213" spans="1:8" ht="15.75" x14ac:dyDescent="0.25">
      <c r="A213" s="25" t="s">
        <v>274</v>
      </c>
      <c r="B213" s="20" t="s">
        <v>1239</v>
      </c>
      <c r="C213" s="40" t="s">
        <v>264</v>
      </c>
      <c r="D213" s="40" t="s">
        <v>215</v>
      </c>
      <c r="E213" s="40" t="s">
        <v>275</v>
      </c>
      <c r="F213" s="40"/>
      <c r="G213" s="6">
        <f>'пр.4.1.ведом.22-23'!G706</f>
        <v>549.5</v>
      </c>
      <c r="H213" s="6">
        <f>'пр.4.1.ведом.22-23'!H706</f>
        <v>549.5</v>
      </c>
    </row>
    <row r="214" spans="1:8" ht="31.5" x14ac:dyDescent="0.25">
      <c r="A214" s="29" t="s">
        <v>403</v>
      </c>
      <c r="B214" s="20" t="s">
        <v>1239</v>
      </c>
      <c r="C214" s="40" t="s">
        <v>264</v>
      </c>
      <c r="D214" s="40" t="s">
        <v>215</v>
      </c>
      <c r="E214" s="40" t="s">
        <v>275</v>
      </c>
      <c r="F214" s="40" t="s">
        <v>636</v>
      </c>
      <c r="G214" s="10">
        <f>G213</f>
        <v>549.5</v>
      </c>
      <c r="H214" s="10">
        <f>H213</f>
        <v>549.5</v>
      </c>
    </row>
    <row r="215" spans="1:8" ht="31.5" x14ac:dyDescent="0.25">
      <c r="A215" s="23" t="s">
        <v>1297</v>
      </c>
      <c r="B215" s="24" t="s">
        <v>1242</v>
      </c>
      <c r="C215" s="7"/>
      <c r="D215" s="7"/>
      <c r="E215" s="7"/>
      <c r="F215" s="7"/>
      <c r="G215" s="59">
        <f>G216+G230</f>
        <v>4654</v>
      </c>
      <c r="H215" s="59">
        <f>H216+H230</f>
        <v>4654</v>
      </c>
    </row>
    <row r="216" spans="1:8" ht="15.75" x14ac:dyDescent="0.25">
      <c r="A216" s="29" t="s">
        <v>263</v>
      </c>
      <c r="B216" s="20" t="s">
        <v>1242</v>
      </c>
      <c r="C216" s="40" t="s">
        <v>264</v>
      </c>
      <c r="D216" s="40"/>
      <c r="E216" s="40"/>
      <c r="F216" s="40"/>
      <c r="G216" s="10">
        <f t="shared" ref="G216:H216" si="22">G217</f>
        <v>4430</v>
      </c>
      <c r="H216" s="10">
        <f t="shared" si="22"/>
        <v>4430</v>
      </c>
    </row>
    <row r="217" spans="1:8" ht="15.75" x14ac:dyDescent="0.25">
      <c r="A217" s="45" t="s">
        <v>404</v>
      </c>
      <c r="B217" s="20" t="s">
        <v>1242</v>
      </c>
      <c r="C217" s="40" t="s">
        <v>264</v>
      </c>
      <c r="D217" s="40" t="s">
        <v>118</v>
      </c>
      <c r="E217" s="40"/>
      <c r="F217" s="40"/>
      <c r="G217" s="10">
        <f>G218+G222+G226</f>
        <v>4430</v>
      </c>
      <c r="H217" s="10">
        <f>H218+H222+H226</f>
        <v>4430</v>
      </c>
    </row>
    <row r="218" spans="1:8" ht="47.25" hidden="1" x14ac:dyDescent="0.25">
      <c r="A218" s="29" t="s">
        <v>278</v>
      </c>
      <c r="B218" s="20" t="s">
        <v>1325</v>
      </c>
      <c r="C218" s="40" t="s">
        <v>264</v>
      </c>
      <c r="D218" s="40" t="s">
        <v>118</v>
      </c>
      <c r="E218" s="40"/>
      <c r="F218" s="40"/>
      <c r="G218" s="10">
        <f t="shared" ref="G218:H219" si="23">G219</f>
        <v>0</v>
      </c>
      <c r="H218" s="10">
        <f t="shared" si="23"/>
        <v>0</v>
      </c>
    </row>
    <row r="219" spans="1:8" ht="47.25" hidden="1" x14ac:dyDescent="0.25">
      <c r="A219" s="29" t="s">
        <v>272</v>
      </c>
      <c r="B219" s="20" t="s">
        <v>1325</v>
      </c>
      <c r="C219" s="40" t="s">
        <v>264</v>
      </c>
      <c r="D219" s="40" t="s">
        <v>118</v>
      </c>
      <c r="E219" s="40" t="s">
        <v>273</v>
      </c>
      <c r="F219" s="40"/>
      <c r="G219" s="10">
        <f t="shared" si="23"/>
        <v>0</v>
      </c>
      <c r="H219" s="10">
        <f t="shared" si="23"/>
        <v>0</v>
      </c>
    </row>
    <row r="220" spans="1:8" ht="15.75" hidden="1" x14ac:dyDescent="0.25">
      <c r="A220" s="29" t="s">
        <v>274</v>
      </c>
      <c r="B220" s="20" t="s">
        <v>1325</v>
      </c>
      <c r="C220" s="40" t="s">
        <v>264</v>
      </c>
      <c r="D220" s="40" t="s">
        <v>118</v>
      </c>
      <c r="E220" s="40" t="s">
        <v>275</v>
      </c>
      <c r="F220" s="40"/>
      <c r="G220" s="10">
        <f>'пр.4.1.ведом.22-23'!G571</f>
        <v>0</v>
      </c>
      <c r="H220" s="10">
        <f>'пр.4.1.ведом.22-23'!H571</f>
        <v>0</v>
      </c>
    </row>
    <row r="221" spans="1:8" ht="31.5" hidden="1" x14ac:dyDescent="0.25">
      <c r="A221" s="29" t="s">
        <v>403</v>
      </c>
      <c r="B221" s="20" t="s">
        <v>1325</v>
      </c>
      <c r="C221" s="40" t="s">
        <v>264</v>
      </c>
      <c r="D221" s="40" t="s">
        <v>118</v>
      </c>
      <c r="E221" s="40" t="s">
        <v>275</v>
      </c>
      <c r="F221" s="40" t="s">
        <v>636</v>
      </c>
      <c r="G221" s="10">
        <f>G220</f>
        <v>0</v>
      </c>
      <c r="H221" s="10">
        <f>H220</f>
        <v>0</v>
      </c>
    </row>
    <row r="222" spans="1:8" ht="31.5" hidden="1" x14ac:dyDescent="0.25">
      <c r="A222" s="29" t="s">
        <v>280</v>
      </c>
      <c r="B222" s="20" t="s">
        <v>1326</v>
      </c>
      <c r="C222" s="40" t="s">
        <v>264</v>
      </c>
      <c r="D222" s="40" t="s">
        <v>118</v>
      </c>
      <c r="E222" s="40"/>
      <c r="F222" s="40"/>
      <c r="G222" s="10">
        <f t="shared" ref="G222:H223" si="24">G223</f>
        <v>0</v>
      </c>
      <c r="H222" s="10">
        <f t="shared" si="24"/>
        <v>0</v>
      </c>
    </row>
    <row r="223" spans="1:8" ht="47.25" hidden="1" x14ac:dyDescent="0.25">
      <c r="A223" s="29" t="s">
        <v>272</v>
      </c>
      <c r="B223" s="20" t="s">
        <v>1326</v>
      </c>
      <c r="C223" s="40" t="s">
        <v>264</v>
      </c>
      <c r="D223" s="40" t="s">
        <v>118</v>
      </c>
      <c r="E223" s="40" t="s">
        <v>273</v>
      </c>
      <c r="F223" s="40"/>
      <c r="G223" s="10">
        <f t="shared" si="24"/>
        <v>0</v>
      </c>
      <c r="H223" s="10">
        <f t="shared" si="24"/>
        <v>0</v>
      </c>
    </row>
    <row r="224" spans="1:8" ht="15.75" hidden="1" x14ac:dyDescent="0.25">
      <c r="A224" s="29" t="s">
        <v>274</v>
      </c>
      <c r="B224" s="20" t="s">
        <v>1326</v>
      </c>
      <c r="C224" s="40" t="s">
        <v>264</v>
      </c>
      <c r="D224" s="40" t="s">
        <v>118</v>
      </c>
      <c r="E224" s="40" t="s">
        <v>275</v>
      </c>
      <c r="F224" s="40"/>
      <c r="G224" s="10">
        <f>'пр.4.1.ведом.22-23'!G574</f>
        <v>0</v>
      </c>
      <c r="H224" s="10">
        <f>'пр.4.1.ведом.22-23'!H574</f>
        <v>0</v>
      </c>
    </row>
    <row r="225" spans="1:8" ht="31.5" hidden="1" x14ac:dyDescent="0.25">
      <c r="A225" s="29" t="s">
        <v>403</v>
      </c>
      <c r="B225" s="20" t="s">
        <v>1326</v>
      </c>
      <c r="C225" s="40" t="s">
        <v>264</v>
      </c>
      <c r="D225" s="40" t="s">
        <v>118</v>
      </c>
      <c r="E225" s="40" t="s">
        <v>275</v>
      </c>
      <c r="F225" s="40" t="s">
        <v>636</v>
      </c>
      <c r="G225" s="10">
        <f>G224</f>
        <v>0</v>
      </c>
      <c r="H225" s="10">
        <f>H224</f>
        <v>0</v>
      </c>
    </row>
    <row r="226" spans="1:8" ht="47.25" x14ac:dyDescent="0.25">
      <c r="A226" s="29" t="s">
        <v>415</v>
      </c>
      <c r="B226" s="20" t="s">
        <v>1243</v>
      </c>
      <c r="C226" s="40" t="s">
        <v>264</v>
      </c>
      <c r="D226" s="40" t="s">
        <v>118</v>
      </c>
      <c r="E226" s="40"/>
      <c r="F226" s="40"/>
      <c r="G226" s="10">
        <f t="shared" ref="G226:H227" si="25">G227</f>
        <v>4430</v>
      </c>
      <c r="H226" s="10">
        <f t="shared" si="25"/>
        <v>4430</v>
      </c>
    </row>
    <row r="227" spans="1:8" ht="47.25" x14ac:dyDescent="0.25">
      <c r="A227" s="29" t="s">
        <v>272</v>
      </c>
      <c r="B227" s="20" t="s">
        <v>1243</v>
      </c>
      <c r="C227" s="40" t="s">
        <v>264</v>
      </c>
      <c r="D227" s="40" t="s">
        <v>118</v>
      </c>
      <c r="E227" s="40" t="s">
        <v>273</v>
      </c>
      <c r="F227" s="40"/>
      <c r="G227" s="10">
        <f t="shared" si="25"/>
        <v>4430</v>
      </c>
      <c r="H227" s="10">
        <f t="shared" si="25"/>
        <v>4430</v>
      </c>
    </row>
    <row r="228" spans="1:8" ht="15.75" x14ac:dyDescent="0.25">
      <c r="A228" s="29" t="s">
        <v>274</v>
      </c>
      <c r="B228" s="20" t="s">
        <v>1243</v>
      </c>
      <c r="C228" s="40" t="s">
        <v>264</v>
      </c>
      <c r="D228" s="40" t="s">
        <v>118</v>
      </c>
      <c r="E228" s="40" t="s">
        <v>275</v>
      </c>
      <c r="F228" s="40"/>
      <c r="G228" s="6">
        <f>'пр.4.1.ведом.22-23'!G577</f>
        <v>4430</v>
      </c>
      <c r="H228" s="6">
        <f>'пр.4.1.ведом.22-23'!H577</f>
        <v>4430</v>
      </c>
    </row>
    <row r="229" spans="1:8" ht="31.5" x14ac:dyDescent="0.25">
      <c r="A229" s="29" t="s">
        <v>403</v>
      </c>
      <c r="B229" s="20" t="s">
        <v>1243</v>
      </c>
      <c r="C229" s="40" t="s">
        <v>264</v>
      </c>
      <c r="D229" s="40" t="s">
        <v>118</v>
      </c>
      <c r="E229" s="40" t="s">
        <v>275</v>
      </c>
      <c r="F229" s="40" t="s">
        <v>636</v>
      </c>
      <c r="G229" s="10">
        <f>G228</f>
        <v>4430</v>
      </c>
      <c r="H229" s="10">
        <f>H228</f>
        <v>4430</v>
      </c>
    </row>
    <row r="230" spans="1:8" s="203" customFormat="1" ht="15.75" x14ac:dyDescent="0.25">
      <c r="A230" s="29" t="s">
        <v>263</v>
      </c>
      <c r="B230" s="40" t="s">
        <v>1242</v>
      </c>
      <c r="C230" s="40" t="s">
        <v>264</v>
      </c>
      <c r="D230" s="40"/>
      <c r="E230" s="40"/>
      <c r="F230" s="40"/>
      <c r="G230" s="10">
        <f t="shared" ref="G230:H230" si="26">G231</f>
        <v>224</v>
      </c>
      <c r="H230" s="10">
        <f t="shared" si="26"/>
        <v>224</v>
      </c>
    </row>
    <row r="231" spans="1:8" s="203" customFormat="1" ht="15.75" x14ac:dyDescent="0.25">
      <c r="A231" s="29" t="s">
        <v>425</v>
      </c>
      <c r="B231" s="40" t="s">
        <v>1242</v>
      </c>
      <c r="C231" s="40" t="s">
        <v>264</v>
      </c>
      <c r="D231" s="40" t="s">
        <v>213</v>
      </c>
      <c r="E231" s="40"/>
      <c r="F231" s="40"/>
      <c r="G231" s="10">
        <f>G232+G236+G240+G244</f>
        <v>224</v>
      </c>
      <c r="H231" s="10">
        <f>H232+H236+H240+H244</f>
        <v>224</v>
      </c>
    </row>
    <row r="232" spans="1:8" s="203" customFormat="1" ht="47.25" hidden="1" x14ac:dyDescent="0.25">
      <c r="A232" s="25" t="s">
        <v>789</v>
      </c>
      <c r="B232" s="20" t="s">
        <v>1324</v>
      </c>
      <c r="C232" s="40" t="s">
        <v>264</v>
      </c>
      <c r="D232" s="40" t="s">
        <v>213</v>
      </c>
      <c r="E232" s="40"/>
      <c r="F232" s="40"/>
      <c r="G232" s="6">
        <f>G233</f>
        <v>0</v>
      </c>
      <c r="H232" s="6">
        <f>H233</f>
        <v>0</v>
      </c>
    </row>
    <row r="233" spans="1:8" s="203" customFormat="1" ht="47.25" hidden="1" x14ac:dyDescent="0.25">
      <c r="A233" s="25" t="s">
        <v>272</v>
      </c>
      <c r="B233" s="20" t="s">
        <v>1324</v>
      </c>
      <c r="C233" s="40" t="s">
        <v>264</v>
      </c>
      <c r="D233" s="40" t="s">
        <v>213</v>
      </c>
      <c r="E233" s="40" t="s">
        <v>273</v>
      </c>
      <c r="F233" s="40"/>
      <c r="G233" s="6">
        <f>G234</f>
        <v>0</v>
      </c>
      <c r="H233" s="6">
        <f>H234</f>
        <v>0</v>
      </c>
    </row>
    <row r="234" spans="1:8" s="203" customFormat="1" ht="15.75" hidden="1" x14ac:dyDescent="0.25">
      <c r="A234" s="25" t="s">
        <v>274</v>
      </c>
      <c r="B234" s="20" t="s">
        <v>1324</v>
      </c>
      <c r="C234" s="40" t="s">
        <v>264</v>
      </c>
      <c r="D234" s="40" t="s">
        <v>213</v>
      </c>
      <c r="E234" s="40" t="s">
        <v>275</v>
      </c>
      <c r="F234" s="40"/>
      <c r="G234" s="6">
        <f>'пр.4.1.ведом.22-23'!G637</f>
        <v>0</v>
      </c>
      <c r="H234" s="6">
        <f>'пр.4.1.ведом.22-23'!H637</f>
        <v>0</v>
      </c>
    </row>
    <row r="235" spans="1:8" s="203" customFormat="1" ht="31.5" hidden="1" x14ac:dyDescent="0.25">
      <c r="A235" s="29" t="s">
        <v>403</v>
      </c>
      <c r="B235" s="20" t="s">
        <v>1324</v>
      </c>
      <c r="C235" s="40" t="s">
        <v>264</v>
      </c>
      <c r="D235" s="40" t="s">
        <v>213</v>
      </c>
      <c r="E235" s="40" t="s">
        <v>275</v>
      </c>
      <c r="F235" s="40" t="s">
        <v>636</v>
      </c>
      <c r="G235" s="10">
        <f>G234</f>
        <v>0</v>
      </c>
      <c r="H235" s="10">
        <f>H234</f>
        <v>0</v>
      </c>
    </row>
    <row r="236" spans="1:8" s="203" customFormat="1" ht="47.25" hidden="1" x14ac:dyDescent="0.25">
      <c r="A236" s="25" t="s">
        <v>278</v>
      </c>
      <c r="B236" s="20" t="s">
        <v>1325</v>
      </c>
      <c r="C236" s="40" t="s">
        <v>264</v>
      </c>
      <c r="D236" s="40" t="s">
        <v>213</v>
      </c>
      <c r="E236" s="40"/>
      <c r="F236" s="40"/>
      <c r="G236" s="6">
        <f t="shared" ref="G236:H237" si="27">G237</f>
        <v>0</v>
      </c>
      <c r="H236" s="6">
        <f t="shared" si="27"/>
        <v>0</v>
      </c>
    </row>
    <row r="237" spans="1:8" s="203" customFormat="1" ht="47.25" hidden="1" x14ac:dyDescent="0.25">
      <c r="A237" s="25" t="s">
        <v>272</v>
      </c>
      <c r="B237" s="20" t="s">
        <v>1325</v>
      </c>
      <c r="C237" s="40" t="s">
        <v>264</v>
      </c>
      <c r="D237" s="40" t="s">
        <v>213</v>
      </c>
      <c r="E237" s="40" t="s">
        <v>273</v>
      </c>
      <c r="F237" s="40"/>
      <c r="G237" s="6">
        <f t="shared" si="27"/>
        <v>0</v>
      </c>
      <c r="H237" s="6">
        <f t="shared" si="27"/>
        <v>0</v>
      </c>
    </row>
    <row r="238" spans="1:8" s="203" customFormat="1" ht="15.75" hidden="1" x14ac:dyDescent="0.25">
      <c r="A238" s="25" t="s">
        <v>274</v>
      </c>
      <c r="B238" s="20" t="s">
        <v>1325</v>
      </c>
      <c r="C238" s="40" t="s">
        <v>264</v>
      </c>
      <c r="D238" s="40" t="s">
        <v>213</v>
      </c>
      <c r="E238" s="40" t="s">
        <v>275</v>
      </c>
      <c r="F238" s="40"/>
      <c r="G238" s="6">
        <f>'пр.4.1.ведом.22-23'!G640</f>
        <v>0</v>
      </c>
      <c r="H238" s="6">
        <f>'пр.4.1.ведом.22-23'!H640</f>
        <v>0</v>
      </c>
    </row>
    <row r="239" spans="1:8" s="203" customFormat="1" ht="31.5" hidden="1" x14ac:dyDescent="0.25">
      <c r="A239" s="29" t="s">
        <v>403</v>
      </c>
      <c r="B239" s="20" t="s">
        <v>1325</v>
      </c>
      <c r="C239" s="40" t="s">
        <v>264</v>
      </c>
      <c r="D239" s="40" t="s">
        <v>213</v>
      </c>
      <c r="E239" s="40" t="s">
        <v>275</v>
      </c>
      <c r="F239" s="40" t="s">
        <v>636</v>
      </c>
      <c r="G239" s="10">
        <f>G238</f>
        <v>0</v>
      </c>
      <c r="H239" s="10">
        <f>H238</f>
        <v>0</v>
      </c>
    </row>
    <row r="240" spans="1:8" s="203" customFormat="1" ht="31.5" hidden="1" x14ac:dyDescent="0.25">
      <c r="A240" s="25" t="s">
        <v>280</v>
      </c>
      <c r="B240" s="20" t="s">
        <v>1326</v>
      </c>
      <c r="C240" s="40" t="s">
        <v>264</v>
      </c>
      <c r="D240" s="40" t="s">
        <v>213</v>
      </c>
      <c r="E240" s="40"/>
      <c r="F240" s="40"/>
      <c r="G240" s="6">
        <f t="shared" ref="G240:H241" si="28">G241</f>
        <v>0</v>
      </c>
      <c r="H240" s="6">
        <f t="shared" si="28"/>
        <v>0</v>
      </c>
    </row>
    <row r="241" spans="1:8" s="203" customFormat="1" ht="47.25" hidden="1" x14ac:dyDescent="0.25">
      <c r="A241" s="25" t="s">
        <v>272</v>
      </c>
      <c r="B241" s="20" t="s">
        <v>1326</v>
      </c>
      <c r="C241" s="40" t="s">
        <v>264</v>
      </c>
      <c r="D241" s="40" t="s">
        <v>213</v>
      </c>
      <c r="E241" s="40" t="s">
        <v>273</v>
      </c>
      <c r="F241" s="40"/>
      <c r="G241" s="6">
        <f t="shared" si="28"/>
        <v>0</v>
      </c>
      <c r="H241" s="6">
        <f t="shared" si="28"/>
        <v>0</v>
      </c>
    </row>
    <row r="242" spans="1:8" s="203" customFormat="1" ht="15.75" hidden="1" x14ac:dyDescent="0.25">
      <c r="A242" s="25" t="s">
        <v>274</v>
      </c>
      <c r="B242" s="20" t="s">
        <v>1326</v>
      </c>
      <c r="C242" s="40" t="s">
        <v>264</v>
      </c>
      <c r="D242" s="40" t="s">
        <v>213</v>
      </c>
      <c r="E242" s="40" t="s">
        <v>275</v>
      </c>
      <c r="F242" s="40"/>
      <c r="G242" s="6">
        <f>'пр.4.1.ведом.22-23'!G643</f>
        <v>0</v>
      </c>
      <c r="H242" s="6">
        <f>'пр.4.1.ведом.22-23'!H643</f>
        <v>0</v>
      </c>
    </row>
    <row r="243" spans="1:8" s="203" customFormat="1" ht="31.5" hidden="1" x14ac:dyDescent="0.25">
      <c r="A243" s="29" t="s">
        <v>403</v>
      </c>
      <c r="B243" s="20" t="s">
        <v>1326</v>
      </c>
      <c r="C243" s="40" t="s">
        <v>264</v>
      </c>
      <c r="D243" s="40" t="s">
        <v>213</v>
      </c>
      <c r="E243" s="40" t="s">
        <v>275</v>
      </c>
      <c r="F243" s="40" t="s">
        <v>636</v>
      </c>
      <c r="G243" s="10">
        <f>G242</f>
        <v>0</v>
      </c>
      <c r="H243" s="10">
        <f>H242</f>
        <v>0</v>
      </c>
    </row>
    <row r="244" spans="1:8" s="203" customFormat="1" ht="47.25" x14ac:dyDescent="0.25">
      <c r="A244" s="29" t="s">
        <v>282</v>
      </c>
      <c r="B244" s="20" t="s">
        <v>1258</v>
      </c>
      <c r="C244" s="40" t="s">
        <v>264</v>
      </c>
      <c r="D244" s="40" t="s">
        <v>213</v>
      </c>
      <c r="E244" s="40"/>
      <c r="F244" s="40"/>
      <c r="G244" s="10">
        <f t="shared" ref="G244:H245" si="29">G245</f>
        <v>224</v>
      </c>
      <c r="H244" s="10">
        <f t="shared" si="29"/>
        <v>224</v>
      </c>
    </row>
    <row r="245" spans="1:8" s="203" customFormat="1" ht="47.25" x14ac:dyDescent="0.25">
      <c r="A245" s="29" t="s">
        <v>272</v>
      </c>
      <c r="B245" s="20" t="s">
        <v>1258</v>
      </c>
      <c r="C245" s="40" t="s">
        <v>264</v>
      </c>
      <c r="D245" s="40" t="s">
        <v>213</v>
      </c>
      <c r="E245" s="40" t="s">
        <v>273</v>
      </c>
      <c r="F245" s="40"/>
      <c r="G245" s="10">
        <f t="shared" si="29"/>
        <v>224</v>
      </c>
      <c r="H245" s="10">
        <f t="shared" si="29"/>
        <v>224</v>
      </c>
    </row>
    <row r="246" spans="1:8" s="203" customFormat="1" ht="15.75" x14ac:dyDescent="0.25">
      <c r="A246" s="29" t="s">
        <v>274</v>
      </c>
      <c r="B246" s="20" t="s">
        <v>1258</v>
      </c>
      <c r="C246" s="40" t="s">
        <v>264</v>
      </c>
      <c r="D246" s="40" t="s">
        <v>213</v>
      </c>
      <c r="E246" s="40" t="s">
        <v>275</v>
      </c>
      <c r="F246" s="40"/>
      <c r="G246" s="10">
        <f>'пр.4.1.ведом.22-23'!G646</f>
        <v>224</v>
      </c>
      <c r="H246" s="10">
        <f>'пр.4.1.ведом.22-23'!H646</f>
        <v>224</v>
      </c>
    </row>
    <row r="247" spans="1:8" s="203" customFormat="1" ht="31.5" x14ac:dyDescent="0.25">
      <c r="A247" s="29" t="s">
        <v>403</v>
      </c>
      <c r="B247" s="20" t="s">
        <v>1258</v>
      </c>
      <c r="C247" s="40" t="s">
        <v>264</v>
      </c>
      <c r="D247" s="40" t="s">
        <v>213</v>
      </c>
      <c r="E247" s="40" t="s">
        <v>275</v>
      </c>
      <c r="F247" s="40" t="s">
        <v>636</v>
      </c>
      <c r="G247" s="10">
        <f>G246</f>
        <v>224</v>
      </c>
      <c r="H247" s="10">
        <f>H246</f>
        <v>224</v>
      </c>
    </row>
    <row r="248" spans="1:8" s="203" customFormat="1" ht="31.5" x14ac:dyDescent="0.25">
      <c r="A248" s="23" t="s">
        <v>943</v>
      </c>
      <c r="B248" s="24" t="s">
        <v>1244</v>
      </c>
      <c r="C248" s="7"/>
      <c r="D248" s="7"/>
      <c r="E248" s="7"/>
      <c r="F248" s="7"/>
      <c r="G248" s="59">
        <f>G249</f>
        <v>5745.1</v>
      </c>
      <c r="H248" s="59">
        <f>H249</f>
        <v>5745.1</v>
      </c>
    </row>
    <row r="249" spans="1:8" s="203" customFormat="1" ht="15.75" x14ac:dyDescent="0.25">
      <c r="A249" s="29" t="s">
        <v>263</v>
      </c>
      <c r="B249" s="20" t="s">
        <v>1244</v>
      </c>
      <c r="C249" s="40" t="s">
        <v>264</v>
      </c>
      <c r="D249" s="40"/>
      <c r="E249" s="40"/>
      <c r="F249" s="40"/>
      <c r="G249" s="10">
        <f t="shared" ref="G249:H252" si="30">G250</f>
        <v>5745.1</v>
      </c>
      <c r="H249" s="10">
        <f t="shared" si="30"/>
        <v>5745.1</v>
      </c>
    </row>
    <row r="250" spans="1:8" s="203" customFormat="1" ht="22.7" customHeight="1" x14ac:dyDescent="0.25">
      <c r="A250" s="29" t="s">
        <v>466</v>
      </c>
      <c r="B250" s="20" t="s">
        <v>1244</v>
      </c>
      <c r="C250" s="40" t="s">
        <v>264</v>
      </c>
      <c r="D250" s="40" t="s">
        <v>264</v>
      </c>
      <c r="E250" s="40"/>
      <c r="F250" s="40"/>
      <c r="G250" s="10">
        <f>G251</f>
        <v>5745.1</v>
      </c>
      <c r="H250" s="10">
        <f>H251</f>
        <v>5745.1</v>
      </c>
    </row>
    <row r="251" spans="1:8" s="203" customFormat="1" ht="47.25" x14ac:dyDescent="0.25">
      <c r="A251" s="31" t="s">
        <v>1062</v>
      </c>
      <c r="B251" s="20" t="s">
        <v>1266</v>
      </c>
      <c r="C251" s="40" t="s">
        <v>264</v>
      </c>
      <c r="D251" s="40" t="s">
        <v>264</v>
      </c>
      <c r="E251" s="40"/>
      <c r="F251" s="40"/>
      <c r="G251" s="10">
        <f t="shared" si="30"/>
        <v>5745.1</v>
      </c>
      <c r="H251" s="10">
        <f t="shared" si="30"/>
        <v>5745.1</v>
      </c>
    </row>
    <row r="252" spans="1:8" s="203" customFormat="1" ht="47.25" x14ac:dyDescent="0.25">
      <c r="A252" s="25" t="s">
        <v>272</v>
      </c>
      <c r="B252" s="20" t="s">
        <v>1266</v>
      </c>
      <c r="C252" s="40" t="s">
        <v>264</v>
      </c>
      <c r="D252" s="40" t="s">
        <v>264</v>
      </c>
      <c r="E252" s="40" t="s">
        <v>273</v>
      </c>
      <c r="F252" s="40"/>
      <c r="G252" s="10">
        <f t="shared" si="30"/>
        <v>5745.1</v>
      </c>
      <c r="H252" s="10">
        <f t="shared" si="30"/>
        <v>5745.1</v>
      </c>
    </row>
    <row r="253" spans="1:8" s="203" customFormat="1" ht="15.75" x14ac:dyDescent="0.25">
      <c r="A253" s="25" t="s">
        <v>274</v>
      </c>
      <c r="B253" s="20" t="s">
        <v>1266</v>
      </c>
      <c r="C253" s="40" t="s">
        <v>264</v>
      </c>
      <c r="D253" s="40" t="s">
        <v>264</v>
      </c>
      <c r="E253" s="40" t="s">
        <v>275</v>
      </c>
      <c r="F253" s="40"/>
      <c r="G253" s="10">
        <f>'пр.4.1.ведом.22-23'!G725</f>
        <v>5745.1</v>
      </c>
      <c r="H253" s="10">
        <f>'пр.4.1.ведом.22-23'!H725</f>
        <v>5745.1</v>
      </c>
    </row>
    <row r="254" spans="1:8" s="203" customFormat="1" ht="31.5" x14ac:dyDescent="0.25">
      <c r="A254" s="29" t="s">
        <v>403</v>
      </c>
      <c r="B254" s="20" t="s">
        <v>1266</v>
      </c>
      <c r="C254" s="40" t="s">
        <v>264</v>
      </c>
      <c r="D254" s="40" t="s">
        <v>264</v>
      </c>
      <c r="E254" s="40" t="s">
        <v>275</v>
      </c>
      <c r="F254" s="40" t="s">
        <v>636</v>
      </c>
      <c r="G254" s="10">
        <f>G253</f>
        <v>5745.1</v>
      </c>
      <c r="H254" s="10">
        <f>H253</f>
        <v>5745.1</v>
      </c>
    </row>
    <row r="255" spans="1:8" ht="47.25" x14ac:dyDescent="0.25">
      <c r="A255" s="218" t="s">
        <v>948</v>
      </c>
      <c r="B255" s="24" t="s">
        <v>1245</v>
      </c>
      <c r="C255" s="7"/>
      <c r="D255" s="7"/>
      <c r="E255" s="7"/>
      <c r="F255" s="7"/>
      <c r="G255" s="4">
        <f>G256</f>
        <v>9300</v>
      </c>
      <c r="H255" s="4">
        <f>H256</f>
        <v>9300</v>
      </c>
    </row>
    <row r="256" spans="1:8" ht="15.75" x14ac:dyDescent="0.25">
      <c r="A256" s="29" t="s">
        <v>263</v>
      </c>
      <c r="B256" s="20" t="s">
        <v>1245</v>
      </c>
      <c r="C256" s="40" t="s">
        <v>264</v>
      </c>
      <c r="D256" s="40"/>
      <c r="E256" s="40"/>
      <c r="F256" s="40"/>
      <c r="G256" s="10">
        <f>G257+G270+G279</f>
        <v>9300</v>
      </c>
      <c r="H256" s="10">
        <f>H257+H270+H279</f>
        <v>9300</v>
      </c>
    </row>
    <row r="257" spans="1:8" ht="15.75" x14ac:dyDescent="0.25">
      <c r="A257" s="45" t="s">
        <v>404</v>
      </c>
      <c r="B257" s="20" t="s">
        <v>1245</v>
      </c>
      <c r="C257" s="40" t="s">
        <v>264</v>
      </c>
      <c r="D257" s="40" t="s">
        <v>118</v>
      </c>
      <c r="E257" s="40"/>
      <c r="F257" s="40"/>
      <c r="G257" s="10">
        <f>G258+G262+G266</f>
        <v>4848</v>
      </c>
      <c r="H257" s="10">
        <f>H258+H262+H266</f>
        <v>4848</v>
      </c>
    </row>
    <row r="258" spans="1:8" ht="31.5" hidden="1" x14ac:dyDescent="0.25">
      <c r="A258" s="29" t="s">
        <v>284</v>
      </c>
      <c r="B258" s="20" t="s">
        <v>1263</v>
      </c>
      <c r="C258" s="40" t="s">
        <v>264</v>
      </c>
      <c r="D258" s="40" t="s">
        <v>118</v>
      </c>
      <c r="E258" s="40"/>
      <c r="F258" s="40"/>
      <c r="G258" s="10">
        <f t="shared" ref="G258:H259" si="31">G259</f>
        <v>0</v>
      </c>
      <c r="H258" s="10">
        <f t="shared" si="31"/>
        <v>0</v>
      </c>
    </row>
    <row r="259" spans="1:8" ht="47.25" hidden="1" x14ac:dyDescent="0.25">
      <c r="A259" s="29" t="s">
        <v>272</v>
      </c>
      <c r="B259" s="20" t="s">
        <v>1263</v>
      </c>
      <c r="C259" s="40" t="s">
        <v>264</v>
      </c>
      <c r="D259" s="40" t="s">
        <v>118</v>
      </c>
      <c r="E259" s="40" t="s">
        <v>273</v>
      </c>
      <c r="F259" s="40"/>
      <c r="G259" s="10">
        <f t="shared" si="31"/>
        <v>0</v>
      </c>
      <c r="H259" s="10">
        <f t="shared" si="31"/>
        <v>0</v>
      </c>
    </row>
    <row r="260" spans="1:8" ht="15.75" hidden="1" x14ac:dyDescent="0.25">
      <c r="A260" s="29" t="s">
        <v>274</v>
      </c>
      <c r="B260" s="20" t="s">
        <v>1263</v>
      </c>
      <c r="C260" s="40" t="s">
        <v>264</v>
      </c>
      <c r="D260" s="40" t="s">
        <v>118</v>
      </c>
      <c r="E260" s="40" t="s">
        <v>275</v>
      </c>
      <c r="F260" s="40"/>
      <c r="G260" s="10">
        <f>'пр.4.1.ведом.22-23'!G581</f>
        <v>0</v>
      </c>
      <c r="H260" s="10">
        <f>'пр.4.1.ведом.22-23'!H581</f>
        <v>0</v>
      </c>
    </row>
    <row r="261" spans="1:8" ht="31.5" hidden="1" x14ac:dyDescent="0.25">
      <c r="A261" s="29" t="s">
        <v>403</v>
      </c>
      <c r="B261" s="20" t="s">
        <v>1263</v>
      </c>
      <c r="C261" s="40" t="s">
        <v>264</v>
      </c>
      <c r="D261" s="40" t="s">
        <v>118</v>
      </c>
      <c r="E261" s="40" t="s">
        <v>275</v>
      </c>
      <c r="F261" s="40" t="s">
        <v>636</v>
      </c>
      <c r="G261" s="10">
        <f>G260</f>
        <v>0</v>
      </c>
      <c r="H261" s="10">
        <f>H260</f>
        <v>0</v>
      </c>
    </row>
    <row r="262" spans="1:8" ht="47.25" x14ac:dyDescent="0.25">
      <c r="A262" s="60" t="s">
        <v>764</v>
      </c>
      <c r="B262" s="20" t="s">
        <v>1246</v>
      </c>
      <c r="C262" s="20" t="s">
        <v>264</v>
      </c>
      <c r="D262" s="20" t="s">
        <v>118</v>
      </c>
      <c r="E262" s="20"/>
      <c r="F262" s="20"/>
      <c r="G262" s="10">
        <f t="shared" ref="G262:H263" si="32">G263</f>
        <v>3088</v>
      </c>
      <c r="H262" s="10">
        <f t="shared" si="32"/>
        <v>3088</v>
      </c>
    </row>
    <row r="263" spans="1:8" ht="47.25" x14ac:dyDescent="0.25">
      <c r="A263" s="29" t="s">
        <v>272</v>
      </c>
      <c r="B263" s="20" t="s">
        <v>1246</v>
      </c>
      <c r="C263" s="20" t="s">
        <v>264</v>
      </c>
      <c r="D263" s="20" t="s">
        <v>118</v>
      </c>
      <c r="E263" s="20" t="s">
        <v>273</v>
      </c>
      <c r="F263" s="20"/>
      <c r="G263" s="10">
        <f t="shared" si="32"/>
        <v>3088</v>
      </c>
      <c r="H263" s="10">
        <f t="shared" si="32"/>
        <v>3088</v>
      </c>
    </row>
    <row r="264" spans="1:8" ht="15.75" x14ac:dyDescent="0.25">
      <c r="A264" s="182" t="s">
        <v>274</v>
      </c>
      <c r="B264" s="20" t="s">
        <v>1246</v>
      </c>
      <c r="C264" s="20" t="s">
        <v>264</v>
      </c>
      <c r="D264" s="20" t="s">
        <v>118</v>
      </c>
      <c r="E264" s="20" t="s">
        <v>275</v>
      </c>
      <c r="F264" s="20"/>
      <c r="G264" s="10">
        <f>'пр.4.1.ведом.22-23'!G584</f>
        <v>3088</v>
      </c>
      <c r="H264" s="10">
        <f>'пр.4.1.ведом.22-23'!H584</f>
        <v>3088</v>
      </c>
    </row>
    <row r="265" spans="1:8" ht="31.5" x14ac:dyDescent="0.25">
      <c r="A265" s="29" t="s">
        <v>403</v>
      </c>
      <c r="B265" s="20" t="s">
        <v>1246</v>
      </c>
      <c r="C265" s="40" t="s">
        <v>264</v>
      </c>
      <c r="D265" s="40" t="s">
        <v>118</v>
      </c>
      <c r="E265" s="40" t="s">
        <v>275</v>
      </c>
      <c r="F265" s="40" t="s">
        <v>636</v>
      </c>
      <c r="G265" s="10">
        <f>G264</f>
        <v>3088</v>
      </c>
      <c r="H265" s="10">
        <f>H264</f>
        <v>3088</v>
      </c>
    </row>
    <row r="266" spans="1:8" ht="63" x14ac:dyDescent="0.25">
      <c r="A266" s="60" t="s">
        <v>765</v>
      </c>
      <c r="B266" s="20" t="s">
        <v>1247</v>
      </c>
      <c r="C266" s="20" t="s">
        <v>264</v>
      </c>
      <c r="D266" s="20" t="s">
        <v>118</v>
      </c>
      <c r="E266" s="20"/>
      <c r="F266" s="20"/>
      <c r="G266" s="10">
        <f t="shared" ref="G266:H267" si="33">G267</f>
        <v>1760</v>
      </c>
      <c r="H266" s="10">
        <f t="shared" si="33"/>
        <v>1760</v>
      </c>
    </row>
    <row r="267" spans="1:8" ht="47.25" x14ac:dyDescent="0.25">
      <c r="A267" s="29" t="s">
        <v>272</v>
      </c>
      <c r="B267" s="20" t="s">
        <v>1247</v>
      </c>
      <c r="C267" s="20" t="s">
        <v>264</v>
      </c>
      <c r="D267" s="20" t="s">
        <v>118</v>
      </c>
      <c r="E267" s="20" t="s">
        <v>273</v>
      </c>
      <c r="F267" s="20"/>
      <c r="G267" s="10">
        <f t="shared" si="33"/>
        <v>1760</v>
      </c>
      <c r="H267" s="10">
        <f t="shared" si="33"/>
        <v>1760</v>
      </c>
    </row>
    <row r="268" spans="1:8" ht="15.75" x14ac:dyDescent="0.25">
      <c r="A268" s="182" t="s">
        <v>274</v>
      </c>
      <c r="B268" s="20" t="s">
        <v>1247</v>
      </c>
      <c r="C268" s="20" t="s">
        <v>264</v>
      </c>
      <c r="D268" s="20" t="s">
        <v>118</v>
      </c>
      <c r="E268" s="20" t="s">
        <v>275</v>
      </c>
      <c r="F268" s="20"/>
      <c r="G268" s="10">
        <f>'пр.4.1.ведом.22-23'!G587</f>
        <v>1760</v>
      </c>
      <c r="H268" s="10">
        <f>'пр.4.1.ведом.22-23'!H587</f>
        <v>1760</v>
      </c>
    </row>
    <row r="269" spans="1:8" ht="31.5" x14ac:dyDescent="0.25">
      <c r="A269" s="29" t="s">
        <v>403</v>
      </c>
      <c r="B269" s="20" t="s">
        <v>1247</v>
      </c>
      <c r="C269" s="40" t="s">
        <v>264</v>
      </c>
      <c r="D269" s="40" t="s">
        <v>118</v>
      </c>
      <c r="E269" s="40" t="s">
        <v>275</v>
      </c>
      <c r="F269" s="40" t="s">
        <v>636</v>
      </c>
      <c r="G269" s="10">
        <f>G268</f>
        <v>1760</v>
      </c>
      <c r="H269" s="10">
        <f>'пр.4.1.ведом.22-23'!H587</f>
        <v>1760</v>
      </c>
    </row>
    <row r="270" spans="1:8" s="203" customFormat="1" ht="15.75" x14ac:dyDescent="0.25">
      <c r="A270" s="29" t="s">
        <v>425</v>
      </c>
      <c r="B270" s="40" t="s">
        <v>1245</v>
      </c>
      <c r="C270" s="40" t="s">
        <v>264</v>
      </c>
      <c r="D270" s="40" t="s">
        <v>213</v>
      </c>
      <c r="E270" s="40"/>
      <c r="F270" s="40"/>
      <c r="G270" s="10">
        <f>G271+G275</f>
        <v>2888</v>
      </c>
      <c r="H270" s="10">
        <f>H271+H275</f>
        <v>2888</v>
      </c>
    </row>
    <row r="271" spans="1:8" s="203" customFormat="1" ht="31.5" hidden="1" x14ac:dyDescent="0.25">
      <c r="A271" s="29" t="s">
        <v>284</v>
      </c>
      <c r="B271" s="20" t="s">
        <v>1263</v>
      </c>
      <c r="C271" s="40" t="s">
        <v>264</v>
      </c>
      <c r="D271" s="40" t="s">
        <v>213</v>
      </c>
      <c r="E271" s="40"/>
      <c r="F271" s="40"/>
      <c r="G271" s="10">
        <f t="shared" ref="G271:H272" si="34">G272</f>
        <v>0</v>
      </c>
      <c r="H271" s="10">
        <f t="shared" si="34"/>
        <v>0</v>
      </c>
    </row>
    <row r="272" spans="1:8" s="203" customFormat="1" ht="47.25" hidden="1" x14ac:dyDescent="0.25">
      <c r="A272" s="29" t="s">
        <v>272</v>
      </c>
      <c r="B272" s="20" t="s">
        <v>1263</v>
      </c>
      <c r="C272" s="40" t="s">
        <v>264</v>
      </c>
      <c r="D272" s="40" t="s">
        <v>213</v>
      </c>
      <c r="E272" s="40" t="s">
        <v>273</v>
      </c>
      <c r="F272" s="40"/>
      <c r="G272" s="10">
        <f t="shared" si="34"/>
        <v>0</v>
      </c>
      <c r="H272" s="10">
        <f t="shared" si="34"/>
        <v>0</v>
      </c>
    </row>
    <row r="273" spans="1:8" s="203" customFormat="1" ht="15.75" hidden="1" x14ac:dyDescent="0.25">
      <c r="A273" s="29" t="s">
        <v>274</v>
      </c>
      <c r="B273" s="20" t="s">
        <v>1263</v>
      </c>
      <c r="C273" s="40" t="s">
        <v>264</v>
      </c>
      <c r="D273" s="40" t="s">
        <v>213</v>
      </c>
      <c r="E273" s="40" t="s">
        <v>275</v>
      </c>
      <c r="F273" s="40"/>
      <c r="G273" s="10">
        <f>'пр.4.1.ведом.22-23'!G650</f>
        <v>0</v>
      </c>
      <c r="H273" s="10">
        <f>'пр.4.1.ведом.22-23'!H650</f>
        <v>0</v>
      </c>
    </row>
    <row r="274" spans="1:8" s="203" customFormat="1" ht="31.5" hidden="1" x14ac:dyDescent="0.25">
      <c r="A274" s="29" t="s">
        <v>403</v>
      </c>
      <c r="B274" s="20" t="s">
        <v>1263</v>
      </c>
      <c r="C274" s="40" t="s">
        <v>264</v>
      </c>
      <c r="D274" s="40" t="s">
        <v>213</v>
      </c>
      <c r="E274" s="40" t="s">
        <v>275</v>
      </c>
      <c r="F274" s="40" t="s">
        <v>636</v>
      </c>
      <c r="G274" s="10">
        <f>G273</f>
        <v>0</v>
      </c>
      <c r="H274" s="10">
        <f>H273</f>
        <v>0</v>
      </c>
    </row>
    <row r="275" spans="1:8" s="203" customFormat="1" ht="47.25" x14ac:dyDescent="0.25">
      <c r="A275" s="60" t="s">
        <v>764</v>
      </c>
      <c r="B275" s="20" t="s">
        <v>1246</v>
      </c>
      <c r="C275" s="40" t="s">
        <v>264</v>
      </c>
      <c r="D275" s="40" t="s">
        <v>213</v>
      </c>
      <c r="E275" s="40"/>
      <c r="F275" s="40"/>
      <c r="G275" s="10">
        <f t="shared" ref="G275:H276" si="35">G276</f>
        <v>2888</v>
      </c>
      <c r="H275" s="10">
        <f t="shared" si="35"/>
        <v>2888</v>
      </c>
    </row>
    <row r="276" spans="1:8" s="203" customFormat="1" ht="47.25" x14ac:dyDescent="0.25">
      <c r="A276" s="29" t="s">
        <v>272</v>
      </c>
      <c r="B276" s="20" t="s">
        <v>1246</v>
      </c>
      <c r="C276" s="40" t="s">
        <v>264</v>
      </c>
      <c r="D276" s="40" t="s">
        <v>213</v>
      </c>
      <c r="E276" s="40" t="s">
        <v>273</v>
      </c>
      <c r="F276" s="40"/>
      <c r="G276" s="10">
        <f t="shared" si="35"/>
        <v>2888</v>
      </c>
      <c r="H276" s="10">
        <f t="shared" si="35"/>
        <v>2888</v>
      </c>
    </row>
    <row r="277" spans="1:8" s="203" customFormat="1" ht="15.75" x14ac:dyDescent="0.25">
      <c r="A277" s="182" t="s">
        <v>274</v>
      </c>
      <c r="B277" s="20" t="s">
        <v>1246</v>
      </c>
      <c r="C277" s="40" t="s">
        <v>264</v>
      </c>
      <c r="D277" s="40" t="s">
        <v>213</v>
      </c>
      <c r="E277" s="40" t="s">
        <v>275</v>
      </c>
      <c r="F277" s="40"/>
      <c r="G277" s="10">
        <f>'пр.4.1.ведом.22-23'!G653</f>
        <v>2888</v>
      </c>
      <c r="H277" s="10">
        <f>'пр.4.1.ведом.22-23'!H653</f>
        <v>2888</v>
      </c>
    </row>
    <row r="278" spans="1:8" s="203" customFormat="1" ht="31.5" x14ac:dyDescent="0.25">
      <c r="A278" s="29" t="s">
        <v>403</v>
      </c>
      <c r="B278" s="20" t="s">
        <v>1246</v>
      </c>
      <c r="C278" s="40" t="s">
        <v>264</v>
      </c>
      <c r="D278" s="40" t="s">
        <v>213</v>
      </c>
      <c r="E278" s="40" t="s">
        <v>275</v>
      </c>
      <c r="F278" s="40" t="s">
        <v>636</v>
      </c>
      <c r="G278" s="10">
        <f>G277</f>
        <v>2888</v>
      </c>
      <c r="H278" s="10">
        <f>H277</f>
        <v>2888</v>
      </c>
    </row>
    <row r="279" spans="1:8" s="203" customFormat="1" ht="15.75" x14ac:dyDescent="0.25">
      <c r="A279" s="29" t="s">
        <v>265</v>
      </c>
      <c r="B279" s="40" t="s">
        <v>1245</v>
      </c>
      <c r="C279" s="40" t="s">
        <v>264</v>
      </c>
      <c r="D279" s="40" t="s">
        <v>215</v>
      </c>
      <c r="E279" s="40"/>
      <c r="F279" s="40"/>
      <c r="G279" s="10">
        <f>G280</f>
        <v>1564</v>
      </c>
      <c r="H279" s="10">
        <f>H280</f>
        <v>1564</v>
      </c>
    </row>
    <row r="280" spans="1:8" s="203" customFormat="1" ht="47.25" x14ac:dyDescent="0.25">
      <c r="A280" s="45" t="s">
        <v>764</v>
      </c>
      <c r="B280" s="20" t="s">
        <v>1246</v>
      </c>
      <c r="C280" s="20" t="s">
        <v>264</v>
      </c>
      <c r="D280" s="20" t="s">
        <v>215</v>
      </c>
      <c r="E280" s="20"/>
      <c r="F280" s="20"/>
      <c r="G280" s="10">
        <f t="shared" ref="G280:H281" si="36">G281</f>
        <v>1564</v>
      </c>
      <c r="H280" s="10">
        <f t="shared" si="36"/>
        <v>1564</v>
      </c>
    </row>
    <row r="281" spans="1:8" s="203" customFormat="1" ht="47.25" x14ac:dyDescent="0.25">
      <c r="A281" s="29" t="s">
        <v>272</v>
      </c>
      <c r="B281" s="20" t="s">
        <v>1246</v>
      </c>
      <c r="C281" s="20" t="s">
        <v>264</v>
      </c>
      <c r="D281" s="20" t="s">
        <v>215</v>
      </c>
      <c r="E281" s="20" t="s">
        <v>273</v>
      </c>
      <c r="F281" s="20"/>
      <c r="G281" s="10">
        <f t="shared" si="36"/>
        <v>1564</v>
      </c>
      <c r="H281" s="10">
        <f t="shared" si="36"/>
        <v>1564</v>
      </c>
    </row>
    <row r="282" spans="1:8" s="203" customFormat="1" ht="15.75" x14ac:dyDescent="0.25">
      <c r="A282" s="31" t="s">
        <v>274</v>
      </c>
      <c r="B282" s="20" t="s">
        <v>1246</v>
      </c>
      <c r="C282" s="20" t="s">
        <v>264</v>
      </c>
      <c r="D282" s="20" t="s">
        <v>215</v>
      </c>
      <c r="E282" s="20" t="s">
        <v>275</v>
      </c>
      <c r="F282" s="20"/>
      <c r="G282" s="10">
        <f>'пр.4.1.ведом.22-23'!G714</f>
        <v>1564</v>
      </c>
      <c r="H282" s="10">
        <f>'пр.4.1.ведом.22-23'!H714</f>
        <v>1564</v>
      </c>
    </row>
    <row r="283" spans="1:8" s="203" customFormat="1" ht="31.5" x14ac:dyDescent="0.25">
      <c r="A283" s="29" t="s">
        <v>403</v>
      </c>
      <c r="B283" s="20" t="s">
        <v>1246</v>
      </c>
      <c r="C283" s="40" t="s">
        <v>264</v>
      </c>
      <c r="D283" s="40" t="s">
        <v>215</v>
      </c>
      <c r="E283" s="40" t="s">
        <v>275</v>
      </c>
      <c r="F283" s="40" t="s">
        <v>636</v>
      </c>
      <c r="G283" s="10">
        <f>G282</f>
        <v>1564</v>
      </c>
      <c r="H283" s="10">
        <f>H282</f>
        <v>1564</v>
      </c>
    </row>
    <row r="284" spans="1:8" ht="78.75" x14ac:dyDescent="0.25">
      <c r="A284" s="23" t="s">
        <v>933</v>
      </c>
      <c r="B284" s="24" t="s">
        <v>1248</v>
      </c>
      <c r="C284" s="24"/>
      <c r="D284" s="24"/>
      <c r="E284" s="24"/>
      <c r="F284" s="24"/>
      <c r="G284" s="59">
        <f>G285</f>
        <v>297.70000000000005</v>
      </c>
      <c r="H284" s="59">
        <f>H285</f>
        <v>297.70000000000005</v>
      </c>
    </row>
    <row r="285" spans="1:8" ht="15.75" x14ac:dyDescent="0.25">
      <c r="A285" s="29" t="s">
        <v>263</v>
      </c>
      <c r="B285" s="20" t="s">
        <v>1248</v>
      </c>
      <c r="C285" s="40" t="s">
        <v>264</v>
      </c>
      <c r="D285" s="40"/>
      <c r="E285" s="40"/>
      <c r="F285" s="40"/>
      <c r="G285" s="10">
        <f t="shared" ref="G285:H285" si="37">G286</f>
        <v>297.70000000000005</v>
      </c>
      <c r="H285" s="10">
        <f t="shared" si="37"/>
        <v>297.70000000000005</v>
      </c>
    </row>
    <row r="286" spans="1:8" ht="15.75" x14ac:dyDescent="0.25">
      <c r="A286" s="45" t="s">
        <v>404</v>
      </c>
      <c r="B286" s="20" t="s">
        <v>1248</v>
      </c>
      <c r="C286" s="40" t="s">
        <v>264</v>
      </c>
      <c r="D286" s="40" t="s">
        <v>118</v>
      </c>
      <c r="E286" s="40"/>
      <c r="F286" s="40"/>
      <c r="G286" s="10">
        <f t="shared" ref="G286:H288" si="38">G287</f>
        <v>297.70000000000005</v>
      </c>
      <c r="H286" s="10">
        <f t="shared" si="38"/>
        <v>297.70000000000005</v>
      </c>
    </row>
    <row r="287" spans="1:8" ht="126" x14ac:dyDescent="0.25">
      <c r="A287" s="25" t="s">
        <v>1523</v>
      </c>
      <c r="B287" s="20" t="s">
        <v>1249</v>
      </c>
      <c r="C287" s="20" t="s">
        <v>264</v>
      </c>
      <c r="D287" s="20" t="s">
        <v>118</v>
      </c>
      <c r="E287" s="20"/>
      <c r="F287" s="20"/>
      <c r="G287" s="10">
        <f t="shared" si="38"/>
        <v>297.70000000000005</v>
      </c>
      <c r="H287" s="10">
        <f t="shared" si="38"/>
        <v>297.70000000000005</v>
      </c>
    </row>
    <row r="288" spans="1:8" ht="47.25" x14ac:dyDescent="0.25">
      <c r="A288" s="25" t="s">
        <v>272</v>
      </c>
      <c r="B288" s="20" t="s">
        <v>1249</v>
      </c>
      <c r="C288" s="20" t="s">
        <v>264</v>
      </c>
      <c r="D288" s="20" t="s">
        <v>118</v>
      </c>
      <c r="E288" s="20" t="s">
        <v>273</v>
      </c>
      <c r="F288" s="20"/>
      <c r="G288" s="10">
        <f t="shared" si="38"/>
        <v>297.70000000000005</v>
      </c>
      <c r="H288" s="10">
        <f t="shared" si="38"/>
        <v>297.70000000000005</v>
      </c>
    </row>
    <row r="289" spans="1:8" ht="15.75" x14ac:dyDescent="0.25">
      <c r="A289" s="25" t="s">
        <v>274</v>
      </c>
      <c r="B289" s="20" t="s">
        <v>1249</v>
      </c>
      <c r="C289" s="20" t="s">
        <v>264</v>
      </c>
      <c r="D289" s="20" t="s">
        <v>118</v>
      </c>
      <c r="E289" s="20" t="s">
        <v>275</v>
      </c>
      <c r="F289" s="20"/>
      <c r="G289" s="10">
        <f>'пр.4.1.ведом.22-23'!G591</f>
        <v>297.70000000000005</v>
      </c>
      <c r="H289" s="10">
        <f>'пр.4.1.ведом.22-23'!H591</f>
        <v>297.70000000000005</v>
      </c>
    </row>
    <row r="290" spans="1:8" ht="31.5" x14ac:dyDescent="0.25">
      <c r="A290" s="29" t="s">
        <v>403</v>
      </c>
      <c r="B290" s="20" t="s">
        <v>1249</v>
      </c>
      <c r="C290" s="40" t="s">
        <v>264</v>
      </c>
      <c r="D290" s="40" t="s">
        <v>118</v>
      </c>
      <c r="E290" s="40" t="s">
        <v>275</v>
      </c>
      <c r="F290" s="40" t="s">
        <v>636</v>
      </c>
      <c r="G290" s="10">
        <f>G289</f>
        <v>297.70000000000005</v>
      </c>
      <c r="H290" s="10">
        <f>H289</f>
        <v>297.70000000000005</v>
      </c>
    </row>
    <row r="291" spans="1:8" s="203" customFormat="1" ht="47.25" x14ac:dyDescent="0.25">
      <c r="A291" s="23" t="s">
        <v>938</v>
      </c>
      <c r="B291" s="24" t="s">
        <v>1259</v>
      </c>
      <c r="C291" s="7"/>
      <c r="D291" s="7"/>
      <c r="E291" s="7"/>
      <c r="F291" s="7"/>
      <c r="G291" s="59">
        <f>G292</f>
        <v>3931.8</v>
      </c>
      <c r="H291" s="59">
        <f>H292</f>
        <v>3865.2</v>
      </c>
    </row>
    <row r="292" spans="1:8" s="203" customFormat="1" ht="15.75" x14ac:dyDescent="0.25">
      <c r="A292" s="29" t="s">
        <v>263</v>
      </c>
      <c r="B292" s="20" t="s">
        <v>1259</v>
      </c>
      <c r="C292" s="40" t="s">
        <v>264</v>
      </c>
      <c r="D292" s="40"/>
      <c r="E292" s="40"/>
      <c r="F292" s="40"/>
      <c r="G292" s="10">
        <f t="shared" ref="G292:H292" si="39">G293</f>
        <v>3931.8</v>
      </c>
      <c r="H292" s="10">
        <f t="shared" si="39"/>
        <v>3865.2</v>
      </c>
    </row>
    <row r="293" spans="1:8" s="203" customFormat="1" ht="15.75" x14ac:dyDescent="0.25">
      <c r="A293" s="29" t="s">
        <v>425</v>
      </c>
      <c r="B293" s="20" t="s">
        <v>1259</v>
      </c>
      <c r="C293" s="40" t="s">
        <v>264</v>
      </c>
      <c r="D293" s="40" t="s">
        <v>213</v>
      </c>
      <c r="E293" s="40"/>
      <c r="F293" s="40"/>
      <c r="G293" s="10">
        <f>G294</f>
        <v>3931.8</v>
      </c>
      <c r="H293" s="10">
        <f>H294</f>
        <v>3865.2</v>
      </c>
    </row>
    <row r="294" spans="1:8" s="203" customFormat="1" ht="47.25" x14ac:dyDescent="0.25">
      <c r="A294" s="29" t="s">
        <v>602</v>
      </c>
      <c r="B294" s="20" t="s">
        <v>1260</v>
      </c>
      <c r="C294" s="40" t="s">
        <v>264</v>
      </c>
      <c r="D294" s="40" t="s">
        <v>213</v>
      </c>
      <c r="E294" s="40"/>
      <c r="F294" s="40"/>
      <c r="G294" s="10">
        <f t="shared" ref="G294:H295" si="40">G295</f>
        <v>3931.8</v>
      </c>
      <c r="H294" s="10">
        <f t="shared" si="40"/>
        <v>3865.2</v>
      </c>
    </row>
    <row r="295" spans="1:8" s="203" customFormat="1" ht="47.25" x14ac:dyDescent="0.25">
      <c r="A295" s="29" t="s">
        <v>272</v>
      </c>
      <c r="B295" s="20" t="s">
        <v>1260</v>
      </c>
      <c r="C295" s="40" t="s">
        <v>264</v>
      </c>
      <c r="D295" s="40" t="s">
        <v>213</v>
      </c>
      <c r="E295" s="40" t="s">
        <v>273</v>
      </c>
      <c r="F295" s="40"/>
      <c r="G295" s="10">
        <f t="shared" si="40"/>
        <v>3931.8</v>
      </c>
      <c r="H295" s="10">
        <f t="shared" si="40"/>
        <v>3865.2</v>
      </c>
    </row>
    <row r="296" spans="1:8" s="203" customFormat="1" ht="15.75" x14ac:dyDescent="0.25">
      <c r="A296" s="29" t="s">
        <v>274</v>
      </c>
      <c r="B296" s="20" t="s">
        <v>1260</v>
      </c>
      <c r="C296" s="40" t="s">
        <v>264</v>
      </c>
      <c r="D296" s="40" t="s">
        <v>213</v>
      </c>
      <c r="E296" s="40" t="s">
        <v>275</v>
      </c>
      <c r="F296" s="40"/>
      <c r="G296" s="6">
        <f>'пр.4.1.ведом.22-23'!G657</f>
        <v>3931.8</v>
      </c>
      <c r="H296" s="6">
        <f>'пр.4.1.ведом.22-23'!H657</f>
        <v>3865.2</v>
      </c>
    </row>
    <row r="297" spans="1:8" s="203" customFormat="1" ht="31.5" x14ac:dyDescent="0.25">
      <c r="A297" s="29" t="s">
        <v>403</v>
      </c>
      <c r="B297" s="20" t="s">
        <v>1260</v>
      </c>
      <c r="C297" s="40" t="s">
        <v>264</v>
      </c>
      <c r="D297" s="40" t="s">
        <v>213</v>
      </c>
      <c r="E297" s="40" t="s">
        <v>275</v>
      </c>
      <c r="F297" s="40" t="s">
        <v>636</v>
      </c>
      <c r="G297" s="10">
        <f>G296</f>
        <v>3931.8</v>
      </c>
      <c r="H297" s="10">
        <f>H296</f>
        <v>3865.2</v>
      </c>
    </row>
    <row r="298" spans="1:8" s="203" customFormat="1" ht="31.5" x14ac:dyDescent="0.25">
      <c r="A298" s="23" t="s">
        <v>939</v>
      </c>
      <c r="B298" s="24" t="s">
        <v>1261</v>
      </c>
      <c r="C298" s="7"/>
      <c r="D298" s="7"/>
      <c r="E298" s="7"/>
      <c r="F298" s="7"/>
      <c r="G298" s="59">
        <f>G299</f>
        <v>1384.6</v>
      </c>
      <c r="H298" s="59">
        <f>H299</f>
        <v>1384.6</v>
      </c>
    </row>
    <row r="299" spans="1:8" s="203" customFormat="1" ht="15.75" x14ac:dyDescent="0.25">
      <c r="A299" s="29" t="s">
        <v>263</v>
      </c>
      <c r="B299" s="20" t="s">
        <v>1261</v>
      </c>
      <c r="C299" s="40" t="s">
        <v>264</v>
      </c>
      <c r="D299" s="40"/>
      <c r="E299" s="40"/>
      <c r="F299" s="40"/>
      <c r="G299" s="10">
        <f t="shared" ref="G299:H299" si="41">G300</f>
        <v>1384.6</v>
      </c>
      <c r="H299" s="10">
        <f t="shared" si="41"/>
        <v>1384.6</v>
      </c>
    </row>
    <row r="300" spans="1:8" s="203" customFormat="1" ht="15.75" x14ac:dyDescent="0.25">
      <c r="A300" s="29" t="s">
        <v>425</v>
      </c>
      <c r="B300" s="20" t="s">
        <v>1261</v>
      </c>
      <c r="C300" s="40" t="s">
        <v>264</v>
      </c>
      <c r="D300" s="40" t="s">
        <v>213</v>
      </c>
      <c r="E300" s="40"/>
      <c r="F300" s="40"/>
      <c r="G300" s="10">
        <f t="shared" ref="G300:H302" si="42">G301</f>
        <v>1384.6</v>
      </c>
      <c r="H300" s="10">
        <f t="shared" si="42"/>
        <v>1384.6</v>
      </c>
    </row>
    <row r="301" spans="1:8" s="203" customFormat="1" ht="63" x14ac:dyDescent="0.25">
      <c r="A301" s="25" t="s">
        <v>438</v>
      </c>
      <c r="B301" s="20" t="s">
        <v>1262</v>
      </c>
      <c r="C301" s="40" t="s">
        <v>264</v>
      </c>
      <c r="D301" s="40" t="s">
        <v>213</v>
      </c>
      <c r="E301" s="40"/>
      <c r="F301" s="40"/>
      <c r="G301" s="10">
        <f t="shared" si="42"/>
        <v>1384.6</v>
      </c>
      <c r="H301" s="10">
        <f t="shared" si="42"/>
        <v>1384.6</v>
      </c>
    </row>
    <row r="302" spans="1:8" s="203" customFormat="1" ht="47.25" x14ac:dyDescent="0.25">
      <c r="A302" s="25" t="s">
        <v>272</v>
      </c>
      <c r="B302" s="20" t="s">
        <v>1262</v>
      </c>
      <c r="C302" s="40" t="s">
        <v>264</v>
      </c>
      <c r="D302" s="40" t="s">
        <v>213</v>
      </c>
      <c r="E302" s="40" t="s">
        <v>273</v>
      </c>
      <c r="F302" s="40"/>
      <c r="G302" s="10">
        <f t="shared" si="42"/>
        <v>1384.6</v>
      </c>
      <c r="H302" s="10">
        <f t="shared" si="42"/>
        <v>1384.6</v>
      </c>
    </row>
    <row r="303" spans="1:8" s="203" customFormat="1" ht="15.75" x14ac:dyDescent="0.25">
      <c r="A303" s="25" t="s">
        <v>274</v>
      </c>
      <c r="B303" s="20" t="s">
        <v>1262</v>
      </c>
      <c r="C303" s="40" t="s">
        <v>264</v>
      </c>
      <c r="D303" s="40" t="s">
        <v>213</v>
      </c>
      <c r="E303" s="40" t="s">
        <v>275</v>
      </c>
      <c r="F303" s="40"/>
      <c r="G303" s="10">
        <f>'пр.4.1.ведом.22-23'!G661</f>
        <v>1384.6</v>
      </c>
      <c r="H303" s="10">
        <f>'пр.4.1.ведом.22-23'!H661</f>
        <v>1384.6</v>
      </c>
    </row>
    <row r="304" spans="1:8" s="203" customFormat="1" ht="31.5" x14ac:dyDescent="0.25">
      <c r="A304" s="29" t="s">
        <v>403</v>
      </c>
      <c r="B304" s="20" t="s">
        <v>1262</v>
      </c>
      <c r="C304" s="40" t="s">
        <v>264</v>
      </c>
      <c r="D304" s="40" t="s">
        <v>213</v>
      </c>
      <c r="E304" s="40" t="s">
        <v>275</v>
      </c>
      <c r="F304" s="40" t="s">
        <v>636</v>
      </c>
      <c r="G304" s="10">
        <f>G303</f>
        <v>1384.6</v>
      </c>
      <c r="H304" s="10">
        <f>H303</f>
        <v>1384.6</v>
      </c>
    </row>
    <row r="305" spans="1:8" s="203" customFormat="1" ht="47.25" x14ac:dyDescent="0.25">
      <c r="A305" s="216" t="s">
        <v>940</v>
      </c>
      <c r="B305" s="24" t="s">
        <v>1264</v>
      </c>
      <c r="C305" s="7"/>
      <c r="D305" s="7"/>
      <c r="E305" s="7"/>
      <c r="F305" s="7"/>
      <c r="G305" s="59">
        <f>G306</f>
        <v>755.8</v>
      </c>
      <c r="H305" s="59">
        <f>H306</f>
        <v>759</v>
      </c>
    </row>
    <row r="306" spans="1:8" s="203" customFormat="1" ht="15.75" x14ac:dyDescent="0.25">
      <c r="A306" s="29" t="s">
        <v>263</v>
      </c>
      <c r="B306" s="20" t="s">
        <v>1264</v>
      </c>
      <c r="C306" s="40" t="s">
        <v>264</v>
      </c>
      <c r="D306" s="40"/>
      <c r="E306" s="40"/>
      <c r="F306" s="40"/>
      <c r="G306" s="10">
        <f t="shared" ref="G306:H306" si="43">G307</f>
        <v>755.8</v>
      </c>
      <c r="H306" s="10">
        <f t="shared" si="43"/>
        <v>759</v>
      </c>
    </row>
    <row r="307" spans="1:8" s="203" customFormat="1" ht="15.75" x14ac:dyDescent="0.25">
      <c r="A307" s="29" t="s">
        <v>425</v>
      </c>
      <c r="B307" s="20" t="s">
        <v>1264</v>
      </c>
      <c r="C307" s="40" t="s">
        <v>264</v>
      </c>
      <c r="D307" s="40" t="s">
        <v>213</v>
      </c>
      <c r="E307" s="40"/>
      <c r="F307" s="40"/>
      <c r="G307" s="10">
        <f t="shared" ref="G307:H309" si="44">G308</f>
        <v>755.8</v>
      </c>
      <c r="H307" s="10">
        <f t="shared" si="44"/>
        <v>759</v>
      </c>
    </row>
    <row r="308" spans="1:8" s="203" customFormat="1" ht="63" x14ac:dyDescent="0.25">
      <c r="A308" s="182" t="s">
        <v>828</v>
      </c>
      <c r="B308" s="20" t="s">
        <v>1437</v>
      </c>
      <c r="C308" s="40" t="s">
        <v>264</v>
      </c>
      <c r="D308" s="40" t="s">
        <v>213</v>
      </c>
      <c r="E308" s="40"/>
      <c r="F308" s="40"/>
      <c r="G308" s="10">
        <f t="shared" si="44"/>
        <v>755.8</v>
      </c>
      <c r="H308" s="10">
        <f t="shared" si="44"/>
        <v>759</v>
      </c>
    </row>
    <row r="309" spans="1:8" s="203" customFormat="1" ht="47.25" x14ac:dyDescent="0.25">
      <c r="A309" s="29" t="s">
        <v>272</v>
      </c>
      <c r="B309" s="20" t="s">
        <v>1437</v>
      </c>
      <c r="C309" s="40" t="s">
        <v>264</v>
      </c>
      <c r="D309" s="40" t="s">
        <v>213</v>
      </c>
      <c r="E309" s="40" t="s">
        <v>273</v>
      </c>
      <c r="F309" s="40"/>
      <c r="G309" s="10">
        <f t="shared" si="44"/>
        <v>755.8</v>
      </c>
      <c r="H309" s="10">
        <f t="shared" si="44"/>
        <v>759</v>
      </c>
    </row>
    <row r="310" spans="1:8" s="203" customFormat="1" ht="15.75" x14ac:dyDescent="0.25">
      <c r="A310" s="182" t="s">
        <v>274</v>
      </c>
      <c r="B310" s="20" t="s">
        <v>1437</v>
      </c>
      <c r="C310" s="40" t="s">
        <v>264</v>
      </c>
      <c r="D310" s="40" t="s">
        <v>213</v>
      </c>
      <c r="E310" s="40" t="s">
        <v>275</v>
      </c>
      <c r="F310" s="40"/>
      <c r="G310" s="10">
        <f>'пр.4.1.ведом.22-23'!G665</f>
        <v>755.8</v>
      </c>
      <c r="H310" s="10">
        <f>'пр.4.1.ведом.22-23'!H665</f>
        <v>759</v>
      </c>
    </row>
    <row r="311" spans="1:8" s="203" customFormat="1" ht="31.5" x14ac:dyDescent="0.25">
      <c r="A311" s="29" t="s">
        <v>403</v>
      </c>
      <c r="B311" s="20" t="s">
        <v>1437</v>
      </c>
      <c r="C311" s="40" t="s">
        <v>264</v>
      </c>
      <c r="D311" s="40" t="s">
        <v>213</v>
      </c>
      <c r="E311" s="40" t="s">
        <v>275</v>
      </c>
      <c r="F311" s="40" t="s">
        <v>636</v>
      </c>
      <c r="G311" s="10">
        <f>G310</f>
        <v>755.8</v>
      </c>
      <c r="H311" s="10">
        <f>H310</f>
        <v>759</v>
      </c>
    </row>
    <row r="312" spans="1:8" s="203" customFormat="1" ht="126" x14ac:dyDescent="0.25">
      <c r="A312" s="23" t="s">
        <v>1171</v>
      </c>
      <c r="B312" s="24" t="s">
        <v>1251</v>
      </c>
      <c r="C312" s="7"/>
      <c r="D312" s="7"/>
      <c r="E312" s="7"/>
      <c r="F312" s="7"/>
      <c r="G312" s="59">
        <f>G313</f>
        <v>1666.6</v>
      </c>
      <c r="H312" s="59">
        <f>H313</f>
        <v>915</v>
      </c>
    </row>
    <row r="313" spans="1:8" s="203" customFormat="1" ht="15.75" x14ac:dyDescent="0.25">
      <c r="A313" s="29" t="s">
        <v>263</v>
      </c>
      <c r="B313" s="20" t="s">
        <v>1251</v>
      </c>
      <c r="C313" s="40" t="s">
        <v>264</v>
      </c>
      <c r="D313" s="40"/>
      <c r="E313" s="40"/>
      <c r="F313" s="40"/>
      <c r="G313" s="10">
        <f>G314</f>
        <v>1666.6</v>
      </c>
      <c r="H313" s="10">
        <f>H314</f>
        <v>915</v>
      </c>
    </row>
    <row r="314" spans="1:8" s="203" customFormat="1" ht="15.75" x14ac:dyDescent="0.25">
      <c r="A314" s="45" t="s">
        <v>404</v>
      </c>
      <c r="B314" s="20" t="s">
        <v>1251</v>
      </c>
      <c r="C314" s="40" t="s">
        <v>264</v>
      </c>
      <c r="D314" s="40" t="s">
        <v>118</v>
      </c>
      <c r="E314" s="40"/>
      <c r="F314" s="40"/>
      <c r="G314" s="10">
        <f>G315+G319</f>
        <v>1666.6</v>
      </c>
      <c r="H314" s="10">
        <f>H315+H319</f>
        <v>915</v>
      </c>
    </row>
    <row r="315" spans="1:8" s="203" customFormat="1" ht="94.5" hidden="1" x14ac:dyDescent="0.25">
      <c r="A315" s="149" t="s">
        <v>1190</v>
      </c>
      <c r="B315" s="20" t="s">
        <v>1252</v>
      </c>
      <c r="C315" s="40" t="s">
        <v>264</v>
      </c>
      <c r="D315" s="40" t="s">
        <v>118</v>
      </c>
      <c r="E315" s="40"/>
      <c r="F315" s="40"/>
      <c r="G315" s="10">
        <f>G316</f>
        <v>0</v>
      </c>
      <c r="H315" s="10">
        <f>H316</f>
        <v>0</v>
      </c>
    </row>
    <row r="316" spans="1:8" s="203" customFormat="1" ht="47.25" hidden="1" x14ac:dyDescent="0.25">
      <c r="A316" s="25" t="s">
        <v>272</v>
      </c>
      <c r="B316" s="20" t="s">
        <v>1252</v>
      </c>
      <c r="C316" s="40" t="s">
        <v>264</v>
      </c>
      <c r="D316" s="40" t="s">
        <v>118</v>
      </c>
      <c r="E316" s="40" t="s">
        <v>273</v>
      </c>
      <c r="F316" s="40"/>
      <c r="G316" s="10">
        <f>G317</f>
        <v>0</v>
      </c>
      <c r="H316" s="10">
        <f>H317</f>
        <v>0</v>
      </c>
    </row>
    <row r="317" spans="1:8" s="203" customFormat="1" ht="15.75" hidden="1" x14ac:dyDescent="0.25">
      <c r="A317" s="25" t="s">
        <v>274</v>
      </c>
      <c r="B317" s="20" t="s">
        <v>1252</v>
      </c>
      <c r="C317" s="40" t="s">
        <v>264</v>
      </c>
      <c r="D317" s="40" t="s">
        <v>118</v>
      </c>
      <c r="E317" s="40" t="s">
        <v>275</v>
      </c>
      <c r="F317" s="40"/>
      <c r="G317" s="10">
        <f>'пр.4.1.ведом.22-23'!G595</f>
        <v>0</v>
      </c>
      <c r="H317" s="10">
        <f>'пр.4.1.ведом.22-23'!H595</f>
        <v>0</v>
      </c>
    </row>
    <row r="318" spans="1:8" s="203" customFormat="1" ht="31.5" hidden="1" x14ac:dyDescent="0.25">
      <c r="A318" s="29" t="s">
        <v>403</v>
      </c>
      <c r="B318" s="20" t="s">
        <v>1252</v>
      </c>
      <c r="C318" s="40" t="s">
        <v>264</v>
      </c>
      <c r="D318" s="40" t="s">
        <v>118</v>
      </c>
      <c r="E318" s="40" t="s">
        <v>275</v>
      </c>
      <c r="F318" s="40" t="s">
        <v>636</v>
      </c>
      <c r="G318" s="10">
        <f>G315</f>
        <v>0</v>
      </c>
      <c r="H318" s="10">
        <f>H315</f>
        <v>0</v>
      </c>
    </row>
    <row r="319" spans="1:8" s="203" customFormat="1" ht="110.25" x14ac:dyDescent="0.25">
      <c r="A319" s="149" t="s">
        <v>1506</v>
      </c>
      <c r="B319" s="20" t="s">
        <v>1252</v>
      </c>
      <c r="C319" s="40" t="s">
        <v>264</v>
      </c>
      <c r="D319" s="40" t="s">
        <v>118</v>
      </c>
      <c r="E319" s="40"/>
      <c r="F319" s="40"/>
      <c r="G319" s="10">
        <f>G320</f>
        <v>1666.6</v>
      </c>
      <c r="H319" s="10">
        <f>H320</f>
        <v>915</v>
      </c>
    </row>
    <row r="320" spans="1:8" s="203" customFormat="1" ht="47.25" x14ac:dyDescent="0.25">
      <c r="A320" s="25" t="s">
        <v>272</v>
      </c>
      <c r="B320" s="20" t="s">
        <v>1252</v>
      </c>
      <c r="C320" s="40" t="s">
        <v>264</v>
      </c>
      <c r="D320" s="40" t="s">
        <v>118</v>
      </c>
      <c r="E320" s="40" t="s">
        <v>273</v>
      </c>
      <c r="F320" s="40"/>
      <c r="G320" s="10">
        <f>G321</f>
        <v>1666.6</v>
      </c>
      <c r="H320" s="10">
        <f>H321</f>
        <v>915</v>
      </c>
    </row>
    <row r="321" spans="1:8" s="203" customFormat="1" ht="15.75" x14ac:dyDescent="0.25">
      <c r="A321" s="25" t="s">
        <v>274</v>
      </c>
      <c r="B321" s="20" t="s">
        <v>1252</v>
      </c>
      <c r="C321" s="40" t="s">
        <v>264</v>
      </c>
      <c r="D321" s="40" t="s">
        <v>118</v>
      </c>
      <c r="E321" s="40" t="s">
        <v>275</v>
      </c>
      <c r="F321" s="40"/>
      <c r="G321" s="10">
        <f>'пр.4.1.ведом.22-23'!G598</f>
        <v>1666.6</v>
      </c>
      <c r="H321" s="10">
        <f>'пр.4.1.ведом.22-23'!H598</f>
        <v>915</v>
      </c>
    </row>
    <row r="322" spans="1:8" s="203" customFormat="1" ht="31.5" x14ac:dyDescent="0.25">
      <c r="A322" s="29" t="s">
        <v>403</v>
      </c>
      <c r="B322" s="20" t="s">
        <v>1252</v>
      </c>
      <c r="C322" s="40" t="s">
        <v>264</v>
      </c>
      <c r="D322" s="40" t="s">
        <v>118</v>
      </c>
      <c r="E322" s="40" t="s">
        <v>275</v>
      </c>
      <c r="F322" s="40" t="s">
        <v>636</v>
      </c>
      <c r="G322" s="10">
        <f>G319</f>
        <v>1666.6</v>
      </c>
      <c r="H322" s="10">
        <f>H319</f>
        <v>915</v>
      </c>
    </row>
    <row r="323" spans="1:8" s="203" customFormat="1" ht="47.25" x14ac:dyDescent="0.25">
      <c r="A323" s="298" t="s">
        <v>1416</v>
      </c>
      <c r="B323" s="24" t="s">
        <v>1415</v>
      </c>
      <c r="C323" s="24"/>
      <c r="D323" s="24"/>
      <c r="E323" s="24"/>
      <c r="F323" s="7"/>
      <c r="G323" s="59">
        <f t="shared" ref="G323:H327" si="45">G324</f>
        <v>5415.6500000000005</v>
      </c>
      <c r="H323" s="59">
        <f t="shared" si="45"/>
        <v>5142.4500000000007</v>
      </c>
    </row>
    <row r="324" spans="1:8" s="203" customFormat="1" ht="15.75" x14ac:dyDescent="0.25">
      <c r="A324" s="182" t="s">
        <v>263</v>
      </c>
      <c r="B324" s="20" t="s">
        <v>1415</v>
      </c>
      <c r="C324" s="20" t="s">
        <v>264</v>
      </c>
      <c r="D324" s="20"/>
      <c r="E324" s="20"/>
      <c r="F324" s="40"/>
      <c r="G324" s="10">
        <f t="shared" si="45"/>
        <v>5415.6500000000005</v>
      </c>
      <c r="H324" s="10">
        <f t="shared" si="45"/>
        <v>5142.4500000000007</v>
      </c>
    </row>
    <row r="325" spans="1:8" s="203" customFormat="1" ht="15.75" x14ac:dyDescent="0.25">
      <c r="A325" s="182" t="s">
        <v>425</v>
      </c>
      <c r="B325" s="20" t="s">
        <v>1415</v>
      </c>
      <c r="C325" s="20" t="s">
        <v>264</v>
      </c>
      <c r="D325" s="20" t="s">
        <v>213</v>
      </c>
      <c r="E325" s="20"/>
      <c r="F325" s="40"/>
      <c r="G325" s="10">
        <f t="shared" si="45"/>
        <v>5415.6500000000005</v>
      </c>
      <c r="H325" s="10">
        <f t="shared" si="45"/>
        <v>5142.4500000000007</v>
      </c>
    </row>
    <row r="326" spans="1:8" s="203" customFormat="1" ht="78.75" x14ac:dyDescent="0.25">
      <c r="A326" s="297" t="s">
        <v>1402</v>
      </c>
      <c r="B326" s="20" t="s">
        <v>1462</v>
      </c>
      <c r="C326" s="20" t="s">
        <v>264</v>
      </c>
      <c r="D326" s="20" t="s">
        <v>213</v>
      </c>
      <c r="E326" s="20"/>
      <c r="F326" s="40"/>
      <c r="G326" s="10">
        <f t="shared" si="45"/>
        <v>5415.6500000000005</v>
      </c>
      <c r="H326" s="10">
        <f t="shared" si="45"/>
        <v>5142.4500000000007</v>
      </c>
    </row>
    <row r="327" spans="1:8" s="203" customFormat="1" ht="47.25" x14ac:dyDescent="0.25">
      <c r="A327" s="31" t="s">
        <v>272</v>
      </c>
      <c r="B327" s="20" t="s">
        <v>1462</v>
      </c>
      <c r="C327" s="20" t="s">
        <v>264</v>
      </c>
      <c r="D327" s="20" t="s">
        <v>213</v>
      </c>
      <c r="E327" s="20" t="s">
        <v>273</v>
      </c>
      <c r="F327" s="40"/>
      <c r="G327" s="10">
        <f t="shared" si="45"/>
        <v>5415.6500000000005</v>
      </c>
      <c r="H327" s="10">
        <f t="shared" si="45"/>
        <v>5142.4500000000007</v>
      </c>
    </row>
    <row r="328" spans="1:8" s="203" customFormat="1" ht="15.75" x14ac:dyDescent="0.25">
      <c r="A328" s="31" t="s">
        <v>274</v>
      </c>
      <c r="B328" s="20" t="s">
        <v>1462</v>
      </c>
      <c r="C328" s="20" t="s">
        <v>264</v>
      </c>
      <c r="D328" s="20" t="s">
        <v>213</v>
      </c>
      <c r="E328" s="20" t="s">
        <v>275</v>
      </c>
      <c r="F328" s="40"/>
      <c r="G328" s="10">
        <f>'пр.4.1.ведом.22-23'!G672</f>
        <v>5415.6500000000005</v>
      </c>
      <c r="H328" s="10">
        <f>'пр.4.1.ведом.22-23'!H672</f>
        <v>5142.4500000000007</v>
      </c>
    </row>
    <row r="329" spans="1:8" s="203" customFormat="1" ht="31.5" x14ac:dyDescent="0.25">
      <c r="A329" s="182" t="s">
        <v>403</v>
      </c>
      <c r="B329" s="20" t="s">
        <v>1462</v>
      </c>
      <c r="C329" s="20" t="s">
        <v>264</v>
      </c>
      <c r="D329" s="20" t="s">
        <v>213</v>
      </c>
      <c r="E329" s="20" t="s">
        <v>275</v>
      </c>
      <c r="F329" s="40" t="s">
        <v>636</v>
      </c>
      <c r="G329" s="10">
        <f>G323</f>
        <v>5415.6500000000005</v>
      </c>
      <c r="H329" s="10">
        <f>H323</f>
        <v>5142.4500000000007</v>
      </c>
    </row>
    <row r="330" spans="1:8" s="203" customFormat="1" ht="63" hidden="1" x14ac:dyDescent="0.25">
      <c r="A330" s="216" t="s">
        <v>1177</v>
      </c>
      <c r="B330" s="24" t="s">
        <v>1327</v>
      </c>
      <c r="C330" s="40"/>
      <c r="D330" s="40"/>
      <c r="E330" s="40"/>
      <c r="F330" s="40"/>
      <c r="G330" s="59">
        <f t="shared" ref="G330:H334" si="46">G331</f>
        <v>0</v>
      </c>
      <c r="H330" s="59">
        <f t="shared" si="46"/>
        <v>0</v>
      </c>
    </row>
    <row r="331" spans="1:8" s="203" customFormat="1" ht="15.75" hidden="1" x14ac:dyDescent="0.25">
      <c r="A331" s="29" t="s">
        <v>263</v>
      </c>
      <c r="B331" s="20" t="s">
        <v>1327</v>
      </c>
      <c r="C331" s="40" t="s">
        <v>264</v>
      </c>
      <c r="D331" s="40"/>
      <c r="E331" s="40"/>
      <c r="F331" s="40"/>
      <c r="G331" s="10">
        <f t="shared" si="46"/>
        <v>0</v>
      </c>
      <c r="H331" s="10">
        <f t="shared" si="46"/>
        <v>0</v>
      </c>
    </row>
    <row r="332" spans="1:8" s="203" customFormat="1" ht="15.75" hidden="1" x14ac:dyDescent="0.25">
      <c r="A332" s="29" t="s">
        <v>425</v>
      </c>
      <c r="B332" s="20" t="s">
        <v>1327</v>
      </c>
      <c r="C332" s="40" t="s">
        <v>264</v>
      </c>
      <c r="D332" s="40" t="s">
        <v>213</v>
      </c>
      <c r="E332" s="40"/>
      <c r="F332" s="40"/>
      <c r="G332" s="10">
        <f t="shared" si="46"/>
        <v>0</v>
      </c>
      <c r="H332" s="10">
        <f t="shared" si="46"/>
        <v>0</v>
      </c>
    </row>
    <row r="333" spans="1:8" s="203" customFormat="1" ht="63" hidden="1" x14ac:dyDescent="0.25">
      <c r="A333" s="182" t="s">
        <v>1185</v>
      </c>
      <c r="B333" s="20" t="s">
        <v>1328</v>
      </c>
      <c r="C333" s="40" t="s">
        <v>264</v>
      </c>
      <c r="D333" s="40" t="s">
        <v>213</v>
      </c>
      <c r="E333" s="40"/>
      <c r="F333" s="40"/>
      <c r="G333" s="10">
        <f t="shared" si="46"/>
        <v>0</v>
      </c>
      <c r="H333" s="10">
        <f t="shared" si="46"/>
        <v>0</v>
      </c>
    </row>
    <row r="334" spans="1:8" s="203" customFormat="1" ht="47.25" hidden="1" x14ac:dyDescent="0.25">
      <c r="A334" s="31" t="s">
        <v>272</v>
      </c>
      <c r="B334" s="20" t="s">
        <v>1328</v>
      </c>
      <c r="C334" s="40" t="s">
        <v>264</v>
      </c>
      <c r="D334" s="40" t="s">
        <v>213</v>
      </c>
      <c r="E334" s="40" t="s">
        <v>273</v>
      </c>
      <c r="F334" s="40"/>
      <c r="G334" s="10">
        <f t="shared" si="46"/>
        <v>0</v>
      </c>
      <c r="H334" s="10">
        <f t="shared" si="46"/>
        <v>0</v>
      </c>
    </row>
    <row r="335" spans="1:8" s="203" customFormat="1" ht="15.75" hidden="1" x14ac:dyDescent="0.25">
      <c r="A335" s="31" t="s">
        <v>274</v>
      </c>
      <c r="B335" s="20" t="s">
        <v>1328</v>
      </c>
      <c r="C335" s="40" t="s">
        <v>264</v>
      </c>
      <c r="D335" s="40" t="s">
        <v>213</v>
      </c>
      <c r="E335" s="40" t="s">
        <v>275</v>
      </c>
      <c r="F335" s="40"/>
      <c r="G335" s="10">
        <f>'пр.4.1.ведом.22-23'!G676</f>
        <v>0</v>
      </c>
      <c r="H335" s="10">
        <f>'пр.4.1.ведом.22-23'!H675</f>
        <v>0</v>
      </c>
    </row>
    <row r="336" spans="1:8" s="203" customFormat="1" ht="31.5" hidden="1" x14ac:dyDescent="0.25">
      <c r="A336" s="29" t="s">
        <v>403</v>
      </c>
      <c r="B336" s="20" t="s">
        <v>1328</v>
      </c>
      <c r="C336" s="40" t="s">
        <v>264</v>
      </c>
      <c r="D336" s="40" t="s">
        <v>213</v>
      </c>
      <c r="E336" s="40" t="s">
        <v>275</v>
      </c>
      <c r="F336" s="40" t="s">
        <v>636</v>
      </c>
      <c r="G336" s="10">
        <f>G330</f>
        <v>0</v>
      </c>
      <c r="H336" s="10">
        <f>H335</f>
        <v>0</v>
      </c>
    </row>
    <row r="337" spans="1:8" s="203" customFormat="1" ht="31.5" x14ac:dyDescent="0.25">
      <c r="A337" s="34" t="s">
        <v>1485</v>
      </c>
      <c r="B337" s="24" t="s">
        <v>1483</v>
      </c>
      <c r="C337" s="40"/>
      <c r="D337" s="40"/>
      <c r="E337" s="40"/>
      <c r="F337" s="40"/>
      <c r="G337" s="59">
        <f t="shared" ref="G337:H341" si="47">G338</f>
        <v>1749.4499999999998</v>
      </c>
      <c r="H337" s="59">
        <f t="shared" si="47"/>
        <v>2341</v>
      </c>
    </row>
    <row r="338" spans="1:8" s="203" customFormat="1" ht="15.75" x14ac:dyDescent="0.25">
      <c r="A338" s="29" t="s">
        <v>263</v>
      </c>
      <c r="B338" s="20" t="s">
        <v>1483</v>
      </c>
      <c r="C338" s="40" t="s">
        <v>264</v>
      </c>
      <c r="D338" s="40"/>
      <c r="E338" s="40"/>
      <c r="F338" s="40"/>
      <c r="G338" s="10">
        <f t="shared" si="47"/>
        <v>1749.4499999999998</v>
      </c>
      <c r="H338" s="10">
        <f t="shared" si="47"/>
        <v>2341</v>
      </c>
    </row>
    <row r="339" spans="1:8" s="203" customFormat="1" ht="15.75" x14ac:dyDescent="0.25">
      <c r="A339" s="29" t="s">
        <v>425</v>
      </c>
      <c r="B339" s="20" t="s">
        <v>1483</v>
      </c>
      <c r="C339" s="40" t="s">
        <v>264</v>
      </c>
      <c r="D339" s="40" t="s">
        <v>213</v>
      </c>
      <c r="E339" s="40"/>
      <c r="F339" s="40"/>
      <c r="G339" s="10">
        <f t="shared" si="47"/>
        <v>1749.4499999999998</v>
      </c>
      <c r="H339" s="10">
        <f t="shared" si="47"/>
        <v>2341</v>
      </c>
    </row>
    <row r="340" spans="1:8" s="203" customFormat="1" ht="63" x14ac:dyDescent="0.25">
      <c r="A340" s="31" t="s">
        <v>1538</v>
      </c>
      <c r="B340" s="20" t="s">
        <v>1484</v>
      </c>
      <c r="C340" s="40" t="s">
        <v>264</v>
      </c>
      <c r="D340" s="40" t="s">
        <v>213</v>
      </c>
      <c r="E340" s="40"/>
      <c r="F340" s="40"/>
      <c r="G340" s="10">
        <f t="shared" si="47"/>
        <v>1749.4499999999998</v>
      </c>
      <c r="H340" s="10">
        <f t="shared" si="47"/>
        <v>2341</v>
      </c>
    </row>
    <row r="341" spans="1:8" s="203" customFormat="1" ht="47.25" x14ac:dyDescent="0.25">
      <c r="A341" s="31" t="s">
        <v>272</v>
      </c>
      <c r="B341" s="20" t="s">
        <v>1484</v>
      </c>
      <c r="C341" s="40" t="s">
        <v>264</v>
      </c>
      <c r="D341" s="40" t="s">
        <v>213</v>
      </c>
      <c r="E341" s="40" t="s">
        <v>273</v>
      </c>
      <c r="F341" s="40"/>
      <c r="G341" s="10">
        <f t="shared" si="47"/>
        <v>1749.4499999999998</v>
      </c>
      <c r="H341" s="10">
        <f t="shared" si="47"/>
        <v>2341</v>
      </c>
    </row>
    <row r="342" spans="1:8" s="203" customFormat="1" ht="15.75" x14ac:dyDescent="0.25">
      <c r="A342" s="31" t="s">
        <v>274</v>
      </c>
      <c r="B342" s="20" t="s">
        <v>1484</v>
      </c>
      <c r="C342" s="40" t="s">
        <v>264</v>
      </c>
      <c r="D342" s="40" t="s">
        <v>213</v>
      </c>
      <c r="E342" s="40" t="s">
        <v>275</v>
      </c>
      <c r="F342" s="40"/>
      <c r="G342" s="10">
        <f>'пр.4.1.ведом.22-23'!G680</f>
        <v>1749.4499999999998</v>
      </c>
      <c r="H342" s="10">
        <f>'пр.4.1.ведом.22-23'!H680</f>
        <v>2341</v>
      </c>
    </row>
    <row r="343" spans="1:8" s="203" customFormat="1" ht="31.5" x14ac:dyDescent="0.25">
      <c r="A343" s="29" t="s">
        <v>403</v>
      </c>
      <c r="B343" s="20" t="s">
        <v>1484</v>
      </c>
      <c r="C343" s="40" t="s">
        <v>264</v>
      </c>
      <c r="D343" s="40" t="s">
        <v>213</v>
      </c>
      <c r="E343" s="40" t="s">
        <v>275</v>
      </c>
      <c r="F343" s="40" t="s">
        <v>636</v>
      </c>
      <c r="G343" s="10">
        <f>G342</f>
        <v>1749.4499999999998</v>
      </c>
      <c r="H343" s="10">
        <f>H342</f>
        <v>2341</v>
      </c>
    </row>
    <row r="344" spans="1:8" ht="47.25" x14ac:dyDescent="0.25">
      <c r="A344" s="58" t="s">
        <v>1395</v>
      </c>
      <c r="B344" s="194" t="s">
        <v>156</v>
      </c>
      <c r="C344" s="7"/>
      <c r="D344" s="194"/>
      <c r="E344" s="194"/>
      <c r="F344" s="194"/>
      <c r="G344" s="59">
        <f>G346</f>
        <v>150</v>
      </c>
      <c r="H344" s="59">
        <f>H346</f>
        <v>150</v>
      </c>
    </row>
    <row r="345" spans="1:8" ht="47.25" x14ac:dyDescent="0.25">
      <c r="A345" s="23" t="s">
        <v>1067</v>
      </c>
      <c r="B345" s="24" t="s">
        <v>1064</v>
      </c>
      <c r="C345" s="7"/>
      <c r="D345" s="7"/>
      <c r="E345" s="7"/>
      <c r="F345" s="7"/>
      <c r="G345" s="59">
        <f t="shared" ref="G345:H349" si="48">G346</f>
        <v>150</v>
      </c>
      <c r="H345" s="59">
        <f t="shared" si="48"/>
        <v>150</v>
      </c>
    </row>
    <row r="346" spans="1:8" ht="15.75" x14ac:dyDescent="0.25">
      <c r="A346" s="45" t="s">
        <v>232</v>
      </c>
      <c r="B346" s="5" t="s">
        <v>1064</v>
      </c>
      <c r="C346" s="40" t="s">
        <v>150</v>
      </c>
      <c r="D346" s="40"/>
      <c r="E346" s="40"/>
      <c r="F346" s="40"/>
      <c r="G346" s="10">
        <f t="shared" si="48"/>
        <v>150</v>
      </c>
      <c r="H346" s="10">
        <f t="shared" si="48"/>
        <v>150</v>
      </c>
    </row>
    <row r="347" spans="1:8" ht="15.75" x14ac:dyDescent="0.25">
      <c r="A347" s="45" t="s">
        <v>775</v>
      </c>
      <c r="B347" s="5" t="s">
        <v>1064</v>
      </c>
      <c r="C347" s="40" t="s">
        <v>150</v>
      </c>
      <c r="D347" s="40" t="s">
        <v>238</v>
      </c>
      <c r="E347" s="40"/>
      <c r="F347" s="40"/>
      <c r="G347" s="10">
        <f t="shared" si="48"/>
        <v>150</v>
      </c>
      <c r="H347" s="10">
        <f t="shared" si="48"/>
        <v>150</v>
      </c>
    </row>
    <row r="348" spans="1:8" ht="31.5" x14ac:dyDescent="0.25">
      <c r="A348" s="25" t="s">
        <v>1068</v>
      </c>
      <c r="B348" s="20" t="s">
        <v>1065</v>
      </c>
      <c r="C348" s="40" t="s">
        <v>150</v>
      </c>
      <c r="D348" s="40" t="s">
        <v>238</v>
      </c>
      <c r="E348" s="40"/>
      <c r="F348" s="40"/>
      <c r="G348" s="10">
        <f t="shared" si="48"/>
        <v>150</v>
      </c>
      <c r="H348" s="10">
        <f t="shared" si="48"/>
        <v>150</v>
      </c>
    </row>
    <row r="349" spans="1:8" ht="15.75" x14ac:dyDescent="0.25">
      <c r="A349" s="25" t="s">
        <v>135</v>
      </c>
      <c r="B349" s="20" t="s">
        <v>1065</v>
      </c>
      <c r="C349" s="40" t="s">
        <v>150</v>
      </c>
      <c r="D349" s="40" t="s">
        <v>238</v>
      </c>
      <c r="E349" s="40" t="s">
        <v>132</v>
      </c>
      <c r="F349" s="40"/>
      <c r="G349" s="10">
        <f t="shared" si="48"/>
        <v>150</v>
      </c>
      <c r="H349" s="10">
        <f t="shared" si="48"/>
        <v>150</v>
      </c>
    </row>
    <row r="350" spans="1:8" ht="63" x14ac:dyDescent="0.25">
      <c r="A350" s="25" t="s">
        <v>184</v>
      </c>
      <c r="B350" s="20" t="s">
        <v>1065</v>
      </c>
      <c r="C350" s="40" t="s">
        <v>150</v>
      </c>
      <c r="D350" s="40" t="s">
        <v>238</v>
      </c>
      <c r="E350" s="40" t="s">
        <v>134</v>
      </c>
      <c r="F350" s="40"/>
      <c r="G350" s="10">
        <f>'пр.4.1.ведом.22-23'!G217</f>
        <v>150</v>
      </c>
      <c r="H350" s="10">
        <f>'пр.4.1.ведом.22-23'!H217</f>
        <v>150</v>
      </c>
    </row>
    <row r="351" spans="1:8" ht="31.5" x14ac:dyDescent="0.25">
      <c r="A351" s="29" t="s">
        <v>148</v>
      </c>
      <c r="B351" s="20" t="s">
        <v>1065</v>
      </c>
      <c r="C351" s="40" t="s">
        <v>150</v>
      </c>
      <c r="D351" s="40" t="s">
        <v>238</v>
      </c>
      <c r="E351" s="40" t="s">
        <v>134</v>
      </c>
      <c r="F351" s="40" t="s">
        <v>641</v>
      </c>
      <c r="G351" s="10">
        <f>G350</f>
        <v>150</v>
      </c>
      <c r="H351" s="10">
        <f>H350</f>
        <v>150</v>
      </c>
    </row>
    <row r="352" spans="1:8" ht="47.25" hidden="1" x14ac:dyDescent="0.25">
      <c r="A352" s="25" t="s">
        <v>239</v>
      </c>
      <c r="B352" s="20" t="s">
        <v>1066</v>
      </c>
      <c r="C352" s="40" t="s">
        <v>150</v>
      </c>
      <c r="D352" s="40" t="s">
        <v>238</v>
      </c>
      <c r="E352" s="40"/>
      <c r="F352" s="40"/>
      <c r="G352" s="10" t="e">
        <f>G353</f>
        <v>#REF!</v>
      </c>
      <c r="H352" s="10" t="e">
        <f>H353</f>
        <v>#REF!</v>
      </c>
    </row>
    <row r="353" spans="1:8" ht="15.75" hidden="1" x14ac:dyDescent="0.25">
      <c r="A353" s="25" t="s">
        <v>135</v>
      </c>
      <c r="B353" s="20" t="s">
        <v>1066</v>
      </c>
      <c r="C353" s="40" t="s">
        <v>150</v>
      </c>
      <c r="D353" s="40" t="s">
        <v>238</v>
      </c>
      <c r="E353" s="40" t="s">
        <v>145</v>
      </c>
      <c r="F353" s="40"/>
      <c r="G353" s="10" t="e">
        <f>G354</f>
        <v>#REF!</v>
      </c>
      <c r="H353" s="10" t="e">
        <f>H354</f>
        <v>#REF!</v>
      </c>
    </row>
    <row r="354" spans="1:8" ht="63" hidden="1" x14ac:dyDescent="0.25">
      <c r="A354" s="25" t="s">
        <v>184</v>
      </c>
      <c r="B354" s="20" t="s">
        <v>1066</v>
      </c>
      <c r="C354" s="40" t="s">
        <v>150</v>
      </c>
      <c r="D354" s="40" t="s">
        <v>238</v>
      </c>
      <c r="E354" s="40" t="s">
        <v>160</v>
      </c>
      <c r="F354" s="40"/>
      <c r="G354" s="10" t="e">
        <f>'пр.4.1.ведом.22-23'!#REF!</f>
        <v>#REF!</v>
      </c>
      <c r="H354" s="10" t="e">
        <f>'пр.4.1.ведом.22-23'!#REF!</f>
        <v>#REF!</v>
      </c>
    </row>
    <row r="355" spans="1:8" ht="31.5" hidden="1" x14ac:dyDescent="0.25">
      <c r="A355" s="29" t="s">
        <v>148</v>
      </c>
      <c r="B355" s="20" t="s">
        <v>1066</v>
      </c>
      <c r="C355" s="40" t="s">
        <v>150</v>
      </c>
      <c r="D355" s="40" t="s">
        <v>238</v>
      </c>
      <c r="E355" s="40" t="s">
        <v>160</v>
      </c>
      <c r="F355" s="40" t="s">
        <v>641</v>
      </c>
      <c r="G355" s="10" t="e">
        <f>G354</f>
        <v>#REF!</v>
      </c>
      <c r="H355" s="10" t="e">
        <f>H354</f>
        <v>#REF!</v>
      </c>
    </row>
    <row r="356" spans="1:8" ht="47.25" x14ac:dyDescent="0.25">
      <c r="A356" s="41" t="s">
        <v>1375</v>
      </c>
      <c r="B356" s="194" t="s">
        <v>162</v>
      </c>
      <c r="C356" s="7"/>
      <c r="D356" s="7"/>
      <c r="E356" s="7"/>
      <c r="F356" s="7"/>
      <c r="G356" s="59">
        <f>G357+G364+G387</f>
        <v>685.14</v>
      </c>
      <c r="H356" s="59">
        <f>H357+H364+H387</f>
        <v>724</v>
      </c>
    </row>
    <row r="357" spans="1:8" ht="78.75" x14ac:dyDescent="0.25">
      <c r="A357" s="299" t="s">
        <v>1350</v>
      </c>
      <c r="B357" s="7" t="s">
        <v>849</v>
      </c>
      <c r="C357" s="7"/>
      <c r="D357" s="8"/>
      <c r="E357" s="194"/>
      <c r="F357" s="7"/>
      <c r="G357" s="59">
        <f>G359</f>
        <v>606</v>
      </c>
      <c r="H357" s="59">
        <f>H359</f>
        <v>606</v>
      </c>
    </row>
    <row r="358" spans="1:8" ht="15.75" x14ac:dyDescent="0.25">
      <c r="A358" s="45" t="s">
        <v>117</v>
      </c>
      <c r="B358" s="5" t="s">
        <v>849</v>
      </c>
      <c r="C358" s="40" t="s">
        <v>118</v>
      </c>
      <c r="D358" s="5"/>
      <c r="E358" s="5"/>
      <c r="F358" s="40"/>
      <c r="G358" s="10">
        <f t="shared" ref="G358:H358" si="49">G359</f>
        <v>606</v>
      </c>
      <c r="H358" s="10">
        <f t="shared" si="49"/>
        <v>606</v>
      </c>
    </row>
    <row r="359" spans="1:8" ht="78.75" x14ac:dyDescent="0.25">
      <c r="A359" s="29" t="s">
        <v>149</v>
      </c>
      <c r="B359" s="5" t="s">
        <v>849</v>
      </c>
      <c r="C359" s="40" t="s">
        <v>118</v>
      </c>
      <c r="D359" s="9" t="s">
        <v>150</v>
      </c>
      <c r="E359" s="5"/>
      <c r="F359" s="40"/>
      <c r="G359" s="10">
        <f>G360</f>
        <v>606</v>
      </c>
      <c r="H359" s="10">
        <f>H360</f>
        <v>606</v>
      </c>
    </row>
    <row r="360" spans="1:8" ht="63" x14ac:dyDescent="0.25">
      <c r="A360" s="29" t="s">
        <v>1314</v>
      </c>
      <c r="B360" s="40" t="s">
        <v>841</v>
      </c>
      <c r="C360" s="40" t="s">
        <v>118</v>
      </c>
      <c r="D360" s="9" t="s">
        <v>150</v>
      </c>
      <c r="E360" s="40"/>
      <c r="F360" s="40"/>
      <c r="G360" s="10">
        <f t="shared" ref="G360:H361" si="50">G361</f>
        <v>606</v>
      </c>
      <c r="H360" s="10">
        <f t="shared" si="50"/>
        <v>606</v>
      </c>
    </row>
    <row r="361" spans="1:8" ht="31.5" x14ac:dyDescent="0.25">
      <c r="A361" s="29" t="s">
        <v>131</v>
      </c>
      <c r="B361" s="40" t="s">
        <v>841</v>
      </c>
      <c r="C361" s="40" t="s">
        <v>118</v>
      </c>
      <c r="D361" s="9" t="s">
        <v>150</v>
      </c>
      <c r="E361" s="40" t="s">
        <v>132</v>
      </c>
      <c r="F361" s="40"/>
      <c r="G361" s="10">
        <f t="shared" si="50"/>
        <v>606</v>
      </c>
      <c r="H361" s="10">
        <f t="shared" si="50"/>
        <v>606</v>
      </c>
    </row>
    <row r="362" spans="1:8" ht="47.25" x14ac:dyDescent="0.25">
      <c r="A362" s="29" t="s">
        <v>133</v>
      </c>
      <c r="B362" s="40" t="s">
        <v>841</v>
      </c>
      <c r="C362" s="40" t="s">
        <v>118</v>
      </c>
      <c r="D362" s="9" t="s">
        <v>150</v>
      </c>
      <c r="E362" s="40" t="s">
        <v>134</v>
      </c>
      <c r="F362" s="40"/>
      <c r="G362" s="10">
        <f>'пр.4.1.ведом.22-23'!G93</f>
        <v>606</v>
      </c>
      <c r="H362" s="10">
        <f>'пр.4.1.ведом.22-23'!H93</f>
        <v>606</v>
      </c>
    </row>
    <row r="363" spans="1:8" ht="31.5" x14ac:dyDescent="0.25">
      <c r="A363" s="29" t="s">
        <v>148</v>
      </c>
      <c r="B363" s="40" t="s">
        <v>841</v>
      </c>
      <c r="C363" s="40" t="s">
        <v>118</v>
      </c>
      <c r="D363" s="9" t="s">
        <v>150</v>
      </c>
      <c r="E363" s="40" t="s">
        <v>134</v>
      </c>
      <c r="F363" s="40" t="s">
        <v>641</v>
      </c>
      <c r="G363" s="10">
        <f>G362</f>
        <v>606</v>
      </c>
      <c r="H363" s="10">
        <f>H362</f>
        <v>606</v>
      </c>
    </row>
    <row r="364" spans="1:8" ht="78.75" x14ac:dyDescent="0.25">
      <c r="A364" s="219" t="s">
        <v>843</v>
      </c>
      <c r="B364" s="7" t="s">
        <v>850</v>
      </c>
      <c r="C364" s="7"/>
      <c r="D364" s="8"/>
      <c r="E364" s="194"/>
      <c r="F364" s="7"/>
      <c r="G364" s="59">
        <f>G365</f>
        <v>78.64</v>
      </c>
      <c r="H364" s="59">
        <f>H365</f>
        <v>117.5</v>
      </c>
    </row>
    <row r="365" spans="1:8" ht="15.75" x14ac:dyDescent="0.25">
      <c r="A365" s="45" t="s">
        <v>117</v>
      </c>
      <c r="B365" s="5" t="s">
        <v>850</v>
      </c>
      <c r="C365" s="40" t="s">
        <v>118</v>
      </c>
      <c r="D365" s="5"/>
      <c r="E365" s="5"/>
      <c r="F365" s="40"/>
      <c r="G365" s="10">
        <f>G371+G366</f>
        <v>78.64</v>
      </c>
      <c r="H365" s="10">
        <f>H371+H366</f>
        <v>117.5</v>
      </c>
    </row>
    <row r="366" spans="1:8" s="203" customFormat="1" ht="47.25" x14ac:dyDescent="0.25">
      <c r="A366" s="25" t="s">
        <v>575</v>
      </c>
      <c r="B366" s="5" t="s">
        <v>850</v>
      </c>
      <c r="C366" s="40" t="s">
        <v>118</v>
      </c>
      <c r="D366" s="9" t="s">
        <v>213</v>
      </c>
      <c r="E366" s="5"/>
      <c r="F366" s="40"/>
      <c r="G366" s="10">
        <f t="shared" ref="G366:H368" si="51">G367</f>
        <v>1.6400000000000006</v>
      </c>
      <c r="H366" s="10">
        <f t="shared" si="51"/>
        <v>40.5</v>
      </c>
    </row>
    <row r="367" spans="1:8" s="203" customFormat="1" ht="63" x14ac:dyDescent="0.25">
      <c r="A367" s="31" t="s">
        <v>695</v>
      </c>
      <c r="B367" s="40" t="s">
        <v>993</v>
      </c>
      <c r="C367" s="20" t="s">
        <v>118</v>
      </c>
      <c r="D367" s="9" t="s">
        <v>213</v>
      </c>
      <c r="E367" s="5"/>
      <c r="F367" s="40"/>
      <c r="G367" s="10">
        <f t="shared" si="51"/>
        <v>1.6400000000000006</v>
      </c>
      <c r="H367" s="10">
        <f t="shared" si="51"/>
        <v>40.5</v>
      </c>
    </row>
    <row r="368" spans="1:8" s="203" customFormat="1" ht="31.5" x14ac:dyDescent="0.25">
      <c r="A368" s="25" t="s">
        <v>131</v>
      </c>
      <c r="B368" s="40" t="s">
        <v>696</v>
      </c>
      <c r="C368" s="20" t="s">
        <v>118</v>
      </c>
      <c r="D368" s="9" t="s">
        <v>213</v>
      </c>
      <c r="E368" s="5">
        <v>200</v>
      </c>
      <c r="F368" s="40"/>
      <c r="G368" s="10">
        <f t="shared" si="51"/>
        <v>1.6400000000000006</v>
      </c>
      <c r="H368" s="10">
        <f t="shared" si="51"/>
        <v>40.5</v>
      </c>
    </row>
    <row r="369" spans="1:8" s="203" customFormat="1" ht="47.25" x14ac:dyDescent="0.25">
      <c r="A369" s="25" t="s">
        <v>133</v>
      </c>
      <c r="B369" s="40" t="s">
        <v>696</v>
      </c>
      <c r="C369" s="20" t="s">
        <v>118</v>
      </c>
      <c r="D369" s="9" t="s">
        <v>213</v>
      </c>
      <c r="E369" s="5">
        <v>240</v>
      </c>
      <c r="F369" s="40"/>
      <c r="G369" s="10">
        <f>'Пр.4 ведом.21'!G53</f>
        <v>1.6400000000000006</v>
      </c>
      <c r="H369" s="10">
        <f>H370</f>
        <v>40.5</v>
      </c>
    </row>
    <row r="370" spans="1:8" s="203" customFormat="1" ht="31.5" x14ac:dyDescent="0.25">
      <c r="A370" s="25" t="s">
        <v>148</v>
      </c>
      <c r="B370" s="40" t="s">
        <v>696</v>
      </c>
      <c r="C370" s="20" t="s">
        <v>118</v>
      </c>
      <c r="D370" s="9" t="s">
        <v>213</v>
      </c>
      <c r="E370" s="5">
        <v>240</v>
      </c>
      <c r="F370" s="40" t="s">
        <v>641</v>
      </c>
      <c r="G370" s="10">
        <f>G367</f>
        <v>1.6400000000000006</v>
      </c>
      <c r="H370" s="10">
        <f>'пр.4.1.ведом.22-23'!H48</f>
        <v>40.5</v>
      </c>
    </row>
    <row r="371" spans="1:8" ht="78.75" x14ac:dyDescent="0.25">
      <c r="A371" s="29" t="s">
        <v>149</v>
      </c>
      <c r="B371" s="5" t="s">
        <v>850</v>
      </c>
      <c r="C371" s="40" t="s">
        <v>118</v>
      </c>
      <c r="D371" s="9" t="s">
        <v>150</v>
      </c>
      <c r="E371" s="5"/>
      <c r="F371" s="40"/>
      <c r="G371" s="10">
        <f>G372+G379+G383</f>
        <v>77</v>
      </c>
      <c r="H371" s="10">
        <f>H372+H379+H383</f>
        <v>77</v>
      </c>
    </row>
    <row r="372" spans="1:8" ht="63" x14ac:dyDescent="0.25">
      <c r="A372" s="174" t="s">
        <v>165</v>
      </c>
      <c r="B372" s="40" t="s">
        <v>842</v>
      </c>
      <c r="C372" s="40" t="s">
        <v>118</v>
      </c>
      <c r="D372" s="9" t="s">
        <v>150</v>
      </c>
      <c r="E372" s="40"/>
      <c r="F372" s="40"/>
      <c r="G372" s="10">
        <f>G373+G376</f>
        <v>77</v>
      </c>
      <c r="H372" s="10">
        <f>H373+H376</f>
        <v>77</v>
      </c>
    </row>
    <row r="373" spans="1:8" ht="94.5" x14ac:dyDescent="0.25">
      <c r="A373" s="25" t="s">
        <v>127</v>
      </c>
      <c r="B373" s="40" t="s">
        <v>842</v>
      </c>
      <c r="C373" s="40" t="s">
        <v>118</v>
      </c>
      <c r="D373" s="9" t="s">
        <v>150</v>
      </c>
      <c r="E373" s="40" t="s">
        <v>128</v>
      </c>
      <c r="F373" s="40"/>
      <c r="G373" s="10">
        <f>G374</f>
        <v>37</v>
      </c>
      <c r="H373" s="10">
        <f>H374</f>
        <v>37</v>
      </c>
    </row>
    <row r="374" spans="1:8" ht="31.5" x14ac:dyDescent="0.25">
      <c r="A374" s="25" t="s">
        <v>129</v>
      </c>
      <c r="B374" s="40" t="s">
        <v>842</v>
      </c>
      <c r="C374" s="40" t="s">
        <v>118</v>
      </c>
      <c r="D374" s="9" t="s">
        <v>150</v>
      </c>
      <c r="E374" s="40" t="s">
        <v>130</v>
      </c>
      <c r="F374" s="40"/>
      <c r="G374" s="10">
        <f>'пр.4.1.ведом.22-23'!G97</f>
        <v>37</v>
      </c>
      <c r="H374" s="10">
        <f>'пр.4.1.ведом.22-23'!H97</f>
        <v>37</v>
      </c>
    </row>
    <row r="375" spans="1:8" ht="31.5" x14ac:dyDescent="0.25">
      <c r="A375" s="29" t="s">
        <v>1329</v>
      </c>
      <c r="B375" s="40" t="s">
        <v>842</v>
      </c>
      <c r="C375" s="40" t="s">
        <v>118</v>
      </c>
      <c r="D375" s="9" t="s">
        <v>150</v>
      </c>
      <c r="E375" s="40" t="s">
        <v>130</v>
      </c>
      <c r="F375" s="40" t="s">
        <v>641</v>
      </c>
      <c r="G375" s="10">
        <f>G374</f>
        <v>37</v>
      </c>
      <c r="H375" s="10">
        <f>H374</f>
        <v>37</v>
      </c>
    </row>
    <row r="376" spans="1:8" ht="31.5" x14ac:dyDescent="0.25">
      <c r="A376" s="25" t="s">
        <v>131</v>
      </c>
      <c r="B376" s="40" t="s">
        <v>842</v>
      </c>
      <c r="C376" s="40" t="s">
        <v>118</v>
      </c>
      <c r="D376" s="9" t="s">
        <v>150</v>
      </c>
      <c r="E376" s="40" t="s">
        <v>132</v>
      </c>
      <c r="F376" s="40"/>
      <c r="G376" s="10">
        <f>G377</f>
        <v>40</v>
      </c>
      <c r="H376" s="10">
        <f>H377</f>
        <v>40</v>
      </c>
    </row>
    <row r="377" spans="1:8" ht="47.25" x14ac:dyDescent="0.25">
      <c r="A377" s="25" t="s">
        <v>133</v>
      </c>
      <c r="B377" s="40" t="s">
        <v>842</v>
      </c>
      <c r="C377" s="40" t="s">
        <v>118</v>
      </c>
      <c r="D377" s="9" t="s">
        <v>150</v>
      </c>
      <c r="E377" s="40" t="s">
        <v>134</v>
      </c>
      <c r="F377" s="40"/>
      <c r="G377" s="10">
        <f>'пр.4.1.ведом.22-23'!G99</f>
        <v>40</v>
      </c>
      <c r="H377" s="10">
        <f>'пр.4.1.ведом.22-23'!H99</f>
        <v>40</v>
      </c>
    </row>
    <row r="378" spans="1:8" ht="31.5" x14ac:dyDescent="0.25">
      <c r="A378" s="29" t="s">
        <v>148</v>
      </c>
      <c r="B378" s="40" t="s">
        <v>842</v>
      </c>
      <c r="C378" s="40" t="s">
        <v>118</v>
      </c>
      <c r="D378" s="9" t="s">
        <v>150</v>
      </c>
      <c r="E378" s="40" t="s">
        <v>134</v>
      </c>
      <c r="F378" s="40" t="s">
        <v>641</v>
      </c>
      <c r="G378" s="10">
        <f>G377</f>
        <v>40</v>
      </c>
      <c r="H378" s="10">
        <f>H377</f>
        <v>40</v>
      </c>
    </row>
    <row r="379" spans="1:8" ht="63" hidden="1" x14ac:dyDescent="0.25">
      <c r="A379" s="31" t="s">
        <v>695</v>
      </c>
      <c r="B379" s="40" t="s">
        <v>993</v>
      </c>
      <c r="C379" s="40" t="s">
        <v>118</v>
      </c>
      <c r="D379" s="9" t="s">
        <v>150</v>
      </c>
      <c r="E379" s="5"/>
      <c r="F379" s="40"/>
      <c r="G379" s="10">
        <f>G380</f>
        <v>0</v>
      </c>
      <c r="H379" s="10">
        <f>H380</f>
        <v>0</v>
      </c>
    </row>
    <row r="380" spans="1:8" ht="31.5" hidden="1" x14ac:dyDescent="0.25">
      <c r="A380" s="25" t="s">
        <v>131</v>
      </c>
      <c r="B380" s="40" t="s">
        <v>993</v>
      </c>
      <c r="C380" s="40" t="s">
        <v>118</v>
      </c>
      <c r="D380" s="9" t="s">
        <v>150</v>
      </c>
      <c r="E380" s="5">
        <v>200</v>
      </c>
      <c r="F380" s="40"/>
      <c r="G380" s="10">
        <f>G381</f>
        <v>0</v>
      </c>
      <c r="H380" s="10">
        <f>H381</f>
        <v>0</v>
      </c>
    </row>
    <row r="381" spans="1:8" ht="47.25" hidden="1" x14ac:dyDescent="0.25">
      <c r="A381" s="25" t="s">
        <v>133</v>
      </c>
      <c r="B381" s="40" t="s">
        <v>993</v>
      </c>
      <c r="C381" s="40" t="s">
        <v>118</v>
      </c>
      <c r="D381" s="9" t="s">
        <v>150</v>
      </c>
      <c r="E381" s="5">
        <v>240</v>
      </c>
      <c r="F381" s="40"/>
      <c r="G381" s="10">
        <f>'Пр.4 ведом.21'!G108</f>
        <v>0</v>
      </c>
      <c r="H381" s="10">
        <f>'пр.4.1.ведом.22-23'!H102</f>
        <v>0</v>
      </c>
    </row>
    <row r="382" spans="1:8" ht="31.5" hidden="1" x14ac:dyDescent="0.25">
      <c r="A382" s="29" t="s">
        <v>148</v>
      </c>
      <c r="B382" s="40" t="s">
        <v>993</v>
      </c>
      <c r="C382" s="40" t="s">
        <v>118</v>
      </c>
      <c r="D382" s="9" t="s">
        <v>150</v>
      </c>
      <c r="E382" s="5">
        <v>240</v>
      </c>
      <c r="F382" s="40" t="s">
        <v>641</v>
      </c>
      <c r="G382" s="10">
        <f>G381</f>
        <v>0</v>
      </c>
      <c r="H382" s="10">
        <f>H381</f>
        <v>0</v>
      </c>
    </row>
    <row r="383" spans="1:8" ht="63" hidden="1" x14ac:dyDescent="0.25">
      <c r="A383" s="31" t="s">
        <v>695</v>
      </c>
      <c r="B383" s="20" t="s">
        <v>992</v>
      </c>
      <c r="C383" s="40" t="s">
        <v>118</v>
      </c>
      <c r="D383" s="9" t="s">
        <v>150</v>
      </c>
      <c r="E383" s="5"/>
      <c r="F383" s="40"/>
      <c r="G383" s="10">
        <f>G384</f>
        <v>0</v>
      </c>
      <c r="H383" s="10">
        <f>H384</f>
        <v>0</v>
      </c>
    </row>
    <row r="384" spans="1:8" ht="31.5" hidden="1" x14ac:dyDescent="0.25">
      <c r="A384" s="25" t="s">
        <v>131</v>
      </c>
      <c r="B384" s="20" t="s">
        <v>992</v>
      </c>
      <c r="C384" s="40" t="s">
        <v>118</v>
      </c>
      <c r="D384" s="9" t="s">
        <v>150</v>
      </c>
      <c r="E384" s="5">
        <v>200</v>
      </c>
      <c r="F384" s="40"/>
      <c r="G384" s="10">
        <f>G385</f>
        <v>0</v>
      </c>
      <c r="H384" s="10">
        <f>H385</f>
        <v>0</v>
      </c>
    </row>
    <row r="385" spans="1:8" ht="47.25" hidden="1" x14ac:dyDescent="0.25">
      <c r="A385" s="25" t="s">
        <v>133</v>
      </c>
      <c r="B385" s="20" t="s">
        <v>992</v>
      </c>
      <c r="C385" s="40" t="s">
        <v>118</v>
      </c>
      <c r="D385" s="9" t="s">
        <v>150</v>
      </c>
      <c r="E385" s="5">
        <v>240</v>
      </c>
      <c r="F385" s="40"/>
      <c r="G385" s="10">
        <f>'пр.4.1.ведом.22-23'!G105</f>
        <v>0</v>
      </c>
      <c r="H385" s="10">
        <f>'пр.4.1.ведом.22-23'!H105</f>
        <v>0</v>
      </c>
    </row>
    <row r="386" spans="1:8" ht="31.5" hidden="1" x14ac:dyDescent="0.25">
      <c r="A386" s="29" t="s">
        <v>148</v>
      </c>
      <c r="B386" s="20" t="s">
        <v>992</v>
      </c>
      <c r="C386" s="40" t="s">
        <v>118</v>
      </c>
      <c r="D386" s="9" t="s">
        <v>150</v>
      </c>
      <c r="E386" s="5">
        <v>240</v>
      </c>
      <c r="F386" s="40" t="s">
        <v>641</v>
      </c>
      <c r="G386" s="10">
        <f>G385</f>
        <v>0</v>
      </c>
      <c r="H386" s="10">
        <f>H385</f>
        <v>0</v>
      </c>
    </row>
    <row r="387" spans="1:8" ht="78.75" x14ac:dyDescent="0.25">
      <c r="A387" s="220" t="s">
        <v>1003</v>
      </c>
      <c r="B387" s="7" t="s">
        <v>851</v>
      </c>
      <c r="C387" s="7"/>
      <c r="D387" s="8"/>
      <c r="E387" s="7"/>
      <c r="F387" s="7"/>
      <c r="G387" s="59">
        <f>G388</f>
        <v>0.5</v>
      </c>
      <c r="H387" s="59">
        <f>H388</f>
        <v>0.5</v>
      </c>
    </row>
    <row r="388" spans="1:8" s="203" customFormat="1" ht="15.75" x14ac:dyDescent="0.25">
      <c r="A388" s="45" t="s">
        <v>117</v>
      </c>
      <c r="B388" s="40" t="s">
        <v>851</v>
      </c>
      <c r="C388" s="40" t="s">
        <v>118</v>
      </c>
      <c r="D388" s="9"/>
      <c r="E388" s="7"/>
      <c r="F388" s="7"/>
      <c r="G388" s="10">
        <f>G389</f>
        <v>0.5</v>
      </c>
      <c r="H388" s="10">
        <f>H389</f>
        <v>0.5</v>
      </c>
    </row>
    <row r="389" spans="1:8" s="203" customFormat="1" ht="78.75" x14ac:dyDescent="0.25">
      <c r="A389" s="29" t="s">
        <v>149</v>
      </c>
      <c r="B389" s="40" t="s">
        <v>851</v>
      </c>
      <c r="C389" s="40" t="s">
        <v>118</v>
      </c>
      <c r="D389" s="9" t="s">
        <v>150</v>
      </c>
      <c r="E389" s="7"/>
      <c r="F389" s="7"/>
      <c r="G389" s="10">
        <f>G390</f>
        <v>0.5</v>
      </c>
      <c r="H389" s="10">
        <f>H390+H394</f>
        <v>0.5</v>
      </c>
    </row>
    <row r="390" spans="1:8" ht="63" x14ac:dyDescent="0.25">
      <c r="A390" s="33" t="s">
        <v>191</v>
      </c>
      <c r="B390" s="40" t="s">
        <v>844</v>
      </c>
      <c r="C390" s="40" t="s">
        <v>118</v>
      </c>
      <c r="D390" s="9" t="s">
        <v>150</v>
      </c>
      <c r="E390" s="40"/>
      <c r="F390" s="40"/>
      <c r="G390" s="10">
        <f>G391</f>
        <v>0.5</v>
      </c>
      <c r="H390" s="10">
        <f>H391</f>
        <v>0.5</v>
      </c>
    </row>
    <row r="391" spans="1:8" ht="31.5" x14ac:dyDescent="0.25">
      <c r="A391" s="25" t="s">
        <v>131</v>
      </c>
      <c r="B391" s="40" t="s">
        <v>844</v>
      </c>
      <c r="C391" s="40" t="s">
        <v>118</v>
      </c>
      <c r="D391" s="9" t="s">
        <v>150</v>
      </c>
      <c r="E391" s="40" t="s">
        <v>132</v>
      </c>
      <c r="F391" s="40"/>
      <c r="G391" s="10">
        <f>G392</f>
        <v>0.5</v>
      </c>
      <c r="H391" s="10">
        <f>H392</f>
        <v>0.5</v>
      </c>
    </row>
    <row r="392" spans="1:8" ht="47.25" x14ac:dyDescent="0.25">
      <c r="A392" s="25" t="s">
        <v>133</v>
      </c>
      <c r="B392" s="40" t="s">
        <v>844</v>
      </c>
      <c r="C392" s="40" t="s">
        <v>118</v>
      </c>
      <c r="D392" s="9" t="s">
        <v>150</v>
      </c>
      <c r="E392" s="40" t="s">
        <v>134</v>
      </c>
      <c r="F392" s="40"/>
      <c r="G392" s="10">
        <f>'пр.4.1.ведом.22-23'!G109</f>
        <v>0.5</v>
      </c>
      <c r="H392" s="10">
        <f>'пр.4.1.ведом.22-23'!H109</f>
        <v>0.5</v>
      </c>
    </row>
    <row r="393" spans="1:8" ht="31.5" x14ac:dyDescent="0.25">
      <c r="A393" s="29" t="s">
        <v>148</v>
      </c>
      <c r="B393" s="40" t="s">
        <v>844</v>
      </c>
      <c r="C393" s="40" t="s">
        <v>118</v>
      </c>
      <c r="D393" s="9" t="s">
        <v>150</v>
      </c>
      <c r="E393" s="40" t="s">
        <v>134</v>
      </c>
      <c r="F393" s="40" t="s">
        <v>641</v>
      </c>
      <c r="G393" s="10">
        <f>G392</f>
        <v>0.5</v>
      </c>
      <c r="H393" s="10">
        <f>H392</f>
        <v>0.5</v>
      </c>
    </row>
    <row r="394" spans="1:8" ht="63" hidden="1" x14ac:dyDescent="0.25">
      <c r="A394" s="33" t="s">
        <v>191</v>
      </c>
      <c r="B394" s="20" t="s">
        <v>845</v>
      </c>
      <c r="C394" s="40" t="s">
        <v>118</v>
      </c>
      <c r="D394" s="9" t="s">
        <v>150</v>
      </c>
      <c r="E394" s="40"/>
      <c r="F394" s="40"/>
      <c r="G394" s="10">
        <f>G395</f>
        <v>0</v>
      </c>
      <c r="H394" s="10">
        <f>H395</f>
        <v>0</v>
      </c>
    </row>
    <row r="395" spans="1:8" ht="31.5" hidden="1" x14ac:dyDescent="0.25">
      <c r="A395" s="25" t="s">
        <v>131</v>
      </c>
      <c r="B395" s="20" t="s">
        <v>845</v>
      </c>
      <c r="C395" s="40" t="s">
        <v>118</v>
      </c>
      <c r="D395" s="9" t="s">
        <v>150</v>
      </c>
      <c r="E395" s="40" t="s">
        <v>132</v>
      </c>
      <c r="F395" s="40"/>
      <c r="G395" s="10">
        <f>G396</f>
        <v>0</v>
      </c>
      <c r="H395" s="10">
        <f>H396</f>
        <v>0</v>
      </c>
    </row>
    <row r="396" spans="1:8" ht="47.25" hidden="1" x14ac:dyDescent="0.25">
      <c r="A396" s="25" t="s">
        <v>133</v>
      </c>
      <c r="B396" s="20" t="s">
        <v>845</v>
      </c>
      <c r="C396" s="40" t="s">
        <v>118</v>
      </c>
      <c r="D396" s="9" t="s">
        <v>150</v>
      </c>
      <c r="E396" s="40" t="s">
        <v>134</v>
      </c>
      <c r="F396" s="40"/>
      <c r="G396" s="10">
        <f>'пр.4.1.ведом.22-23'!G112</f>
        <v>0</v>
      </c>
      <c r="H396" s="10">
        <f>'пр.4.1.ведом.22-23'!H112</f>
        <v>0</v>
      </c>
    </row>
    <row r="397" spans="1:8" ht="31.5" hidden="1" x14ac:dyDescent="0.25">
      <c r="A397" s="29" t="s">
        <v>148</v>
      </c>
      <c r="B397" s="20" t="s">
        <v>845</v>
      </c>
      <c r="C397" s="40" t="s">
        <v>118</v>
      </c>
      <c r="D397" s="9" t="s">
        <v>150</v>
      </c>
      <c r="E397" s="40" t="s">
        <v>134</v>
      </c>
      <c r="F397" s="40" t="s">
        <v>641</v>
      </c>
      <c r="G397" s="10">
        <f>G396</f>
        <v>0</v>
      </c>
      <c r="H397" s="10">
        <f>H396</f>
        <v>0</v>
      </c>
    </row>
    <row r="398" spans="1:8" ht="63" x14ac:dyDescent="0.25">
      <c r="A398" s="41" t="s">
        <v>1357</v>
      </c>
      <c r="B398" s="194" t="s">
        <v>254</v>
      </c>
      <c r="C398" s="40"/>
      <c r="D398" s="40"/>
      <c r="E398" s="40"/>
      <c r="F398" s="40"/>
      <c r="G398" s="59">
        <f t="shared" ref="G398:H398" si="52">G400</f>
        <v>10</v>
      </c>
      <c r="H398" s="59">
        <f t="shared" si="52"/>
        <v>10</v>
      </c>
    </row>
    <row r="399" spans="1:8" ht="47.25" x14ac:dyDescent="0.25">
      <c r="A399" s="23" t="s">
        <v>884</v>
      </c>
      <c r="B399" s="24" t="s">
        <v>882</v>
      </c>
      <c r="C399" s="40"/>
      <c r="D399" s="40"/>
      <c r="E399" s="40"/>
      <c r="F399" s="40"/>
      <c r="G399" s="59">
        <f t="shared" ref="G399:H400" si="53">G400</f>
        <v>10</v>
      </c>
      <c r="H399" s="59">
        <f t="shared" si="53"/>
        <v>10</v>
      </c>
    </row>
    <row r="400" spans="1:8" ht="15.75" x14ac:dyDescent="0.25">
      <c r="A400" s="29" t="s">
        <v>243</v>
      </c>
      <c r="B400" s="5" t="s">
        <v>882</v>
      </c>
      <c r="C400" s="40" t="s">
        <v>244</v>
      </c>
      <c r="D400" s="40"/>
      <c r="E400" s="40"/>
      <c r="F400" s="40"/>
      <c r="G400" s="10">
        <f t="shared" si="53"/>
        <v>10</v>
      </c>
      <c r="H400" s="10">
        <f t="shared" si="53"/>
        <v>10</v>
      </c>
    </row>
    <row r="401" spans="1:8" ht="15.75" x14ac:dyDescent="0.25">
      <c r="A401" s="29" t="s">
        <v>252</v>
      </c>
      <c r="B401" s="5" t="s">
        <v>882</v>
      </c>
      <c r="C401" s="40" t="s">
        <v>244</v>
      </c>
      <c r="D401" s="40" t="s">
        <v>215</v>
      </c>
      <c r="E401" s="40"/>
      <c r="F401" s="40"/>
      <c r="G401" s="10">
        <f>G402</f>
        <v>10</v>
      </c>
      <c r="H401" s="10">
        <f>H402</f>
        <v>10</v>
      </c>
    </row>
    <row r="402" spans="1:8" ht="31.5" x14ac:dyDescent="0.25">
      <c r="A402" s="25" t="s">
        <v>883</v>
      </c>
      <c r="B402" s="20" t="s">
        <v>1193</v>
      </c>
      <c r="C402" s="40" t="s">
        <v>244</v>
      </c>
      <c r="D402" s="40" t="s">
        <v>215</v>
      </c>
      <c r="E402" s="40"/>
      <c r="F402" s="40"/>
      <c r="G402" s="10">
        <f t="shared" ref="G402:H403" si="54">G403</f>
        <v>10</v>
      </c>
      <c r="H402" s="10">
        <f t="shared" si="54"/>
        <v>10</v>
      </c>
    </row>
    <row r="403" spans="1:8" ht="31.5" x14ac:dyDescent="0.25">
      <c r="A403" s="25" t="s">
        <v>248</v>
      </c>
      <c r="B403" s="20" t="s">
        <v>1193</v>
      </c>
      <c r="C403" s="40" t="s">
        <v>244</v>
      </c>
      <c r="D403" s="40" t="s">
        <v>215</v>
      </c>
      <c r="E403" s="40" t="s">
        <v>249</v>
      </c>
      <c r="F403" s="40"/>
      <c r="G403" s="10">
        <f t="shared" si="54"/>
        <v>10</v>
      </c>
      <c r="H403" s="10">
        <f t="shared" si="54"/>
        <v>10</v>
      </c>
    </row>
    <row r="404" spans="1:8" ht="47.25" x14ac:dyDescent="0.25">
      <c r="A404" s="25" t="s">
        <v>250</v>
      </c>
      <c r="B404" s="20" t="s">
        <v>1193</v>
      </c>
      <c r="C404" s="40" t="s">
        <v>244</v>
      </c>
      <c r="D404" s="40" t="s">
        <v>215</v>
      </c>
      <c r="E404" s="40" t="s">
        <v>251</v>
      </c>
      <c r="F404" s="40"/>
      <c r="G404" s="10">
        <f>'пр.4.1.ведом.22-23'!G230</f>
        <v>10</v>
      </c>
      <c r="H404" s="10">
        <f>'пр.4.1.ведом.22-23'!H230</f>
        <v>10</v>
      </c>
    </row>
    <row r="405" spans="1:8" ht="31.5" x14ac:dyDescent="0.25">
      <c r="A405" s="29" t="s">
        <v>148</v>
      </c>
      <c r="B405" s="20" t="s">
        <v>1193</v>
      </c>
      <c r="C405" s="40" t="s">
        <v>244</v>
      </c>
      <c r="D405" s="40" t="s">
        <v>215</v>
      </c>
      <c r="E405" s="40" t="s">
        <v>251</v>
      </c>
      <c r="F405" s="40" t="s">
        <v>641</v>
      </c>
      <c r="G405" s="10">
        <f>G404</f>
        <v>10</v>
      </c>
      <c r="H405" s="10">
        <f>H404</f>
        <v>10</v>
      </c>
    </row>
    <row r="406" spans="1:8" ht="47.25" x14ac:dyDescent="0.25">
      <c r="A406" s="41" t="s">
        <v>1380</v>
      </c>
      <c r="B406" s="3" t="s">
        <v>482</v>
      </c>
      <c r="C406" s="68"/>
      <c r="D406" s="68"/>
      <c r="E406" s="68"/>
      <c r="F406" s="68"/>
      <c r="G406" s="4">
        <f>G407+G414+G429+G440+G447</f>
        <v>52873.1</v>
      </c>
      <c r="H406" s="4">
        <f>H407+H414+H429+H440+H447</f>
        <v>52873.1</v>
      </c>
    </row>
    <row r="407" spans="1:8" ht="47.25" x14ac:dyDescent="0.25">
      <c r="A407" s="23" t="s">
        <v>937</v>
      </c>
      <c r="B407" s="24" t="s">
        <v>1268</v>
      </c>
      <c r="C407" s="7"/>
      <c r="D407" s="7"/>
      <c r="E407" s="222"/>
      <c r="F407" s="194"/>
      <c r="G407" s="59">
        <f>G408</f>
        <v>47819.6</v>
      </c>
      <c r="H407" s="59">
        <f>H408</f>
        <v>47819.6</v>
      </c>
    </row>
    <row r="408" spans="1:8" ht="15.75" x14ac:dyDescent="0.25">
      <c r="A408" s="29" t="s">
        <v>490</v>
      </c>
      <c r="B408" s="40" t="s">
        <v>1268</v>
      </c>
      <c r="C408" s="2">
        <v>11</v>
      </c>
      <c r="D408" s="68"/>
      <c r="E408" s="68"/>
      <c r="F408" s="68"/>
      <c r="G408" s="10">
        <f t="shared" ref="G408:H408" si="55">G409</f>
        <v>47819.6</v>
      </c>
      <c r="H408" s="10">
        <f t="shared" si="55"/>
        <v>47819.6</v>
      </c>
    </row>
    <row r="409" spans="1:8" ht="16.5" x14ac:dyDescent="0.25">
      <c r="A409" s="29" t="s">
        <v>492</v>
      </c>
      <c r="B409" s="40" t="s">
        <v>1268</v>
      </c>
      <c r="C409" s="40" t="s">
        <v>491</v>
      </c>
      <c r="D409" s="40" t="s">
        <v>118</v>
      </c>
      <c r="E409" s="71"/>
      <c r="F409" s="5"/>
      <c r="G409" s="10">
        <f t="shared" ref="G409:H411" si="56">G410</f>
        <v>47819.6</v>
      </c>
      <c r="H409" s="10">
        <f t="shared" si="56"/>
        <v>47819.6</v>
      </c>
    </row>
    <row r="410" spans="1:8" ht="47.25" x14ac:dyDescent="0.25">
      <c r="A410" s="25" t="s">
        <v>1298</v>
      </c>
      <c r="B410" s="20" t="s">
        <v>1269</v>
      </c>
      <c r="C410" s="40" t="s">
        <v>491</v>
      </c>
      <c r="D410" s="40" t="s">
        <v>118</v>
      </c>
      <c r="E410" s="71"/>
      <c r="F410" s="5"/>
      <c r="G410" s="10">
        <f t="shared" si="56"/>
        <v>47819.6</v>
      </c>
      <c r="H410" s="10">
        <f t="shared" si="56"/>
        <v>47819.6</v>
      </c>
    </row>
    <row r="411" spans="1:8" ht="47.25" x14ac:dyDescent="0.25">
      <c r="A411" s="29" t="s">
        <v>272</v>
      </c>
      <c r="B411" s="20" t="s">
        <v>1269</v>
      </c>
      <c r="C411" s="40" t="s">
        <v>491</v>
      </c>
      <c r="D411" s="40" t="s">
        <v>118</v>
      </c>
      <c r="E411" s="40" t="s">
        <v>273</v>
      </c>
      <c r="F411" s="5"/>
      <c r="G411" s="10">
        <f t="shared" si="56"/>
        <v>47819.6</v>
      </c>
      <c r="H411" s="10">
        <f t="shared" si="56"/>
        <v>47819.6</v>
      </c>
    </row>
    <row r="412" spans="1:8" ht="15.75" x14ac:dyDescent="0.25">
      <c r="A412" s="29" t="s">
        <v>274</v>
      </c>
      <c r="B412" s="20" t="s">
        <v>1269</v>
      </c>
      <c r="C412" s="40" t="s">
        <v>491</v>
      </c>
      <c r="D412" s="40" t="s">
        <v>118</v>
      </c>
      <c r="E412" s="40" t="s">
        <v>275</v>
      </c>
      <c r="F412" s="5"/>
      <c r="G412" s="10">
        <f>'пр.4.1.ведом.22-23'!G770</f>
        <v>47819.6</v>
      </c>
      <c r="H412" s="10">
        <f>'пр.4.1.ведом.22-23'!H770</f>
        <v>47819.6</v>
      </c>
    </row>
    <row r="413" spans="1:8" ht="47.25" x14ac:dyDescent="0.25">
      <c r="A413" s="45" t="s">
        <v>480</v>
      </c>
      <c r="B413" s="20" t="s">
        <v>1269</v>
      </c>
      <c r="C413" s="40" t="s">
        <v>491</v>
      </c>
      <c r="D413" s="40" t="s">
        <v>118</v>
      </c>
      <c r="E413" s="40" t="s">
        <v>275</v>
      </c>
      <c r="F413" s="5">
        <v>907</v>
      </c>
      <c r="G413" s="10">
        <f>G412</f>
        <v>47819.6</v>
      </c>
      <c r="H413" s="10">
        <f>H412</f>
        <v>47819.6</v>
      </c>
    </row>
    <row r="414" spans="1:8" ht="31.5" x14ac:dyDescent="0.25">
      <c r="A414" s="23" t="s">
        <v>945</v>
      </c>
      <c r="B414" s="24" t="s">
        <v>1270</v>
      </c>
      <c r="C414" s="7"/>
      <c r="D414" s="7"/>
      <c r="E414" s="7"/>
      <c r="F414" s="194"/>
      <c r="G414" s="59">
        <f>G415</f>
        <v>36</v>
      </c>
      <c r="H414" s="59">
        <f>H415</f>
        <v>36</v>
      </c>
    </row>
    <row r="415" spans="1:8" ht="15.75" x14ac:dyDescent="0.25">
      <c r="A415" s="29" t="s">
        <v>490</v>
      </c>
      <c r="B415" s="20" t="s">
        <v>1270</v>
      </c>
      <c r="C415" s="2">
        <v>11</v>
      </c>
      <c r="D415" s="68"/>
      <c r="E415" s="68"/>
      <c r="F415" s="68"/>
      <c r="G415" s="10">
        <f t="shared" ref="G415:H415" si="57">G416</f>
        <v>36</v>
      </c>
      <c r="H415" s="10">
        <f t="shared" si="57"/>
        <v>36</v>
      </c>
    </row>
    <row r="416" spans="1:8" ht="16.5" x14ac:dyDescent="0.25">
      <c r="A416" s="29" t="s">
        <v>492</v>
      </c>
      <c r="B416" s="20" t="s">
        <v>1270</v>
      </c>
      <c r="C416" s="40" t="s">
        <v>491</v>
      </c>
      <c r="D416" s="40" t="s">
        <v>118</v>
      </c>
      <c r="E416" s="71"/>
      <c r="F416" s="5"/>
      <c r="G416" s="10">
        <f>G417+G421+G425</f>
        <v>36</v>
      </c>
      <c r="H416" s="10">
        <f>H417+H421+H425</f>
        <v>36</v>
      </c>
    </row>
    <row r="417" spans="1:8" ht="47.25" hidden="1" x14ac:dyDescent="0.25">
      <c r="A417" s="29" t="s">
        <v>278</v>
      </c>
      <c r="B417" s="20" t="s">
        <v>1330</v>
      </c>
      <c r="C417" s="40" t="s">
        <v>491</v>
      </c>
      <c r="D417" s="40" t="s">
        <v>118</v>
      </c>
      <c r="E417" s="40"/>
      <c r="F417" s="5"/>
      <c r="G417" s="10">
        <f t="shared" ref="G417:H418" si="58">G418</f>
        <v>0</v>
      </c>
      <c r="H417" s="10">
        <f t="shared" si="58"/>
        <v>0</v>
      </c>
    </row>
    <row r="418" spans="1:8" ht="47.25" hidden="1" x14ac:dyDescent="0.25">
      <c r="A418" s="29" t="s">
        <v>272</v>
      </c>
      <c r="B418" s="20" t="s">
        <v>1330</v>
      </c>
      <c r="C418" s="40" t="s">
        <v>491</v>
      </c>
      <c r="D418" s="40" t="s">
        <v>118</v>
      </c>
      <c r="E418" s="40" t="s">
        <v>273</v>
      </c>
      <c r="F418" s="5"/>
      <c r="G418" s="10">
        <f t="shared" si="58"/>
        <v>0</v>
      </c>
      <c r="H418" s="10">
        <f t="shared" si="58"/>
        <v>0</v>
      </c>
    </row>
    <row r="419" spans="1:8" ht="15.75" hidden="1" x14ac:dyDescent="0.25">
      <c r="A419" s="29" t="s">
        <v>274</v>
      </c>
      <c r="B419" s="20" t="s">
        <v>1330</v>
      </c>
      <c r="C419" s="40" t="s">
        <v>491</v>
      </c>
      <c r="D419" s="40" t="s">
        <v>118</v>
      </c>
      <c r="E419" s="40" t="s">
        <v>275</v>
      </c>
      <c r="F419" s="5"/>
      <c r="G419" s="10">
        <f>'пр.4.1.ведом.22-23'!G774</f>
        <v>0</v>
      </c>
      <c r="H419" s="10">
        <f>'пр.4.1.ведом.22-23'!H774</f>
        <v>0</v>
      </c>
    </row>
    <row r="420" spans="1:8" ht="47.25" hidden="1" x14ac:dyDescent="0.25">
      <c r="A420" s="45" t="s">
        <v>480</v>
      </c>
      <c r="B420" s="20" t="s">
        <v>1330</v>
      </c>
      <c r="C420" s="40" t="s">
        <v>491</v>
      </c>
      <c r="D420" s="40" t="s">
        <v>118</v>
      </c>
      <c r="E420" s="40" t="s">
        <v>275</v>
      </c>
      <c r="F420" s="5">
        <v>907</v>
      </c>
      <c r="G420" s="10">
        <f>G419</f>
        <v>0</v>
      </c>
      <c r="H420" s="10">
        <f>H419</f>
        <v>0</v>
      </c>
    </row>
    <row r="421" spans="1:8" ht="31.5" hidden="1" x14ac:dyDescent="0.25">
      <c r="A421" s="29" t="s">
        <v>280</v>
      </c>
      <c r="B421" s="20" t="s">
        <v>1331</v>
      </c>
      <c r="C421" s="40" t="s">
        <v>491</v>
      </c>
      <c r="D421" s="40" t="s">
        <v>118</v>
      </c>
      <c r="E421" s="40"/>
      <c r="F421" s="5"/>
      <c r="G421" s="10">
        <f t="shared" ref="G421:H422" si="59">G422</f>
        <v>0</v>
      </c>
      <c r="H421" s="10">
        <f t="shared" si="59"/>
        <v>0</v>
      </c>
    </row>
    <row r="422" spans="1:8" ht="47.25" hidden="1" x14ac:dyDescent="0.25">
      <c r="A422" s="29" t="s">
        <v>272</v>
      </c>
      <c r="B422" s="20" t="s">
        <v>1331</v>
      </c>
      <c r="C422" s="40" t="s">
        <v>491</v>
      </c>
      <c r="D422" s="40" t="s">
        <v>118</v>
      </c>
      <c r="E422" s="40" t="s">
        <v>273</v>
      </c>
      <c r="F422" s="5"/>
      <c r="G422" s="10">
        <f t="shared" si="59"/>
        <v>0</v>
      </c>
      <c r="H422" s="10">
        <f t="shared" si="59"/>
        <v>0</v>
      </c>
    </row>
    <row r="423" spans="1:8" ht="15.75" hidden="1" x14ac:dyDescent="0.25">
      <c r="A423" s="29" t="s">
        <v>274</v>
      </c>
      <c r="B423" s="20" t="s">
        <v>1331</v>
      </c>
      <c r="C423" s="40" t="s">
        <v>491</v>
      </c>
      <c r="D423" s="40" t="s">
        <v>118</v>
      </c>
      <c r="E423" s="40" t="s">
        <v>275</v>
      </c>
      <c r="F423" s="5"/>
      <c r="G423" s="10">
        <f>'пр.4.1.ведом.22-23'!G777</f>
        <v>0</v>
      </c>
      <c r="H423" s="10">
        <f>'пр.4.1.ведом.22-23'!H777</f>
        <v>0</v>
      </c>
    </row>
    <row r="424" spans="1:8" ht="47.25" hidden="1" x14ac:dyDescent="0.25">
      <c r="A424" s="45" t="s">
        <v>480</v>
      </c>
      <c r="B424" s="20" t="s">
        <v>1331</v>
      </c>
      <c r="C424" s="40" t="s">
        <v>491</v>
      </c>
      <c r="D424" s="40" t="s">
        <v>118</v>
      </c>
      <c r="E424" s="40" t="s">
        <v>275</v>
      </c>
      <c r="F424" s="5">
        <v>907</v>
      </c>
      <c r="G424" s="10">
        <f>G423</f>
        <v>0</v>
      </c>
      <c r="H424" s="10">
        <f>H423</f>
        <v>0</v>
      </c>
    </row>
    <row r="425" spans="1:8" ht="15.75" x14ac:dyDescent="0.25">
      <c r="A425" s="25" t="s">
        <v>830</v>
      </c>
      <c r="B425" s="20" t="s">
        <v>1271</v>
      </c>
      <c r="C425" s="40" t="s">
        <v>491</v>
      </c>
      <c r="D425" s="40" t="s">
        <v>118</v>
      </c>
      <c r="E425" s="40"/>
      <c r="F425" s="5"/>
      <c r="G425" s="10">
        <f>G426</f>
        <v>36</v>
      </c>
      <c r="H425" s="10">
        <f>H426</f>
        <v>36</v>
      </c>
    </row>
    <row r="426" spans="1:8" ht="47.25" x14ac:dyDescent="0.25">
      <c r="A426" s="25" t="s">
        <v>272</v>
      </c>
      <c r="B426" s="20" t="s">
        <v>1271</v>
      </c>
      <c r="C426" s="40" t="s">
        <v>491</v>
      </c>
      <c r="D426" s="40" t="s">
        <v>118</v>
      </c>
      <c r="E426" s="40" t="s">
        <v>273</v>
      </c>
      <c r="F426" s="5"/>
      <c r="G426" s="10">
        <f>G427</f>
        <v>36</v>
      </c>
      <c r="H426" s="10">
        <f>H427</f>
        <v>36</v>
      </c>
    </row>
    <row r="427" spans="1:8" ht="15.75" x14ac:dyDescent="0.25">
      <c r="A427" s="25" t="s">
        <v>274</v>
      </c>
      <c r="B427" s="20" t="s">
        <v>1271</v>
      </c>
      <c r="C427" s="40" t="s">
        <v>491</v>
      </c>
      <c r="D427" s="40" t="s">
        <v>118</v>
      </c>
      <c r="E427" s="40" t="s">
        <v>275</v>
      </c>
      <c r="F427" s="5"/>
      <c r="G427" s="10">
        <f>'пр.4.1.ведом.22-23'!G781</f>
        <v>36</v>
      </c>
      <c r="H427" s="10">
        <f>'пр.4.1.ведом.22-23'!H781</f>
        <v>36</v>
      </c>
    </row>
    <row r="428" spans="1:8" ht="47.25" x14ac:dyDescent="0.25">
      <c r="A428" s="45" t="s">
        <v>480</v>
      </c>
      <c r="B428" s="20" t="s">
        <v>1271</v>
      </c>
      <c r="C428" s="40" t="s">
        <v>491</v>
      </c>
      <c r="D428" s="40" t="s">
        <v>118</v>
      </c>
      <c r="E428" s="40" t="s">
        <v>275</v>
      </c>
      <c r="F428" s="5">
        <v>907</v>
      </c>
      <c r="G428" s="10">
        <f>G427</f>
        <v>36</v>
      </c>
      <c r="H428" s="10">
        <f>H427</f>
        <v>36</v>
      </c>
    </row>
    <row r="429" spans="1:8" ht="47.25" x14ac:dyDescent="0.25">
      <c r="A429" s="23" t="s">
        <v>947</v>
      </c>
      <c r="B429" s="24" t="s">
        <v>1272</v>
      </c>
      <c r="C429" s="7"/>
      <c r="D429" s="7"/>
      <c r="E429" s="7"/>
      <c r="F429" s="194"/>
      <c r="G429" s="59">
        <f>G430</f>
        <v>1204</v>
      </c>
      <c r="H429" s="59">
        <f>H430</f>
        <v>1204</v>
      </c>
    </row>
    <row r="430" spans="1:8" ht="15.75" x14ac:dyDescent="0.25">
      <c r="A430" s="29" t="s">
        <v>490</v>
      </c>
      <c r="B430" s="20" t="s">
        <v>1272</v>
      </c>
      <c r="C430" s="2">
        <v>11</v>
      </c>
      <c r="D430" s="68"/>
      <c r="E430" s="68"/>
      <c r="F430" s="68"/>
      <c r="G430" s="10">
        <f t="shared" ref="G430:H430" si="60">G431</f>
        <v>1204</v>
      </c>
      <c r="H430" s="10">
        <f t="shared" si="60"/>
        <v>1204</v>
      </c>
    </row>
    <row r="431" spans="1:8" ht="16.5" x14ac:dyDescent="0.25">
      <c r="A431" s="29" t="s">
        <v>492</v>
      </c>
      <c r="B431" s="20" t="s">
        <v>1272</v>
      </c>
      <c r="C431" s="40" t="s">
        <v>491</v>
      </c>
      <c r="D431" s="40" t="s">
        <v>118</v>
      </c>
      <c r="E431" s="71"/>
      <c r="F431" s="5"/>
      <c r="G431" s="10">
        <f>G432+G436</f>
        <v>1204</v>
      </c>
      <c r="H431" s="10">
        <f>H432+H436</f>
        <v>1204</v>
      </c>
    </row>
    <row r="432" spans="1:8" ht="31.5" hidden="1" x14ac:dyDescent="0.25">
      <c r="A432" s="29" t="s">
        <v>284</v>
      </c>
      <c r="B432" s="20" t="s">
        <v>1310</v>
      </c>
      <c r="C432" s="40" t="s">
        <v>491</v>
      </c>
      <c r="D432" s="40" t="s">
        <v>118</v>
      </c>
      <c r="E432" s="40"/>
      <c r="F432" s="5"/>
      <c r="G432" s="10">
        <f t="shared" ref="G432:H433" si="61">G433</f>
        <v>0</v>
      </c>
      <c r="H432" s="10">
        <f t="shared" si="61"/>
        <v>0</v>
      </c>
    </row>
    <row r="433" spans="1:8" ht="47.25" hidden="1" x14ac:dyDescent="0.25">
      <c r="A433" s="29" t="s">
        <v>272</v>
      </c>
      <c r="B433" s="20" t="s">
        <v>1310</v>
      </c>
      <c r="C433" s="40" t="s">
        <v>491</v>
      </c>
      <c r="D433" s="40" t="s">
        <v>118</v>
      </c>
      <c r="E433" s="40" t="s">
        <v>273</v>
      </c>
      <c r="F433" s="5"/>
      <c r="G433" s="10">
        <f t="shared" si="61"/>
        <v>0</v>
      </c>
      <c r="H433" s="10">
        <f t="shared" si="61"/>
        <v>0</v>
      </c>
    </row>
    <row r="434" spans="1:8" ht="15.75" hidden="1" x14ac:dyDescent="0.25">
      <c r="A434" s="29" t="s">
        <v>274</v>
      </c>
      <c r="B434" s="20" t="s">
        <v>1310</v>
      </c>
      <c r="C434" s="40" t="s">
        <v>491</v>
      </c>
      <c r="D434" s="40" t="s">
        <v>118</v>
      </c>
      <c r="E434" s="40" t="s">
        <v>275</v>
      </c>
      <c r="F434" s="5"/>
      <c r="G434" s="10">
        <f>'пр.4.1.ведом.22-23'!G785</f>
        <v>0</v>
      </c>
      <c r="H434" s="10">
        <f>'пр.4.1.ведом.22-23'!H785</f>
        <v>0</v>
      </c>
    </row>
    <row r="435" spans="1:8" ht="47.25" hidden="1" x14ac:dyDescent="0.25">
      <c r="A435" s="45" t="s">
        <v>480</v>
      </c>
      <c r="B435" s="20" t="s">
        <v>1310</v>
      </c>
      <c r="C435" s="40" t="s">
        <v>491</v>
      </c>
      <c r="D435" s="40" t="s">
        <v>118</v>
      </c>
      <c r="E435" s="40" t="s">
        <v>275</v>
      </c>
      <c r="F435" s="5">
        <v>907</v>
      </c>
      <c r="G435" s="10">
        <f>G434</f>
        <v>0</v>
      </c>
      <c r="H435" s="10">
        <f>H434</f>
        <v>0</v>
      </c>
    </row>
    <row r="436" spans="1:8" ht="47.25" x14ac:dyDescent="0.25">
      <c r="A436" s="45" t="s">
        <v>764</v>
      </c>
      <c r="B436" s="20" t="s">
        <v>1273</v>
      </c>
      <c r="C436" s="40" t="s">
        <v>491</v>
      </c>
      <c r="D436" s="40" t="s">
        <v>118</v>
      </c>
      <c r="E436" s="40"/>
      <c r="F436" s="5"/>
      <c r="G436" s="10">
        <f t="shared" ref="G436:H437" si="62">G437</f>
        <v>1204</v>
      </c>
      <c r="H436" s="10">
        <f t="shared" si="62"/>
        <v>1204</v>
      </c>
    </row>
    <row r="437" spans="1:8" ht="47.25" x14ac:dyDescent="0.25">
      <c r="A437" s="31" t="s">
        <v>272</v>
      </c>
      <c r="B437" s="20" t="s">
        <v>1273</v>
      </c>
      <c r="C437" s="40" t="s">
        <v>491</v>
      </c>
      <c r="D437" s="40" t="s">
        <v>118</v>
      </c>
      <c r="E437" s="40" t="s">
        <v>273</v>
      </c>
      <c r="F437" s="5"/>
      <c r="G437" s="10">
        <f t="shared" si="62"/>
        <v>1204</v>
      </c>
      <c r="H437" s="10">
        <f t="shared" si="62"/>
        <v>1204</v>
      </c>
    </row>
    <row r="438" spans="1:8" ht="15.75" x14ac:dyDescent="0.25">
      <c r="A438" s="31" t="s">
        <v>274</v>
      </c>
      <c r="B438" s="20" t="s">
        <v>1273</v>
      </c>
      <c r="C438" s="40" t="s">
        <v>491</v>
      </c>
      <c r="D438" s="40" t="s">
        <v>118</v>
      </c>
      <c r="E438" s="40" t="s">
        <v>275</v>
      </c>
      <c r="F438" s="5"/>
      <c r="G438" s="10">
        <f>'пр.4.1.ведом.22-23'!G788</f>
        <v>1204</v>
      </c>
      <c r="H438" s="10">
        <f>'пр.4.1.ведом.22-23'!H788</f>
        <v>1204</v>
      </c>
    </row>
    <row r="439" spans="1:8" ht="47.25" x14ac:dyDescent="0.25">
      <c r="A439" s="45" t="s">
        <v>480</v>
      </c>
      <c r="B439" s="20" t="s">
        <v>1273</v>
      </c>
      <c r="C439" s="40" t="s">
        <v>491</v>
      </c>
      <c r="D439" s="40" t="s">
        <v>118</v>
      </c>
      <c r="E439" s="40" t="s">
        <v>275</v>
      </c>
      <c r="F439" s="5">
        <v>907</v>
      </c>
      <c r="G439" s="10">
        <f>G438</f>
        <v>1204</v>
      </c>
      <c r="H439" s="10">
        <f>H438</f>
        <v>1204</v>
      </c>
    </row>
    <row r="440" spans="1:8" ht="47.25" x14ac:dyDescent="0.25">
      <c r="A440" s="23" t="s">
        <v>900</v>
      </c>
      <c r="B440" s="24" t="s">
        <v>1274</v>
      </c>
      <c r="C440" s="7"/>
      <c r="D440" s="7"/>
      <c r="E440" s="7"/>
      <c r="F440" s="194"/>
      <c r="G440" s="59">
        <f>G441</f>
        <v>813.5</v>
      </c>
      <c r="H440" s="59">
        <f>H441</f>
        <v>813.5</v>
      </c>
    </row>
    <row r="441" spans="1:8" ht="15.75" x14ac:dyDescent="0.25">
      <c r="A441" s="29" t="s">
        <v>490</v>
      </c>
      <c r="B441" s="20" t="s">
        <v>1274</v>
      </c>
      <c r="C441" s="2">
        <v>11</v>
      </c>
      <c r="D441" s="68"/>
      <c r="E441" s="68"/>
      <c r="F441" s="68"/>
      <c r="G441" s="10">
        <f t="shared" ref="G441:H441" si="63">G442</f>
        <v>813.5</v>
      </c>
      <c r="H441" s="10">
        <f t="shared" si="63"/>
        <v>813.5</v>
      </c>
    </row>
    <row r="442" spans="1:8" ht="16.5" x14ac:dyDescent="0.25">
      <c r="A442" s="29" t="s">
        <v>492</v>
      </c>
      <c r="B442" s="20" t="s">
        <v>1274</v>
      </c>
      <c r="C442" s="40" t="s">
        <v>491</v>
      </c>
      <c r="D442" s="40" t="s">
        <v>118</v>
      </c>
      <c r="E442" s="71"/>
      <c r="F442" s="5"/>
      <c r="G442" s="10">
        <f t="shared" ref="G442:H444" si="64">G443</f>
        <v>813.5</v>
      </c>
      <c r="H442" s="10">
        <f t="shared" si="64"/>
        <v>813.5</v>
      </c>
    </row>
    <row r="443" spans="1:8" ht="110.25" x14ac:dyDescent="0.25">
      <c r="A443" s="31" t="s">
        <v>464</v>
      </c>
      <c r="B443" s="20" t="s">
        <v>1413</v>
      </c>
      <c r="C443" s="40" t="s">
        <v>491</v>
      </c>
      <c r="D443" s="40" t="s">
        <v>118</v>
      </c>
      <c r="E443" s="40"/>
      <c r="F443" s="5"/>
      <c r="G443" s="10">
        <f t="shared" si="64"/>
        <v>813.5</v>
      </c>
      <c r="H443" s="10">
        <f t="shared" si="64"/>
        <v>813.5</v>
      </c>
    </row>
    <row r="444" spans="1:8" ht="47.25" x14ac:dyDescent="0.25">
      <c r="A444" s="25" t="s">
        <v>272</v>
      </c>
      <c r="B444" s="20" t="s">
        <v>1413</v>
      </c>
      <c r="C444" s="40" t="s">
        <v>491</v>
      </c>
      <c r="D444" s="40" t="s">
        <v>118</v>
      </c>
      <c r="E444" s="40" t="s">
        <v>273</v>
      </c>
      <c r="F444" s="5"/>
      <c r="G444" s="10">
        <f t="shared" si="64"/>
        <v>813.5</v>
      </c>
      <c r="H444" s="10">
        <f t="shared" si="64"/>
        <v>813.5</v>
      </c>
    </row>
    <row r="445" spans="1:8" ht="15.75" x14ac:dyDescent="0.25">
      <c r="A445" s="25" t="s">
        <v>274</v>
      </c>
      <c r="B445" s="20" t="s">
        <v>1413</v>
      </c>
      <c r="C445" s="40" t="s">
        <v>491</v>
      </c>
      <c r="D445" s="40" t="s">
        <v>118</v>
      </c>
      <c r="E445" s="40" t="s">
        <v>275</v>
      </c>
      <c r="F445" s="5"/>
      <c r="G445" s="10">
        <f>'пр.4.1.ведом.22-23'!G792</f>
        <v>813.5</v>
      </c>
      <c r="H445" s="10">
        <f>'пр.4.1.ведом.22-23'!H792</f>
        <v>813.5</v>
      </c>
    </row>
    <row r="446" spans="1:8" ht="47.25" x14ac:dyDescent="0.25">
      <c r="A446" s="45" t="s">
        <v>480</v>
      </c>
      <c r="B446" s="20" t="s">
        <v>1413</v>
      </c>
      <c r="C446" s="40" t="s">
        <v>491</v>
      </c>
      <c r="D446" s="40" t="s">
        <v>118</v>
      </c>
      <c r="E446" s="40" t="s">
        <v>275</v>
      </c>
      <c r="F446" s="5">
        <v>907</v>
      </c>
      <c r="G446" s="10">
        <f>G445</f>
        <v>813.5</v>
      </c>
      <c r="H446" s="10">
        <f>H445</f>
        <v>813.5</v>
      </c>
    </row>
    <row r="447" spans="1:8" ht="37.5" customHeight="1" x14ac:dyDescent="0.25">
      <c r="A447" s="58" t="s">
        <v>951</v>
      </c>
      <c r="B447" s="7" t="s">
        <v>1276</v>
      </c>
      <c r="C447" s="7"/>
      <c r="D447" s="7"/>
      <c r="E447" s="7"/>
      <c r="F447" s="194"/>
      <c r="G447" s="4">
        <f t="shared" ref="G447:H449" si="65">G448</f>
        <v>3000</v>
      </c>
      <c r="H447" s="4">
        <f t="shared" si="65"/>
        <v>3000</v>
      </c>
    </row>
    <row r="448" spans="1:8" ht="15.75" x14ac:dyDescent="0.25">
      <c r="A448" s="29" t="s">
        <v>490</v>
      </c>
      <c r="B448" s="40" t="s">
        <v>1276</v>
      </c>
      <c r="C448" s="40" t="s">
        <v>491</v>
      </c>
      <c r="D448" s="40"/>
      <c r="E448" s="40"/>
      <c r="F448" s="5"/>
      <c r="G448" s="6">
        <f t="shared" si="65"/>
        <v>3000</v>
      </c>
      <c r="H448" s="6">
        <f t="shared" si="65"/>
        <v>3000</v>
      </c>
    </row>
    <row r="449" spans="1:12" ht="31.5" x14ac:dyDescent="0.25">
      <c r="A449" s="25" t="s">
        <v>500</v>
      </c>
      <c r="B449" s="40" t="s">
        <v>1276</v>
      </c>
      <c r="C449" s="40" t="s">
        <v>491</v>
      </c>
      <c r="D449" s="40" t="s">
        <v>234</v>
      </c>
      <c r="E449" s="40"/>
      <c r="F449" s="5"/>
      <c r="G449" s="6">
        <f t="shared" si="65"/>
        <v>3000</v>
      </c>
      <c r="H449" s="6">
        <f t="shared" si="65"/>
        <v>3000</v>
      </c>
    </row>
    <row r="450" spans="1:12" ht="31.5" x14ac:dyDescent="0.25">
      <c r="A450" s="29" t="s">
        <v>952</v>
      </c>
      <c r="B450" s="40" t="s">
        <v>1277</v>
      </c>
      <c r="C450" s="40" t="s">
        <v>491</v>
      </c>
      <c r="D450" s="40" t="s">
        <v>234</v>
      </c>
      <c r="E450" s="40"/>
      <c r="F450" s="5"/>
      <c r="G450" s="6">
        <f>G451+G454</f>
        <v>3000</v>
      </c>
      <c r="H450" s="6">
        <f>H451+H454</f>
        <v>3000</v>
      </c>
    </row>
    <row r="451" spans="1:12" ht="94.5" x14ac:dyDescent="0.25">
      <c r="A451" s="25" t="s">
        <v>127</v>
      </c>
      <c r="B451" s="40" t="s">
        <v>1277</v>
      </c>
      <c r="C451" s="40" t="s">
        <v>491</v>
      </c>
      <c r="D451" s="40" t="s">
        <v>234</v>
      </c>
      <c r="E451" s="40" t="s">
        <v>128</v>
      </c>
      <c r="F451" s="5"/>
      <c r="G451" s="6">
        <f t="shared" ref="G451:H451" si="66">G452</f>
        <v>2500</v>
      </c>
      <c r="H451" s="6">
        <f t="shared" si="66"/>
        <v>2500</v>
      </c>
    </row>
    <row r="452" spans="1:12" ht="31.5" x14ac:dyDescent="0.25">
      <c r="A452" s="25" t="s">
        <v>342</v>
      </c>
      <c r="B452" s="40" t="s">
        <v>1277</v>
      </c>
      <c r="C452" s="40" t="s">
        <v>491</v>
      </c>
      <c r="D452" s="40" t="s">
        <v>234</v>
      </c>
      <c r="E452" s="40" t="s">
        <v>209</v>
      </c>
      <c r="F452" s="5"/>
      <c r="G452" s="6">
        <f>'пр.4.1.ведом.22-23'!G828</f>
        <v>2500</v>
      </c>
      <c r="H452" s="6">
        <f>'пр.4.1.ведом.22-23'!H828</f>
        <v>2500</v>
      </c>
    </row>
    <row r="453" spans="1:12" ht="47.25" x14ac:dyDescent="0.25">
      <c r="A453" s="45" t="s">
        <v>480</v>
      </c>
      <c r="B453" s="40" t="s">
        <v>1277</v>
      </c>
      <c r="C453" s="40" t="s">
        <v>491</v>
      </c>
      <c r="D453" s="40" t="s">
        <v>234</v>
      </c>
      <c r="E453" s="40" t="s">
        <v>209</v>
      </c>
      <c r="F453" s="5">
        <v>907</v>
      </c>
      <c r="G453" s="10">
        <f>G452</f>
        <v>2500</v>
      </c>
      <c r="H453" s="10">
        <f>H452</f>
        <v>2500</v>
      </c>
    </row>
    <row r="454" spans="1:12" ht="31.5" x14ac:dyDescent="0.25">
      <c r="A454" s="29" t="s">
        <v>131</v>
      </c>
      <c r="B454" s="40" t="s">
        <v>1277</v>
      </c>
      <c r="C454" s="40" t="s">
        <v>491</v>
      </c>
      <c r="D454" s="40" t="s">
        <v>234</v>
      </c>
      <c r="E454" s="40" t="s">
        <v>132</v>
      </c>
      <c r="F454" s="5"/>
      <c r="G454" s="6">
        <f t="shared" ref="G454:H454" si="67">G455</f>
        <v>500</v>
      </c>
      <c r="H454" s="6">
        <f t="shared" si="67"/>
        <v>500</v>
      </c>
    </row>
    <row r="455" spans="1:12" ht="47.25" x14ac:dyDescent="0.25">
      <c r="A455" s="29" t="s">
        <v>133</v>
      </c>
      <c r="B455" s="40" t="s">
        <v>1277</v>
      </c>
      <c r="C455" s="40" t="s">
        <v>491</v>
      </c>
      <c r="D455" s="40" t="s">
        <v>234</v>
      </c>
      <c r="E455" s="40" t="s">
        <v>134</v>
      </c>
      <c r="F455" s="5"/>
      <c r="G455" s="6">
        <f>'пр.4.1.ведом.22-23'!G830</f>
        <v>500</v>
      </c>
      <c r="H455" s="6">
        <f>'пр.4.1.ведом.22-23'!H830</f>
        <v>500</v>
      </c>
    </row>
    <row r="456" spans="1:12" ht="47.25" x14ac:dyDescent="0.25">
      <c r="A456" s="45" t="s">
        <v>480</v>
      </c>
      <c r="B456" s="40" t="s">
        <v>1277</v>
      </c>
      <c r="C456" s="40" t="s">
        <v>491</v>
      </c>
      <c r="D456" s="40" t="s">
        <v>234</v>
      </c>
      <c r="E456" s="40" t="s">
        <v>134</v>
      </c>
      <c r="F456" s="5">
        <v>907</v>
      </c>
      <c r="G456" s="10">
        <f>G455</f>
        <v>500</v>
      </c>
      <c r="H456" s="10">
        <f>H455</f>
        <v>500</v>
      </c>
    </row>
    <row r="457" spans="1:12" s="203" customFormat="1" ht="78.75" hidden="1" x14ac:dyDescent="0.25">
      <c r="A457" s="23" t="s">
        <v>1339</v>
      </c>
      <c r="B457" s="24" t="s">
        <v>1275</v>
      </c>
      <c r="C457" s="7"/>
      <c r="D457" s="7"/>
      <c r="E457" s="7"/>
      <c r="F457" s="194"/>
      <c r="G457" s="59">
        <f>G458</f>
        <v>769.23</v>
      </c>
      <c r="H457" s="10"/>
    </row>
    <row r="458" spans="1:12" s="203" customFormat="1" ht="15.75" hidden="1" x14ac:dyDescent="0.25">
      <c r="A458" s="29" t="s">
        <v>490</v>
      </c>
      <c r="B458" s="20" t="s">
        <v>1275</v>
      </c>
      <c r="C458" s="40" t="s">
        <v>491</v>
      </c>
      <c r="D458" s="40"/>
      <c r="E458" s="40"/>
      <c r="F458" s="5"/>
      <c r="G458" s="10">
        <f>G459</f>
        <v>769.23</v>
      </c>
      <c r="H458" s="10"/>
    </row>
    <row r="459" spans="1:12" s="203" customFormat="1" ht="15.75" hidden="1" x14ac:dyDescent="0.25">
      <c r="A459" s="29" t="s">
        <v>492</v>
      </c>
      <c r="B459" s="20" t="s">
        <v>1275</v>
      </c>
      <c r="C459" s="40" t="s">
        <v>491</v>
      </c>
      <c r="D459" s="40" t="s">
        <v>118</v>
      </c>
      <c r="E459" s="40"/>
      <c r="F459" s="5"/>
      <c r="G459" s="10">
        <f>G460</f>
        <v>769.23</v>
      </c>
      <c r="H459" s="10"/>
    </row>
    <row r="460" spans="1:12" s="203" customFormat="1" ht="63" hidden="1" x14ac:dyDescent="0.25">
      <c r="A460" s="25" t="s">
        <v>1198</v>
      </c>
      <c r="B460" s="20" t="s">
        <v>1332</v>
      </c>
      <c r="C460" s="40" t="s">
        <v>491</v>
      </c>
      <c r="D460" s="40" t="s">
        <v>118</v>
      </c>
      <c r="E460" s="40"/>
      <c r="F460" s="5"/>
      <c r="G460" s="10">
        <f>G461</f>
        <v>769.23</v>
      </c>
      <c r="H460" s="10"/>
    </row>
    <row r="461" spans="1:12" s="203" customFormat="1" ht="47.25" hidden="1" x14ac:dyDescent="0.25">
      <c r="A461" s="25" t="s">
        <v>272</v>
      </c>
      <c r="B461" s="20" t="s">
        <v>1332</v>
      </c>
      <c r="C461" s="40" t="s">
        <v>491</v>
      </c>
      <c r="D461" s="40" t="s">
        <v>118</v>
      </c>
      <c r="E461" s="40" t="s">
        <v>273</v>
      </c>
      <c r="F461" s="5"/>
      <c r="G461" s="10">
        <f>G462</f>
        <v>769.23</v>
      </c>
      <c r="H461" s="10"/>
    </row>
    <row r="462" spans="1:12" s="203" customFormat="1" ht="15.75" hidden="1" x14ac:dyDescent="0.25">
      <c r="A462" s="25" t="s">
        <v>274</v>
      </c>
      <c r="B462" s="20" t="s">
        <v>1332</v>
      </c>
      <c r="C462" s="40" t="s">
        <v>491</v>
      </c>
      <c r="D462" s="40" t="s">
        <v>118</v>
      </c>
      <c r="E462" s="40" t="s">
        <v>275</v>
      </c>
      <c r="F462" s="5"/>
      <c r="G462" s="10">
        <f>'Пр.4 ведом.21'!G918</f>
        <v>769.23</v>
      </c>
      <c r="H462" s="10"/>
    </row>
    <row r="463" spans="1:12" s="203" customFormat="1" ht="47.25" hidden="1" x14ac:dyDescent="0.25">
      <c r="A463" s="45" t="s">
        <v>480</v>
      </c>
      <c r="B463" s="20" t="s">
        <v>1332</v>
      </c>
      <c r="C463" s="40" t="s">
        <v>491</v>
      </c>
      <c r="D463" s="40" t="s">
        <v>118</v>
      </c>
      <c r="E463" s="40" t="s">
        <v>275</v>
      </c>
      <c r="F463" s="5">
        <v>907</v>
      </c>
      <c r="G463" s="10">
        <f>G457</f>
        <v>769.23</v>
      </c>
      <c r="H463" s="10"/>
    </row>
    <row r="464" spans="1:12" ht="47.25" x14ac:dyDescent="0.25">
      <c r="A464" s="41" t="s">
        <v>1362</v>
      </c>
      <c r="B464" s="7" t="s">
        <v>267</v>
      </c>
      <c r="C464" s="72"/>
      <c r="D464" s="72"/>
      <c r="E464" s="72"/>
      <c r="F464" s="3"/>
      <c r="G464" s="59">
        <f>G465+G502+G525+G544+G569+G576+G583+G590</f>
        <v>81484.889999999985</v>
      </c>
      <c r="H464" s="59">
        <f>H465+H502+H525+H544+H569+H576+H583+H590</f>
        <v>83991.089999999982</v>
      </c>
      <c r="I464">
        <v>81484.899999999994</v>
      </c>
      <c r="J464" s="22">
        <f>I464-G464</f>
        <v>1.0000000009313226E-2</v>
      </c>
      <c r="K464">
        <v>82684.899999999994</v>
      </c>
      <c r="L464" s="22">
        <f>K464-H464</f>
        <v>-1306.1899999999878</v>
      </c>
    </row>
    <row r="465" spans="1:8" ht="47.25" x14ac:dyDescent="0.25">
      <c r="A465" s="23" t="s">
        <v>1304</v>
      </c>
      <c r="B465" s="24" t="s">
        <v>1208</v>
      </c>
      <c r="C465" s="7"/>
      <c r="D465" s="7"/>
      <c r="E465" s="7"/>
      <c r="F465" s="3"/>
      <c r="G465" s="59">
        <f>G466+G478+G490</f>
        <v>73216.789999999994</v>
      </c>
      <c r="H465" s="59">
        <f>H466+H478+H490</f>
        <v>73216.789999999994</v>
      </c>
    </row>
    <row r="466" spans="1:8" s="203" customFormat="1" ht="15.75" x14ac:dyDescent="0.25">
      <c r="A466" s="25" t="s">
        <v>263</v>
      </c>
      <c r="B466" s="20" t="s">
        <v>1208</v>
      </c>
      <c r="C466" s="40" t="s">
        <v>264</v>
      </c>
      <c r="D466" s="40"/>
      <c r="E466" s="40"/>
      <c r="F466" s="2"/>
      <c r="G466" s="10">
        <f>G467</f>
        <v>15854.01</v>
      </c>
      <c r="H466" s="10">
        <f>H467</f>
        <v>15854.01</v>
      </c>
    </row>
    <row r="467" spans="1:8" s="203" customFormat="1" ht="15.75" x14ac:dyDescent="0.25">
      <c r="A467" s="25" t="s">
        <v>265</v>
      </c>
      <c r="B467" s="20" t="s">
        <v>1208</v>
      </c>
      <c r="C467" s="40" t="s">
        <v>264</v>
      </c>
      <c r="D467" s="40" t="s">
        <v>215</v>
      </c>
      <c r="E467" s="40"/>
      <c r="F467" s="2"/>
      <c r="G467" s="10">
        <f>G468</f>
        <v>15854.01</v>
      </c>
      <c r="H467" s="10">
        <f>H468</f>
        <v>15854.01</v>
      </c>
    </row>
    <row r="468" spans="1:8" s="203" customFormat="1" ht="31.5" x14ac:dyDescent="0.25">
      <c r="A468" s="25" t="s">
        <v>800</v>
      </c>
      <c r="B468" s="20" t="s">
        <v>1209</v>
      </c>
      <c r="C468" s="40" t="s">
        <v>264</v>
      </c>
      <c r="D468" s="40" t="s">
        <v>215</v>
      </c>
      <c r="E468" s="40"/>
      <c r="F468" s="2"/>
      <c r="G468" s="10">
        <f>G469+G472+G475</f>
        <v>15854.01</v>
      </c>
      <c r="H468" s="10">
        <f>H469+H472+H475</f>
        <v>15854.01</v>
      </c>
    </row>
    <row r="469" spans="1:8" s="203" customFormat="1" ht="94.5" x14ac:dyDescent="0.25">
      <c r="A469" s="25" t="s">
        <v>127</v>
      </c>
      <c r="B469" s="20" t="s">
        <v>1209</v>
      </c>
      <c r="C469" s="40" t="s">
        <v>264</v>
      </c>
      <c r="D469" s="40" t="s">
        <v>215</v>
      </c>
      <c r="E469" s="20" t="s">
        <v>128</v>
      </c>
      <c r="F469" s="2"/>
      <c r="G469" s="10">
        <f>G470</f>
        <v>14172.31</v>
      </c>
      <c r="H469" s="10">
        <f>H470</f>
        <v>14172.31</v>
      </c>
    </row>
    <row r="470" spans="1:8" s="203" customFormat="1" ht="31.5" x14ac:dyDescent="0.25">
      <c r="A470" s="46" t="s">
        <v>342</v>
      </c>
      <c r="B470" s="20" t="s">
        <v>1209</v>
      </c>
      <c r="C470" s="40" t="s">
        <v>264</v>
      </c>
      <c r="D470" s="40" t="s">
        <v>215</v>
      </c>
      <c r="E470" s="20" t="s">
        <v>209</v>
      </c>
      <c r="F470" s="2"/>
      <c r="G470" s="10">
        <f>'пр.4.1.ведом.22-23'!G299</f>
        <v>14172.31</v>
      </c>
      <c r="H470" s="10">
        <f>'пр.4.1.ведом.22-23'!H299</f>
        <v>14172.31</v>
      </c>
    </row>
    <row r="471" spans="1:8" s="203" customFormat="1" ht="47.25" x14ac:dyDescent="0.25">
      <c r="A471" s="45" t="s">
        <v>261</v>
      </c>
      <c r="B471" s="20" t="s">
        <v>1209</v>
      </c>
      <c r="C471" s="40" t="s">
        <v>264</v>
      </c>
      <c r="D471" s="40" t="s">
        <v>215</v>
      </c>
      <c r="E471" s="20" t="s">
        <v>209</v>
      </c>
      <c r="F471" s="2">
        <v>903</v>
      </c>
      <c r="G471" s="10">
        <f>G470</f>
        <v>14172.31</v>
      </c>
      <c r="H471" s="10">
        <f>H470</f>
        <v>14172.31</v>
      </c>
    </row>
    <row r="472" spans="1:8" s="203" customFormat="1" ht="31.5" x14ac:dyDescent="0.25">
      <c r="A472" s="25" t="s">
        <v>131</v>
      </c>
      <c r="B472" s="20" t="s">
        <v>1209</v>
      </c>
      <c r="C472" s="40" t="s">
        <v>264</v>
      </c>
      <c r="D472" s="40" t="s">
        <v>215</v>
      </c>
      <c r="E472" s="20" t="s">
        <v>132</v>
      </c>
      <c r="F472" s="2"/>
      <c r="G472" s="10">
        <f>G473</f>
        <v>1603.7</v>
      </c>
      <c r="H472" s="10">
        <f>H473</f>
        <v>1603.7</v>
      </c>
    </row>
    <row r="473" spans="1:8" s="203" customFormat="1" ht="47.25" x14ac:dyDescent="0.25">
      <c r="A473" s="25" t="s">
        <v>133</v>
      </c>
      <c r="B473" s="20" t="s">
        <v>1209</v>
      </c>
      <c r="C473" s="40" t="s">
        <v>264</v>
      </c>
      <c r="D473" s="40" t="s">
        <v>215</v>
      </c>
      <c r="E473" s="20" t="s">
        <v>134</v>
      </c>
      <c r="F473" s="2"/>
      <c r="G473" s="10">
        <f>'пр.4.1.ведом.22-23'!G301</f>
        <v>1603.7</v>
      </c>
      <c r="H473" s="10">
        <f>'пр.4.1.ведом.22-23'!H301</f>
        <v>1603.7</v>
      </c>
    </row>
    <row r="474" spans="1:8" s="203" customFormat="1" ht="47.25" x14ac:dyDescent="0.25">
      <c r="A474" s="45" t="s">
        <v>261</v>
      </c>
      <c r="B474" s="20" t="s">
        <v>1209</v>
      </c>
      <c r="C474" s="40" t="s">
        <v>264</v>
      </c>
      <c r="D474" s="40" t="s">
        <v>215</v>
      </c>
      <c r="E474" s="20" t="s">
        <v>134</v>
      </c>
      <c r="F474" s="2">
        <v>903</v>
      </c>
      <c r="G474" s="10">
        <f>G473</f>
        <v>1603.7</v>
      </c>
      <c r="H474" s="10">
        <f>H473</f>
        <v>1603.7</v>
      </c>
    </row>
    <row r="475" spans="1:8" s="203" customFormat="1" ht="15.75" x14ac:dyDescent="0.25">
      <c r="A475" s="25" t="s">
        <v>135</v>
      </c>
      <c r="B475" s="20" t="s">
        <v>1209</v>
      </c>
      <c r="C475" s="40" t="s">
        <v>264</v>
      </c>
      <c r="D475" s="40" t="s">
        <v>215</v>
      </c>
      <c r="E475" s="20" t="s">
        <v>145</v>
      </c>
      <c r="F475" s="2"/>
      <c r="G475" s="10">
        <f>G476</f>
        <v>78</v>
      </c>
      <c r="H475" s="10">
        <f>H476</f>
        <v>78</v>
      </c>
    </row>
    <row r="476" spans="1:8" s="203" customFormat="1" ht="15.75" x14ac:dyDescent="0.25">
      <c r="A476" s="25" t="s">
        <v>704</v>
      </c>
      <c r="B476" s="20" t="s">
        <v>1209</v>
      </c>
      <c r="C476" s="40" t="s">
        <v>264</v>
      </c>
      <c r="D476" s="40" t="s">
        <v>215</v>
      </c>
      <c r="E476" s="20" t="s">
        <v>138</v>
      </c>
      <c r="F476" s="2"/>
      <c r="G476" s="10">
        <f>'пр.4.1.ведом.22-23'!G303</f>
        <v>78</v>
      </c>
      <c r="H476" s="10">
        <f>'пр.4.1.ведом.22-23'!H303</f>
        <v>78</v>
      </c>
    </row>
    <row r="477" spans="1:8" s="203" customFormat="1" ht="47.25" x14ac:dyDescent="0.25">
      <c r="A477" s="45" t="s">
        <v>261</v>
      </c>
      <c r="B477" s="20" t="s">
        <v>1209</v>
      </c>
      <c r="C477" s="40" t="s">
        <v>264</v>
      </c>
      <c r="D477" s="40" t="s">
        <v>215</v>
      </c>
      <c r="E477" s="20" t="s">
        <v>138</v>
      </c>
      <c r="F477" s="2">
        <v>903</v>
      </c>
      <c r="G477" s="10">
        <f>G476</f>
        <v>78</v>
      </c>
      <c r="H477" s="10">
        <f>H476</f>
        <v>78</v>
      </c>
    </row>
    <row r="478" spans="1:8" ht="15.75" x14ac:dyDescent="0.25">
      <c r="A478" s="73" t="s">
        <v>298</v>
      </c>
      <c r="B478" s="20" t="s">
        <v>1208</v>
      </c>
      <c r="C478" s="40" t="s">
        <v>299</v>
      </c>
      <c r="D478" s="73"/>
      <c r="E478" s="73"/>
      <c r="F478" s="2"/>
      <c r="G478" s="10">
        <f t="shared" ref="G478:H479" si="68">G479</f>
        <v>51840.479999999996</v>
      </c>
      <c r="H478" s="10">
        <f t="shared" si="68"/>
        <v>51840.479999999996</v>
      </c>
    </row>
    <row r="479" spans="1:8" ht="15.75" x14ac:dyDescent="0.25">
      <c r="A479" s="73" t="s">
        <v>300</v>
      </c>
      <c r="B479" s="20" t="s">
        <v>1208</v>
      </c>
      <c r="C479" s="40" t="s">
        <v>299</v>
      </c>
      <c r="D479" s="40" t="s">
        <v>118</v>
      </c>
      <c r="E479" s="73"/>
      <c r="F479" s="2"/>
      <c r="G479" s="10">
        <f t="shared" si="68"/>
        <v>51840.479999999996</v>
      </c>
      <c r="H479" s="10">
        <f t="shared" si="68"/>
        <v>51840.479999999996</v>
      </c>
    </row>
    <row r="480" spans="1:8" ht="31.5" x14ac:dyDescent="0.25">
      <c r="A480" s="25" t="s">
        <v>800</v>
      </c>
      <c r="B480" s="20" t="s">
        <v>1209</v>
      </c>
      <c r="C480" s="40" t="s">
        <v>299</v>
      </c>
      <c r="D480" s="40" t="s">
        <v>118</v>
      </c>
      <c r="E480" s="40"/>
      <c r="F480" s="2"/>
      <c r="G480" s="10">
        <f>G481+G484+G487</f>
        <v>51840.479999999996</v>
      </c>
      <c r="H480" s="10">
        <f>H481+H484+H487</f>
        <v>51840.479999999996</v>
      </c>
    </row>
    <row r="481" spans="1:8" ht="94.5" x14ac:dyDescent="0.25">
      <c r="A481" s="25" t="s">
        <v>127</v>
      </c>
      <c r="B481" s="20" t="s">
        <v>1209</v>
      </c>
      <c r="C481" s="40" t="s">
        <v>299</v>
      </c>
      <c r="D481" s="40" t="s">
        <v>118</v>
      </c>
      <c r="E481" s="40" t="s">
        <v>128</v>
      </c>
      <c r="F481" s="2"/>
      <c r="G481" s="10">
        <f>G482</f>
        <v>43271.28</v>
      </c>
      <c r="H481" s="10">
        <f>H482</f>
        <v>43271.28</v>
      </c>
    </row>
    <row r="482" spans="1:8" ht="31.5" x14ac:dyDescent="0.25">
      <c r="A482" s="25" t="s">
        <v>208</v>
      </c>
      <c r="B482" s="20" t="s">
        <v>1209</v>
      </c>
      <c r="C482" s="40" t="s">
        <v>299</v>
      </c>
      <c r="D482" s="40" t="s">
        <v>118</v>
      </c>
      <c r="E482" s="40" t="s">
        <v>209</v>
      </c>
      <c r="F482" s="2"/>
      <c r="G482" s="10">
        <f>'пр.4.1.ведом.22-23'!G363</f>
        <v>43271.28</v>
      </c>
      <c r="H482" s="10">
        <f>'пр.4.1.ведом.22-23'!H363</f>
        <v>43271.28</v>
      </c>
    </row>
    <row r="483" spans="1:8" ht="47.25" x14ac:dyDescent="0.25">
      <c r="A483" s="45" t="s">
        <v>261</v>
      </c>
      <c r="B483" s="20" t="s">
        <v>1209</v>
      </c>
      <c r="C483" s="40" t="s">
        <v>299</v>
      </c>
      <c r="D483" s="40" t="s">
        <v>118</v>
      </c>
      <c r="E483" s="40" t="s">
        <v>209</v>
      </c>
      <c r="F483" s="2">
        <v>903</v>
      </c>
      <c r="G483" s="10">
        <f>G482</f>
        <v>43271.28</v>
      </c>
      <c r="H483" s="10">
        <f>H482</f>
        <v>43271.28</v>
      </c>
    </row>
    <row r="484" spans="1:8" ht="31.5" x14ac:dyDescent="0.25">
      <c r="A484" s="25" t="s">
        <v>131</v>
      </c>
      <c r="B484" s="20" t="s">
        <v>1209</v>
      </c>
      <c r="C484" s="40" t="s">
        <v>299</v>
      </c>
      <c r="D484" s="40" t="s">
        <v>118</v>
      </c>
      <c r="E484" s="40" t="s">
        <v>132</v>
      </c>
      <c r="F484" s="2"/>
      <c r="G484" s="10">
        <f>G485</f>
        <v>8506.2000000000007</v>
      </c>
      <c r="H484" s="10">
        <f>H485</f>
        <v>8506.2000000000007</v>
      </c>
    </row>
    <row r="485" spans="1:8" ht="47.25" x14ac:dyDescent="0.25">
      <c r="A485" s="25" t="s">
        <v>133</v>
      </c>
      <c r="B485" s="20" t="s">
        <v>1209</v>
      </c>
      <c r="C485" s="40" t="s">
        <v>299</v>
      </c>
      <c r="D485" s="40" t="s">
        <v>118</v>
      </c>
      <c r="E485" s="40" t="s">
        <v>134</v>
      </c>
      <c r="F485" s="2"/>
      <c r="G485" s="10">
        <f>'пр.4.1.ведом.22-23'!G365</f>
        <v>8506.2000000000007</v>
      </c>
      <c r="H485" s="10">
        <f>'пр.4.1.ведом.22-23'!H365</f>
        <v>8506.2000000000007</v>
      </c>
    </row>
    <row r="486" spans="1:8" ht="47.25" x14ac:dyDescent="0.25">
      <c r="A486" s="45" t="s">
        <v>261</v>
      </c>
      <c r="B486" s="20" t="s">
        <v>1209</v>
      </c>
      <c r="C486" s="40" t="s">
        <v>299</v>
      </c>
      <c r="D486" s="40" t="s">
        <v>118</v>
      </c>
      <c r="E486" s="40" t="s">
        <v>134</v>
      </c>
      <c r="F486" s="2">
        <v>903</v>
      </c>
      <c r="G486" s="10">
        <f>G485</f>
        <v>8506.2000000000007</v>
      </c>
      <c r="H486" s="10">
        <f>H485</f>
        <v>8506.2000000000007</v>
      </c>
    </row>
    <row r="487" spans="1:8" ht="15.75" x14ac:dyDescent="0.25">
      <c r="A487" s="25" t="s">
        <v>135</v>
      </c>
      <c r="B487" s="20" t="s">
        <v>1209</v>
      </c>
      <c r="C487" s="40" t="s">
        <v>299</v>
      </c>
      <c r="D487" s="40" t="s">
        <v>118</v>
      </c>
      <c r="E487" s="40" t="s">
        <v>145</v>
      </c>
      <c r="F487" s="2"/>
      <c r="G487" s="10">
        <f>G488</f>
        <v>63</v>
      </c>
      <c r="H487" s="10">
        <f>H488</f>
        <v>63</v>
      </c>
    </row>
    <row r="488" spans="1:8" ht="15.75" x14ac:dyDescent="0.25">
      <c r="A488" s="25" t="s">
        <v>137</v>
      </c>
      <c r="B488" s="20" t="s">
        <v>1209</v>
      </c>
      <c r="C488" s="40" t="s">
        <v>299</v>
      </c>
      <c r="D488" s="40" t="s">
        <v>118</v>
      </c>
      <c r="E488" s="40" t="s">
        <v>138</v>
      </c>
      <c r="F488" s="2"/>
      <c r="G488" s="10">
        <f>'пр.4.1.ведом.22-23'!G367</f>
        <v>63</v>
      </c>
      <c r="H488" s="10">
        <f>'пр.4.1.ведом.22-23'!H367</f>
        <v>63</v>
      </c>
    </row>
    <row r="489" spans="1:8" ht="47.25" x14ac:dyDescent="0.25">
      <c r="A489" s="45" t="s">
        <v>261</v>
      </c>
      <c r="B489" s="20" t="s">
        <v>1209</v>
      </c>
      <c r="C489" s="40" t="s">
        <v>299</v>
      </c>
      <c r="D489" s="40" t="s">
        <v>118</v>
      </c>
      <c r="E489" s="40" t="s">
        <v>138</v>
      </c>
      <c r="F489" s="2">
        <v>903</v>
      </c>
      <c r="G489" s="10">
        <f>G488</f>
        <v>63</v>
      </c>
      <c r="H489" s="10">
        <f>H488</f>
        <v>63</v>
      </c>
    </row>
    <row r="490" spans="1:8" s="203" customFormat="1" ht="15.75" x14ac:dyDescent="0.25">
      <c r="A490" s="25" t="s">
        <v>582</v>
      </c>
      <c r="B490" s="20" t="s">
        <v>1208</v>
      </c>
      <c r="C490" s="40" t="s">
        <v>238</v>
      </c>
      <c r="D490" s="73"/>
      <c r="E490" s="73"/>
      <c r="F490" s="2"/>
      <c r="G490" s="10">
        <f>G491</f>
        <v>5522.3</v>
      </c>
      <c r="H490" s="10">
        <f>H491</f>
        <v>5522.3</v>
      </c>
    </row>
    <row r="491" spans="1:8" s="203" customFormat="1" ht="15.75" x14ac:dyDescent="0.25">
      <c r="A491" s="25" t="s">
        <v>583</v>
      </c>
      <c r="B491" s="20" t="s">
        <v>1208</v>
      </c>
      <c r="C491" s="40" t="s">
        <v>238</v>
      </c>
      <c r="D491" s="40" t="s">
        <v>213</v>
      </c>
      <c r="E491" s="73"/>
      <c r="F491" s="2"/>
      <c r="G491" s="10">
        <f>G492</f>
        <v>5522.3</v>
      </c>
      <c r="H491" s="10">
        <f>H492</f>
        <v>5522.3</v>
      </c>
    </row>
    <row r="492" spans="1:8" s="203" customFormat="1" ht="31.5" x14ac:dyDescent="0.25">
      <c r="A492" s="25" t="s">
        <v>800</v>
      </c>
      <c r="B492" s="20" t="s">
        <v>1209</v>
      </c>
      <c r="C492" s="40" t="s">
        <v>238</v>
      </c>
      <c r="D492" s="40" t="s">
        <v>213</v>
      </c>
      <c r="E492" s="40"/>
      <c r="F492" s="2"/>
      <c r="G492" s="10">
        <f>G493+G496+G499</f>
        <v>5522.3</v>
      </c>
      <c r="H492" s="10">
        <f>H493+H496+H499</f>
        <v>5522.3</v>
      </c>
    </row>
    <row r="493" spans="1:8" s="203" customFormat="1" ht="94.5" x14ac:dyDescent="0.25">
      <c r="A493" s="25" t="s">
        <v>127</v>
      </c>
      <c r="B493" s="20" t="s">
        <v>1209</v>
      </c>
      <c r="C493" s="40" t="s">
        <v>238</v>
      </c>
      <c r="D493" s="40" t="s">
        <v>213</v>
      </c>
      <c r="E493" s="40" t="s">
        <v>128</v>
      </c>
      <c r="F493" s="2"/>
      <c r="G493" s="10">
        <f>G494</f>
        <v>4897.2</v>
      </c>
      <c r="H493" s="10">
        <f>H494</f>
        <v>4897.2</v>
      </c>
    </row>
    <row r="494" spans="1:8" s="203" customFormat="1" ht="31.5" x14ac:dyDescent="0.25">
      <c r="A494" s="25" t="s">
        <v>208</v>
      </c>
      <c r="B494" s="20" t="s">
        <v>1209</v>
      </c>
      <c r="C494" s="40" t="s">
        <v>238</v>
      </c>
      <c r="D494" s="40" t="s">
        <v>213</v>
      </c>
      <c r="E494" s="40" t="s">
        <v>209</v>
      </c>
      <c r="F494" s="2"/>
      <c r="G494" s="10">
        <f>'пр.4.1.ведом.22-23'!G474</f>
        <v>4897.2</v>
      </c>
      <c r="H494" s="10">
        <f>'пр.4.1.ведом.22-23'!H474</f>
        <v>4897.2</v>
      </c>
    </row>
    <row r="495" spans="1:8" s="203" customFormat="1" ht="47.25" x14ac:dyDescent="0.25">
      <c r="A495" s="45" t="s">
        <v>261</v>
      </c>
      <c r="B495" s="20" t="s">
        <v>1209</v>
      </c>
      <c r="C495" s="40" t="s">
        <v>238</v>
      </c>
      <c r="D495" s="40" t="s">
        <v>213</v>
      </c>
      <c r="E495" s="40" t="s">
        <v>209</v>
      </c>
      <c r="F495" s="2">
        <v>903</v>
      </c>
      <c r="G495" s="10">
        <f>G494</f>
        <v>4897.2</v>
      </c>
      <c r="H495" s="10">
        <f>H494</f>
        <v>4897.2</v>
      </c>
    </row>
    <row r="496" spans="1:8" s="203" customFormat="1" ht="31.5" x14ac:dyDescent="0.25">
      <c r="A496" s="25" t="s">
        <v>131</v>
      </c>
      <c r="B496" s="20" t="s">
        <v>1209</v>
      </c>
      <c r="C496" s="40" t="s">
        <v>238</v>
      </c>
      <c r="D496" s="40" t="s">
        <v>213</v>
      </c>
      <c r="E496" s="40" t="s">
        <v>132</v>
      </c>
      <c r="F496" s="2"/>
      <c r="G496" s="10">
        <f>G497</f>
        <v>595.1</v>
      </c>
      <c r="H496" s="10">
        <f>H497</f>
        <v>595.1</v>
      </c>
    </row>
    <row r="497" spans="1:8" s="203" customFormat="1" ht="47.25" x14ac:dyDescent="0.25">
      <c r="A497" s="25" t="s">
        <v>133</v>
      </c>
      <c r="B497" s="20" t="s">
        <v>1209</v>
      </c>
      <c r="C497" s="40" t="s">
        <v>238</v>
      </c>
      <c r="D497" s="40" t="s">
        <v>213</v>
      </c>
      <c r="E497" s="40" t="s">
        <v>134</v>
      </c>
      <c r="F497" s="2"/>
      <c r="G497" s="10">
        <f>'пр.4.1.ведом.22-23'!G476</f>
        <v>595.1</v>
      </c>
      <c r="H497" s="10">
        <f>'пр.4.1.ведом.22-23'!H476</f>
        <v>595.1</v>
      </c>
    </row>
    <row r="498" spans="1:8" s="203" customFormat="1" ht="47.25" x14ac:dyDescent="0.25">
      <c r="A498" s="45" t="s">
        <v>261</v>
      </c>
      <c r="B498" s="20" t="s">
        <v>1209</v>
      </c>
      <c r="C498" s="40" t="s">
        <v>238</v>
      </c>
      <c r="D498" s="40" t="s">
        <v>213</v>
      </c>
      <c r="E498" s="40" t="s">
        <v>134</v>
      </c>
      <c r="F498" s="2">
        <v>903</v>
      </c>
      <c r="G498" s="10">
        <f>G497</f>
        <v>595.1</v>
      </c>
      <c r="H498" s="10">
        <f>H497</f>
        <v>595.1</v>
      </c>
    </row>
    <row r="499" spans="1:8" s="203" customFormat="1" ht="15.75" x14ac:dyDescent="0.25">
      <c r="A499" s="25" t="s">
        <v>135</v>
      </c>
      <c r="B499" s="20" t="s">
        <v>1209</v>
      </c>
      <c r="C499" s="40" t="s">
        <v>238</v>
      </c>
      <c r="D499" s="40" t="s">
        <v>213</v>
      </c>
      <c r="E499" s="40" t="s">
        <v>145</v>
      </c>
      <c r="F499" s="2"/>
      <c r="G499" s="10">
        <f>G500</f>
        <v>30</v>
      </c>
      <c r="H499" s="10">
        <f>H500</f>
        <v>30</v>
      </c>
    </row>
    <row r="500" spans="1:8" s="203" customFormat="1" ht="15.75" x14ac:dyDescent="0.25">
      <c r="A500" s="25" t="s">
        <v>137</v>
      </c>
      <c r="B500" s="20" t="s">
        <v>1209</v>
      </c>
      <c r="C500" s="40" t="s">
        <v>238</v>
      </c>
      <c r="D500" s="40" t="s">
        <v>213</v>
      </c>
      <c r="E500" s="40" t="s">
        <v>138</v>
      </c>
      <c r="F500" s="2"/>
      <c r="G500" s="10">
        <f>'пр.4.1.ведом.22-23'!G478</f>
        <v>30</v>
      </c>
      <c r="H500" s="10">
        <f>'пр.4.1.ведом.22-23'!H478</f>
        <v>30</v>
      </c>
    </row>
    <row r="501" spans="1:8" s="203" customFormat="1" ht="47.25" x14ac:dyDescent="0.25">
      <c r="A501" s="45" t="s">
        <v>261</v>
      </c>
      <c r="B501" s="20" t="s">
        <v>1209</v>
      </c>
      <c r="C501" s="40" t="s">
        <v>238</v>
      </c>
      <c r="D501" s="40" t="s">
        <v>213</v>
      </c>
      <c r="E501" s="40" t="s">
        <v>138</v>
      </c>
      <c r="F501" s="2">
        <v>903</v>
      </c>
      <c r="G501" s="10">
        <f>G500</f>
        <v>30</v>
      </c>
      <c r="H501" s="10">
        <f>H500</f>
        <v>30</v>
      </c>
    </row>
    <row r="502" spans="1:8" ht="31.5" x14ac:dyDescent="0.25">
      <c r="A502" s="216" t="s">
        <v>1333</v>
      </c>
      <c r="B502" s="24" t="s">
        <v>1210</v>
      </c>
      <c r="C502" s="7"/>
      <c r="D502" s="7"/>
      <c r="E502" s="7"/>
      <c r="F502" s="3"/>
      <c r="G502" s="59">
        <f>G503+G516</f>
        <v>2675</v>
      </c>
      <c r="H502" s="59">
        <f>H503+H516</f>
        <v>2675</v>
      </c>
    </row>
    <row r="503" spans="1:8" s="203" customFormat="1" ht="15.75" x14ac:dyDescent="0.25">
      <c r="A503" s="25" t="s">
        <v>263</v>
      </c>
      <c r="B503" s="20" t="s">
        <v>1210</v>
      </c>
      <c r="C503" s="40" t="s">
        <v>264</v>
      </c>
      <c r="D503" s="40"/>
      <c r="E503" s="40"/>
      <c r="F503" s="2"/>
      <c r="G503" s="10">
        <f t="shared" ref="G503:H506" si="69">G504</f>
        <v>1295</v>
      </c>
      <c r="H503" s="10">
        <f t="shared" si="69"/>
        <v>1295</v>
      </c>
    </row>
    <row r="504" spans="1:8" s="203" customFormat="1" ht="15.75" x14ac:dyDescent="0.25">
      <c r="A504" s="25" t="s">
        <v>265</v>
      </c>
      <c r="B504" s="20" t="s">
        <v>1210</v>
      </c>
      <c r="C504" s="40" t="s">
        <v>264</v>
      </c>
      <c r="D504" s="40" t="s">
        <v>215</v>
      </c>
      <c r="E504" s="40"/>
      <c r="F504" s="2"/>
      <c r="G504" s="10">
        <f>G505+G509</f>
        <v>1295</v>
      </c>
      <c r="H504" s="10">
        <f>H505+H509</f>
        <v>1295</v>
      </c>
    </row>
    <row r="505" spans="1:8" s="203" customFormat="1" ht="31.5" x14ac:dyDescent="0.25">
      <c r="A505" s="195" t="s">
        <v>799</v>
      </c>
      <c r="B505" s="20" t="s">
        <v>1211</v>
      </c>
      <c r="C505" s="40" t="s">
        <v>264</v>
      </c>
      <c r="D505" s="40" t="s">
        <v>215</v>
      </c>
      <c r="E505" s="20"/>
      <c r="F505" s="2"/>
      <c r="G505" s="10">
        <f t="shared" si="69"/>
        <v>45</v>
      </c>
      <c r="H505" s="10">
        <f t="shared" si="69"/>
        <v>45</v>
      </c>
    </row>
    <row r="506" spans="1:8" s="203" customFormat="1" ht="31.5" x14ac:dyDescent="0.25">
      <c r="A506" s="25" t="s">
        <v>248</v>
      </c>
      <c r="B506" s="20" t="s">
        <v>1211</v>
      </c>
      <c r="C506" s="40" t="s">
        <v>264</v>
      </c>
      <c r="D506" s="40" t="s">
        <v>215</v>
      </c>
      <c r="E506" s="20" t="s">
        <v>249</v>
      </c>
      <c r="F506" s="2"/>
      <c r="G506" s="10">
        <f t="shared" si="69"/>
        <v>45</v>
      </c>
      <c r="H506" s="10">
        <f t="shared" si="69"/>
        <v>45</v>
      </c>
    </row>
    <row r="507" spans="1:8" s="203" customFormat="1" ht="15.75" x14ac:dyDescent="0.25">
      <c r="A507" s="25" t="s">
        <v>820</v>
      </c>
      <c r="B507" s="20" t="s">
        <v>1211</v>
      </c>
      <c r="C507" s="40" t="s">
        <v>264</v>
      </c>
      <c r="D507" s="40" t="s">
        <v>215</v>
      </c>
      <c r="E507" s="20" t="s">
        <v>819</v>
      </c>
      <c r="F507" s="2"/>
      <c r="G507" s="10">
        <f>'пр.4.1.ведом.22-23'!G307</f>
        <v>45</v>
      </c>
      <c r="H507" s="10">
        <f>'пр.4.1.ведом.22-23'!H307</f>
        <v>45</v>
      </c>
    </row>
    <row r="508" spans="1:8" s="203" customFormat="1" ht="47.25" x14ac:dyDescent="0.25">
      <c r="A508" s="45" t="s">
        <v>261</v>
      </c>
      <c r="B508" s="20" t="s">
        <v>1211</v>
      </c>
      <c r="C508" s="40" t="s">
        <v>264</v>
      </c>
      <c r="D508" s="40" t="s">
        <v>215</v>
      </c>
      <c r="E508" s="20" t="s">
        <v>819</v>
      </c>
      <c r="F508" s="2">
        <v>903</v>
      </c>
      <c r="G508" s="10">
        <f>G507</f>
        <v>45</v>
      </c>
      <c r="H508" s="10">
        <f>H507</f>
        <v>45</v>
      </c>
    </row>
    <row r="509" spans="1:8" s="203" customFormat="1" ht="47.25" x14ac:dyDescent="0.25">
      <c r="A509" s="31" t="s">
        <v>816</v>
      </c>
      <c r="B509" s="20" t="s">
        <v>1212</v>
      </c>
      <c r="C509" s="40" t="s">
        <v>264</v>
      </c>
      <c r="D509" s="40" t="s">
        <v>215</v>
      </c>
      <c r="E509" s="20"/>
      <c r="F509" s="2"/>
      <c r="G509" s="10">
        <f>G510+G513</f>
        <v>1250</v>
      </c>
      <c r="H509" s="10">
        <f>H510+H513</f>
        <v>1250</v>
      </c>
    </row>
    <row r="510" spans="1:8" s="203" customFormat="1" ht="94.5" x14ac:dyDescent="0.25">
      <c r="A510" s="25" t="s">
        <v>127</v>
      </c>
      <c r="B510" s="20" t="s">
        <v>1212</v>
      </c>
      <c r="C510" s="40" t="s">
        <v>264</v>
      </c>
      <c r="D510" s="40" t="s">
        <v>215</v>
      </c>
      <c r="E510" s="20" t="s">
        <v>128</v>
      </c>
      <c r="F510" s="2"/>
      <c r="G510" s="10">
        <f>G511</f>
        <v>1250</v>
      </c>
      <c r="H510" s="10">
        <f>H511</f>
        <v>1250</v>
      </c>
    </row>
    <row r="511" spans="1:8" s="203" customFormat="1" ht="31.5" x14ac:dyDescent="0.25">
      <c r="A511" s="46" t="s">
        <v>342</v>
      </c>
      <c r="B511" s="20" t="s">
        <v>1212</v>
      </c>
      <c r="C511" s="40" t="s">
        <v>264</v>
      </c>
      <c r="D511" s="40" t="s">
        <v>215</v>
      </c>
      <c r="E511" s="20" t="s">
        <v>209</v>
      </c>
      <c r="F511" s="2"/>
      <c r="G511" s="10">
        <f>'пр.4.1.ведом.22-23'!G310</f>
        <v>1250</v>
      </c>
      <c r="H511" s="10">
        <f>'пр.4.1.ведом.22-23'!H310</f>
        <v>1250</v>
      </c>
    </row>
    <row r="512" spans="1:8" s="203" customFormat="1" ht="47.25" x14ac:dyDescent="0.25">
      <c r="A512" s="45" t="s">
        <v>261</v>
      </c>
      <c r="B512" s="20" t="s">
        <v>1212</v>
      </c>
      <c r="C512" s="40" t="s">
        <v>264</v>
      </c>
      <c r="D512" s="40" t="s">
        <v>215</v>
      </c>
      <c r="E512" s="20" t="s">
        <v>209</v>
      </c>
      <c r="F512" s="2">
        <v>903</v>
      </c>
      <c r="G512" s="10">
        <f>G511</f>
        <v>1250</v>
      </c>
      <c r="H512" s="10">
        <f>H511</f>
        <v>1250</v>
      </c>
    </row>
    <row r="513" spans="1:8" s="203" customFormat="1" ht="31.5" hidden="1" x14ac:dyDescent="0.25">
      <c r="A513" s="25" t="s">
        <v>131</v>
      </c>
      <c r="B513" s="20" t="s">
        <v>1212</v>
      </c>
      <c r="C513" s="40" t="s">
        <v>264</v>
      </c>
      <c r="D513" s="40" t="s">
        <v>215</v>
      </c>
      <c r="E513" s="20" t="s">
        <v>132</v>
      </c>
      <c r="F513" s="2"/>
      <c r="G513" s="10">
        <f>G514</f>
        <v>0</v>
      </c>
      <c r="H513" s="10">
        <f>H514</f>
        <v>0</v>
      </c>
    </row>
    <row r="514" spans="1:8" s="203" customFormat="1" ht="47.25" hidden="1" x14ac:dyDescent="0.25">
      <c r="A514" s="25" t="s">
        <v>133</v>
      </c>
      <c r="B514" s="20" t="s">
        <v>1212</v>
      </c>
      <c r="C514" s="40" t="s">
        <v>264</v>
      </c>
      <c r="D514" s="40" t="s">
        <v>215</v>
      </c>
      <c r="E514" s="20" t="s">
        <v>134</v>
      </c>
      <c r="F514" s="2"/>
      <c r="G514" s="10">
        <f>'пр.4.1.ведом.22-23'!G312</f>
        <v>0</v>
      </c>
      <c r="H514" s="10">
        <f>'пр.4.1.ведом.22-23'!H312</f>
        <v>0</v>
      </c>
    </row>
    <row r="515" spans="1:8" s="203" customFormat="1" ht="47.25" hidden="1" x14ac:dyDescent="0.25">
      <c r="A515" s="45" t="s">
        <v>261</v>
      </c>
      <c r="B515" s="20" t="s">
        <v>1212</v>
      </c>
      <c r="C515" s="40" t="s">
        <v>264</v>
      </c>
      <c r="D515" s="40" t="s">
        <v>215</v>
      </c>
      <c r="E515" s="20" t="s">
        <v>134</v>
      </c>
      <c r="F515" s="2">
        <v>903</v>
      </c>
      <c r="G515" s="10">
        <f>G514</f>
        <v>0</v>
      </c>
      <c r="H515" s="10">
        <f>H514</f>
        <v>0</v>
      </c>
    </row>
    <row r="516" spans="1:8" ht="15.75" x14ac:dyDescent="0.25">
      <c r="A516" s="73" t="s">
        <v>298</v>
      </c>
      <c r="B516" s="20" t="s">
        <v>1210</v>
      </c>
      <c r="C516" s="40" t="s">
        <v>299</v>
      </c>
      <c r="D516" s="73"/>
      <c r="E516" s="73"/>
      <c r="F516" s="2"/>
      <c r="G516" s="10">
        <f>G517</f>
        <v>1380</v>
      </c>
      <c r="H516" s="10">
        <f>H517</f>
        <v>1380</v>
      </c>
    </row>
    <row r="517" spans="1:8" ht="15.75" x14ac:dyDescent="0.25">
      <c r="A517" s="73" t="s">
        <v>300</v>
      </c>
      <c r="B517" s="20" t="s">
        <v>1210</v>
      </c>
      <c r="C517" s="40" t="s">
        <v>299</v>
      </c>
      <c r="D517" s="40" t="s">
        <v>118</v>
      </c>
      <c r="E517" s="73"/>
      <c r="F517" s="2"/>
      <c r="G517" s="10">
        <f>G518</f>
        <v>1380</v>
      </c>
      <c r="H517" s="10">
        <f>H518</f>
        <v>1380</v>
      </c>
    </row>
    <row r="518" spans="1:8" ht="47.85" customHeight="1" x14ac:dyDescent="0.25">
      <c r="A518" s="31" t="s">
        <v>816</v>
      </c>
      <c r="B518" s="20" t="s">
        <v>1212</v>
      </c>
      <c r="C518" s="40" t="s">
        <v>299</v>
      </c>
      <c r="D518" s="40" t="s">
        <v>118</v>
      </c>
      <c r="E518" s="40"/>
      <c r="F518" s="2"/>
      <c r="G518" s="10">
        <f>G519+G522</f>
        <v>1380</v>
      </c>
      <c r="H518" s="10">
        <f>H519+H522</f>
        <v>1380</v>
      </c>
    </row>
    <row r="519" spans="1:8" ht="94.5" hidden="1" x14ac:dyDescent="0.25">
      <c r="A519" s="25" t="s">
        <v>127</v>
      </c>
      <c r="B519" s="20" t="s">
        <v>1212</v>
      </c>
      <c r="C519" s="40" t="s">
        <v>299</v>
      </c>
      <c r="D519" s="40" t="s">
        <v>118</v>
      </c>
      <c r="E519" s="40" t="s">
        <v>128</v>
      </c>
      <c r="F519" s="2"/>
      <c r="G519" s="10">
        <f>G520</f>
        <v>0</v>
      </c>
      <c r="H519" s="10">
        <f>H520</f>
        <v>0</v>
      </c>
    </row>
    <row r="520" spans="1:8" ht="31.5" hidden="1" x14ac:dyDescent="0.25">
      <c r="A520" s="25" t="s">
        <v>208</v>
      </c>
      <c r="B520" s="20" t="s">
        <v>1212</v>
      </c>
      <c r="C520" s="40" t="s">
        <v>299</v>
      </c>
      <c r="D520" s="40" t="s">
        <v>118</v>
      </c>
      <c r="E520" s="40" t="s">
        <v>209</v>
      </c>
      <c r="F520" s="2"/>
      <c r="G520" s="10">
        <f>'пр.4.1.ведом.22-23'!G371</f>
        <v>0</v>
      </c>
      <c r="H520" s="10">
        <f>'пр.4.1.ведом.22-23'!H371</f>
        <v>0</v>
      </c>
    </row>
    <row r="521" spans="1:8" ht="47.25" hidden="1" x14ac:dyDescent="0.25">
      <c r="A521" s="45" t="s">
        <v>261</v>
      </c>
      <c r="B521" s="20" t="s">
        <v>1212</v>
      </c>
      <c r="C521" s="40" t="s">
        <v>299</v>
      </c>
      <c r="D521" s="40" t="s">
        <v>118</v>
      </c>
      <c r="E521" s="40" t="s">
        <v>209</v>
      </c>
      <c r="F521" s="2">
        <v>903</v>
      </c>
      <c r="G521" s="10">
        <f>G520</f>
        <v>0</v>
      </c>
      <c r="H521" s="10">
        <f>H520</f>
        <v>0</v>
      </c>
    </row>
    <row r="522" spans="1:8" ht="31.5" x14ac:dyDescent="0.25">
      <c r="A522" s="25" t="s">
        <v>131</v>
      </c>
      <c r="B522" s="20" t="s">
        <v>1212</v>
      </c>
      <c r="C522" s="40" t="s">
        <v>299</v>
      </c>
      <c r="D522" s="40" t="s">
        <v>118</v>
      </c>
      <c r="E522" s="40" t="s">
        <v>132</v>
      </c>
      <c r="F522" s="2"/>
      <c r="G522" s="10">
        <f>G523</f>
        <v>1380</v>
      </c>
      <c r="H522" s="10">
        <f>H523</f>
        <v>1380</v>
      </c>
    </row>
    <row r="523" spans="1:8" ht="47.25" x14ac:dyDescent="0.25">
      <c r="A523" s="25" t="s">
        <v>133</v>
      </c>
      <c r="B523" s="20" t="s">
        <v>1212</v>
      </c>
      <c r="C523" s="40" t="s">
        <v>299</v>
      </c>
      <c r="D523" s="40" t="s">
        <v>118</v>
      </c>
      <c r="E523" s="40" t="s">
        <v>134</v>
      </c>
      <c r="F523" s="2"/>
      <c r="G523" s="10">
        <f>'пр.4.1.ведом.22-23'!G373</f>
        <v>1380</v>
      </c>
      <c r="H523" s="10">
        <f>'пр.4.1.ведом.22-23'!H373</f>
        <v>1380</v>
      </c>
    </row>
    <row r="524" spans="1:8" ht="47.25" x14ac:dyDescent="0.25">
      <c r="A524" s="45" t="s">
        <v>261</v>
      </c>
      <c r="B524" s="20" t="s">
        <v>1212</v>
      </c>
      <c r="C524" s="40" t="s">
        <v>299</v>
      </c>
      <c r="D524" s="40" t="s">
        <v>118</v>
      </c>
      <c r="E524" s="40" t="s">
        <v>134</v>
      </c>
      <c r="F524" s="2">
        <v>903</v>
      </c>
      <c r="G524" s="10">
        <f>G523</f>
        <v>1380</v>
      </c>
      <c r="H524" s="10">
        <f>H523</f>
        <v>1380</v>
      </c>
    </row>
    <row r="525" spans="1:8" ht="47.25" x14ac:dyDescent="0.25">
      <c r="A525" s="23" t="s">
        <v>947</v>
      </c>
      <c r="B525" s="24" t="s">
        <v>1213</v>
      </c>
      <c r="C525" s="7"/>
      <c r="D525" s="7"/>
      <c r="E525" s="7"/>
      <c r="F525" s="3"/>
      <c r="G525" s="59">
        <f>G526+G532+G538</f>
        <v>1657</v>
      </c>
      <c r="H525" s="59">
        <f>H526+H532+H538</f>
        <v>1657</v>
      </c>
    </row>
    <row r="526" spans="1:8" s="203" customFormat="1" ht="15.75" x14ac:dyDescent="0.25">
      <c r="A526" s="25" t="s">
        <v>263</v>
      </c>
      <c r="B526" s="20" t="s">
        <v>1213</v>
      </c>
      <c r="C526" s="40" t="s">
        <v>264</v>
      </c>
      <c r="D526" s="40"/>
      <c r="E526" s="40"/>
      <c r="F526" s="2"/>
      <c r="G526" s="10">
        <f t="shared" ref="G526:H529" si="70">G527</f>
        <v>506</v>
      </c>
      <c r="H526" s="10">
        <f t="shared" si="70"/>
        <v>506</v>
      </c>
    </row>
    <row r="527" spans="1:8" s="203" customFormat="1" ht="15.75" x14ac:dyDescent="0.25">
      <c r="A527" s="25" t="s">
        <v>265</v>
      </c>
      <c r="B527" s="20" t="s">
        <v>1213</v>
      </c>
      <c r="C527" s="40" t="s">
        <v>264</v>
      </c>
      <c r="D527" s="40" t="s">
        <v>215</v>
      </c>
      <c r="E527" s="40"/>
      <c r="F527" s="2"/>
      <c r="G527" s="10">
        <f t="shared" si="70"/>
        <v>506</v>
      </c>
      <c r="H527" s="10">
        <f t="shared" si="70"/>
        <v>506</v>
      </c>
    </row>
    <row r="528" spans="1:8" s="203" customFormat="1" ht="47.25" x14ac:dyDescent="0.25">
      <c r="A528" s="25" t="s">
        <v>839</v>
      </c>
      <c r="B528" s="20" t="s">
        <v>1214</v>
      </c>
      <c r="C528" s="40" t="s">
        <v>264</v>
      </c>
      <c r="D528" s="40" t="s">
        <v>215</v>
      </c>
      <c r="E528" s="20"/>
      <c r="F528" s="2"/>
      <c r="G528" s="10">
        <f t="shared" si="70"/>
        <v>506</v>
      </c>
      <c r="H528" s="10">
        <f t="shared" si="70"/>
        <v>506</v>
      </c>
    </row>
    <row r="529" spans="1:8" s="203" customFormat="1" ht="94.5" x14ac:dyDescent="0.25">
      <c r="A529" s="25" t="s">
        <v>127</v>
      </c>
      <c r="B529" s="20" t="s">
        <v>1214</v>
      </c>
      <c r="C529" s="40" t="s">
        <v>264</v>
      </c>
      <c r="D529" s="40" t="s">
        <v>215</v>
      </c>
      <c r="E529" s="20" t="s">
        <v>128</v>
      </c>
      <c r="F529" s="2"/>
      <c r="G529" s="10">
        <f t="shared" si="70"/>
        <v>506</v>
      </c>
      <c r="H529" s="10">
        <f t="shared" si="70"/>
        <v>506</v>
      </c>
    </row>
    <row r="530" spans="1:8" s="203" customFormat="1" ht="31.5" x14ac:dyDescent="0.25">
      <c r="A530" s="25" t="s">
        <v>129</v>
      </c>
      <c r="B530" s="20" t="s">
        <v>1214</v>
      </c>
      <c r="C530" s="40" t="s">
        <v>264</v>
      </c>
      <c r="D530" s="40" t="s">
        <v>215</v>
      </c>
      <c r="E530" s="20" t="s">
        <v>209</v>
      </c>
      <c r="F530" s="2"/>
      <c r="G530" s="10">
        <f>'пр.4.1.ведом.22-23'!G316</f>
        <v>506</v>
      </c>
      <c r="H530" s="10">
        <f>'пр.4.1.ведом.22-23'!H316</f>
        <v>506</v>
      </c>
    </row>
    <row r="531" spans="1:8" s="203" customFormat="1" ht="47.25" x14ac:dyDescent="0.25">
      <c r="A531" s="45" t="s">
        <v>261</v>
      </c>
      <c r="B531" s="20" t="s">
        <v>1214</v>
      </c>
      <c r="C531" s="40" t="s">
        <v>264</v>
      </c>
      <c r="D531" s="40" t="s">
        <v>215</v>
      </c>
      <c r="E531" s="20" t="s">
        <v>209</v>
      </c>
      <c r="F531" s="2">
        <v>903</v>
      </c>
      <c r="G531" s="10">
        <f>G530</f>
        <v>506</v>
      </c>
      <c r="H531" s="10">
        <f>H530</f>
        <v>506</v>
      </c>
    </row>
    <row r="532" spans="1:8" ht="15.75" x14ac:dyDescent="0.25">
      <c r="A532" s="73" t="s">
        <v>298</v>
      </c>
      <c r="B532" s="20" t="s">
        <v>1213</v>
      </c>
      <c r="C532" s="40" t="s">
        <v>299</v>
      </c>
      <c r="D532" s="73"/>
      <c r="E532" s="73"/>
      <c r="F532" s="2"/>
      <c r="G532" s="10">
        <f t="shared" ref="G532:H535" si="71">G533</f>
        <v>875</v>
      </c>
      <c r="H532" s="10">
        <f t="shared" si="71"/>
        <v>875</v>
      </c>
    </row>
    <row r="533" spans="1:8" ht="15.75" x14ac:dyDescent="0.25">
      <c r="A533" s="73" t="s">
        <v>300</v>
      </c>
      <c r="B533" s="20" t="s">
        <v>1213</v>
      </c>
      <c r="C533" s="40" t="s">
        <v>299</v>
      </c>
      <c r="D533" s="40" t="s">
        <v>118</v>
      </c>
      <c r="E533" s="73"/>
      <c r="F533" s="2"/>
      <c r="G533" s="10">
        <f t="shared" si="71"/>
        <v>875</v>
      </c>
      <c r="H533" s="10">
        <f t="shared" si="71"/>
        <v>875</v>
      </c>
    </row>
    <row r="534" spans="1:8" ht="47.25" x14ac:dyDescent="0.25">
      <c r="A534" s="25" t="s">
        <v>839</v>
      </c>
      <c r="B534" s="20" t="s">
        <v>1214</v>
      </c>
      <c r="C534" s="40" t="s">
        <v>299</v>
      </c>
      <c r="D534" s="40" t="s">
        <v>118</v>
      </c>
      <c r="E534" s="40"/>
      <c r="F534" s="2"/>
      <c r="G534" s="10">
        <f t="shared" si="71"/>
        <v>875</v>
      </c>
      <c r="H534" s="10">
        <f t="shared" si="71"/>
        <v>875</v>
      </c>
    </row>
    <row r="535" spans="1:8" ht="94.5" x14ac:dyDescent="0.25">
      <c r="A535" s="25" t="s">
        <v>127</v>
      </c>
      <c r="B535" s="20" t="s">
        <v>1214</v>
      </c>
      <c r="C535" s="40" t="s">
        <v>299</v>
      </c>
      <c r="D535" s="40" t="s">
        <v>118</v>
      </c>
      <c r="E535" s="40" t="s">
        <v>128</v>
      </c>
      <c r="F535" s="2"/>
      <c r="G535" s="10">
        <f t="shared" si="71"/>
        <v>875</v>
      </c>
      <c r="H535" s="10">
        <f t="shared" si="71"/>
        <v>875</v>
      </c>
    </row>
    <row r="536" spans="1:8" ht="31.5" x14ac:dyDescent="0.25">
      <c r="A536" s="25" t="s">
        <v>129</v>
      </c>
      <c r="B536" s="20" t="s">
        <v>1214</v>
      </c>
      <c r="C536" s="40" t="s">
        <v>299</v>
      </c>
      <c r="D536" s="40" t="s">
        <v>118</v>
      </c>
      <c r="E536" s="40" t="s">
        <v>209</v>
      </c>
      <c r="F536" s="2"/>
      <c r="G536" s="10">
        <f>'пр.4.1.ведом.22-23'!G377</f>
        <v>875</v>
      </c>
      <c r="H536" s="10">
        <f>'пр.4.1.ведом.22-23'!H377</f>
        <v>875</v>
      </c>
    </row>
    <row r="537" spans="1:8" ht="47.25" x14ac:dyDescent="0.25">
      <c r="A537" s="45" t="s">
        <v>261</v>
      </c>
      <c r="B537" s="20" t="s">
        <v>1214</v>
      </c>
      <c r="C537" s="40" t="s">
        <v>299</v>
      </c>
      <c r="D537" s="40" t="s">
        <v>118</v>
      </c>
      <c r="E537" s="40" t="s">
        <v>209</v>
      </c>
      <c r="F537" s="2">
        <v>903</v>
      </c>
      <c r="G537" s="10">
        <f>G536</f>
        <v>875</v>
      </c>
      <c r="H537" s="10">
        <f>H536</f>
        <v>875</v>
      </c>
    </row>
    <row r="538" spans="1:8" s="203" customFormat="1" ht="15.75" x14ac:dyDescent="0.25">
      <c r="A538" s="68" t="s">
        <v>582</v>
      </c>
      <c r="B538" s="20" t="s">
        <v>1213</v>
      </c>
      <c r="C538" s="40" t="s">
        <v>238</v>
      </c>
      <c r="D538" s="73"/>
      <c r="E538" s="73"/>
      <c r="F538" s="2"/>
      <c r="G538" s="10">
        <f t="shared" ref="G538:H541" si="72">G539</f>
        <v>276</v>
      </c>
      <c r="H538" s="10">
        <f t="shared" si="72"/>
        <v>276</v>
      </c>
    </row>
    <row r="539" spans="1:8" s="203" customFormat="1" ht="15.75" x14ac:dyDescent="0.25">
      <c r="A539" s="25" t="s">
        <v>583</v>
      </c>
      <c r="B539" s="20" t="s">
        <v>1213</v>
      </c>
      <c r="C539" s="40" t="s">
        <v>238</v>
      </c>
      <c r="D539" s="40" t="s">
        <v>213</v>
      </c>
      <c r="E539" s="73"/>
      <c r="F539" s="2"/>
      <c r="G539" s="10">
        <f t="shared" si="72"/>
        <v>276</v>
      </c>
      <c r="H539" s="10">
        <f t="shared" si="72"/>
        <v>276</v>
      </c>
    </row>
    <row r="540" spans="1:8" s="203" customFormat="1" ht="47.25" x14ac:dyDescent="0.25">
      <c r="A540" s="25" t="s">
        <v>839</v>
      </c>
      <c r="B540" s="20" t="s">
        <v>1214</v>
      </c>
      <c r="C540" s="40" t="s">
        <v>238</v>
      </c>
      <c r="D540" s="40" t="s">
        <v>213</v>
      </c>
      <c r="E540" s="40"/>
      <c r="F540" s="2"/>
      <c r="G540" s="10">
        <f t="shared" si="72"/>
        <v>276</v>
      </c>
      <c r="H540" s="10">
        <f t="shared" si="72"/>
        <v>276</v>
      </c>
    </row>
    <row r="541" spans="1:8" s="203" customFormat="1" ht="94.5" x14ac:dyDescent="0.25">
      <c r="A541" s="25" t="s">
        <v>127</v>
      </c>
      <c r="B541" s="20" t="s">
        <v>1214</v>
      </c>
      <c r="C541" s="40" t="s">
        <v>238</v>
      </c>
      <c r="D541" s="40" t="s">
        <v>213</v>
      </c>
      <c r="E541" s="40" t="s">
        <v>128</v>
      </c>
      <c r="F541" s="2"/>
      <c r="G541" s="10">
        <f t="shared" si="72"/>
        <v>276</v>
      </c>
      <c r="H541" s="10">
        <f t="shared" si="72"/>
        <v>276</v>
      </c>
    </row>
    <row r="542" spans="1:8" s="203" customFormat="1" ht="31.5" x14ac:dyDescent="0.25">
      <c r="A542" s="25" t="s">
        <v>129</v>
      </c>
      <c r="B542" s="20" t="s">
        <v>1214</v>
      </c>
      <c r="C542" s="40" t="s">
        <v>238</v>
      </c>
      <c r="D542" s="40" t="s">
        <v>213</v>
      </c>
      <c r="E542" s="40" t="s">
        <v>209</v>
      </c>
      <c r="F542" s="2"/>
      <c r="G542" s="10">
        <f>'пр.4.1.ведом.22-23'!G482</f>
        <v>276</v>
      </c>
      <c r="H542" s="10">
        <f>'пр.4.1.ведом.22-23'!H482</f>
        <v>276</v>
      </c>
    </row>
    <row r="543" spans="1:8" s="203" customFormat="1" ht="47.25" x14ac:dyDescent="0.25">
      <c r="A543" s="45" t="s">
        <v>261</v>
      </c>
      <c r="B543" s="20" t="s">
        <v>1214</v>
      </c>
      <c r="C543" s="40" t="s">
        <v>238</v>
      </c>
      <c r="D543" s="40" t="s">
        <v>213</v>
      </c>
      <c r="E543" s="40" t="s">
        <v>209</v>
      </c>
      <c r="F543" s="2">
        <v>903</v>
      </c>
      <c r="G543" s="10">
        <f>G542</f>
        <v>276</v>
      </c>
      <c r="H543" s="10">
        <f>H542</f>
        <v>276</v>
      </c>
    </row>
    <row r="544" spans="1:8" ht="47.25" x14ac:dyDescent="0.25">
      <c r="A544" s="217" t="s">
        <v>900</v>
      </c>
      <c r="B544" s="24" t="s">
        <v>1215</v>
      </c>
      <c r="C544" s="7"/>
      <c r="D544" s="7"/>
      <c r="E544" s="7"/>
      <c r="F544" s="3"/>
      <c r="G544" s="59">
        <f>G545+G559</f>
        <v>3517.4</v>
      </c>
      <c r="H544" s="59">
        <f>H545+H559</f>
        <v>3517.4</v>
      </c>
    </row>
    <row r="545" spans="1:8" s="203" customFormat="1" ht="15.75" x14ac:dyDescent="0.25">
      <c r="A545" s="25" t="s">
        <v>263</v>
      </c>
      <c r="B545" s="20" t="s">
        <v>1215</v>
      </c>
      <c r="C545" s="40" t="s">
        <v>264</v>
      </c>
      <c r="D545" s="40"/>
      <c r="E545" s="40"/>
      <c r="F545" s="2"/>
      <c r="G545" s="10">
        <f>G546</f>
        <v>1075.4000000000001</v>
      </c>
      <c r="H545" s="10">
        <f>H546</f>
        <v>1075.4000000000001</v>
      </c>
    </row>
    <row r="546" spans="1:8" s="203" customFormat="1" ht="15.75" x14ac:dyDescent="0.25">
      <c r="A546" s="25" t="s">
        <v>265</v>
      </c>
      <c r="B546" s="20" t="s">
        <v>1215</v>
      </c>
      <c r="C546" s="40" t="s">
        <v>264</v>
      </c>
      <c r="D546" s="40" t="s">
        <v>215</v>
      </c>
      <c r="E546" s="40"/>
      <c r="F546" s="2"/>
      <c r="G546" s="10">
        <f>G551+G555+G547</f>
        <v>1075.4000000000001</v>
      </c>
      <c r="H546" s="10">
        <f>H551+H555+H547</f>
        <v>1075.4000000000001</v>
      </c>
    </row>
    <row r="547" spans="1:8" s="203" customFormat="1" ht="110.25" x14ac:dyDescent="0.25">
      <c r="A547" s="31" t="s">
        <v>293</v>
      </c>
      <c r="B547" s="20" t="s">
        <v>1414</v>
      </c>
      <c r="C547" s="40" t="s">
        <v>264</v>
      </c>
      <c r="D547" s="40" t="s">
        <v>215</v>
      </c>
      <c r="E547" s="20"/>
      <c r="F547" s="2"/>
      <c r="G547" s="10">
        <f>G548</f>
        <v>671</v>
      </c>
      <c r="H547" s="10">
        <f>H548</f>
        <v>671</v>
      </c>
    </row>
    <row r="548" spans="1:8" s="203" customFormat="1" ht="94.5" x14ac:dyDescent="0.25">
      <c r="A548" s="25" t="s">
        <v>127</v>
      </c>
      <c r="B548" s="20" t="s">
        <v>1414</v>
      </c>
      <c r="C548" s="40" t="s">
        <v>264</v>
      </c>
      <c r="D548" s="40" t="s">
        <v>215</v>
      </c>
      <c r="E548" s="20" t="s">
        <v>128</v>
      </c>
      <c r="F548" s="2"/>
      <c r="G548" s="10">
        <f>G549</f>
        <v>671</v>
      </c>
      <c r="H548" s="10">
        <f>H549</f>
        <v>671</v>
      </c>
    </row>
    <row r="549" spans="1:8" s="203" customFormat="1" ht="31.5" x14ac:dyDescent="0.25">
      <c r="A549" s="46" t="s">
        <v>342</v>
      </c>
      <c r="B549" s="20" t="s">
        <v>1414</v>
      </c>
      <c r="C549" s="40" t="s">
        <v>264</v>
      </c>
      <c r="D549" s="40" t="s">
        <v>215</v>
      </c>
      <c r="E549" s="20" t="s">
        <v>209</v>
      </c>
      <c r="F549" s="2"/>
      <c r="G549" s="10">
        <f>'пр.4.1.ведом.22-23'!G320</f>
        <v>671</v>
      </c>
      <c r="H549" s="10">
        <f>'пр.4.1.ведом.22-23'!H320</f>
        <v>671</v>
      </c>
    </row>
    <row r="550" spans="1:8" s="203" customFormat="1" ht="47.25" x14ac:dyDescent="0.25">
      <c r="A550" s="45" t="s">
        <v>261</v>
      </c>
      <c r="B550" s="20" t="s">
        <v>1414</v>
      </c>
      <c r="C550" s="40" t="s">
        <v>264</v>
      </c>
      <c r="D550" s="40" t="s">
        <v>215</v>
      </c>
      <c r="E550" s="20" t="s">
        <v>209</v>
      </c>
      <c r="F550" s="2">
        <v>903</v>
      </c>
      <c r="G550" s="10">
        <f>G549</f>
        <v>671</v>
      </c>
      <c r="H550" s="10">
        <f>H549</f>
        <v>671</v>
      </c>
    </row>
    <row r="551" spans="1:8" s="203" customFormat="1" ht="78.75" x14ac:dyDescent="0.25">
      <c r="A551" s="31" t="s">
        <v>289</v>
      </c>
      <c r="B551" s="20" t="s">
        <v>1216</v>
      </c>
      <c r="C551" s="40" t="s">
        <v>264</v>
      </c>
      <c r="D551" s="40" t="s">
        <v>215</v>
      </c>
      <c r="E551" s="20"/>
      <c r="F551" s="2"/>
      <c r="G551" s="10">
        <f>G552</f>
        <v>106</v>
      </c>
      <c r="H551" s="10">
        <f>H552</f>
        <v>106</v>
      </c>
    </row>
    <row r="552" spans="1:8" s="203" customFormat="1" ht="94.5" x14ac:dyDescent="0.25">
      <c r="A552" s="25" t="s">
        <v>127</v>
      </c>
      <c r="B552" s="20" t="s">
        <v>1216</v>
      </c>
      <c r="C552" s="40" t="s">
        <v>264</v>
      </c>
      <c r="D552" s="40" t="s">
        <v>215</v>
      </c>
      <c r="E552" s="20" t="s">
        <v>128</v>
      </c>
      <c r="F552" s="2"/>
      <c r="G552" s="10">
        <f>G553</f>
        <v>106</v>
      </c>
      <c r="H552" s="10">
        <f>H553</f>
        <v>106</v>
      </c>
    </row>
    <row r="553" spans="1:8" s="203" customFormat="1" ht="31.5" x14ac:dyDescent="0.25">
      <c r="A553" s="46" t="s">
        <v>342</v>
      </c>
      <c r="B553" s="20" t="s">
        <v>1216</v>
      </c>
      <c r="C553" s="40" t="s">
        <v>264</v>
      </c>
      <c r="D553" s="40" t="s">
        <v>215</v>
      </c>
      <c r="E553" s="20" t="s">
        <v>209</v>
      </c>
      <c r="F553" s="2"/>
      <c r="G553" s="10">
        <f>'пр.4.1.ведом.22-23'!G323</f>
        <v>106</v>
      </c>
      <c r="H553" s="10">
        <f>'пр.4.1.ведом.22-23'!H323</f>
        <v>106</v>
      </c>
    </row>
    <row r="554" spans="1:8" s="203" customFormat="1" ht="47.25" x14ac:dyDescent="0.25">
      <c r="A554" s="45" t="s">
        <v>261</v>
      </c>
      <c r="B554" s="20" t="s">
        <v>1216</v>
      </c>
      <c r="C554" s="40" t="s">
        <v>264</v>
      </c>
      <c r="D554" s="40" t="s">
        <v>215</v>
      </c>
      <c r="E554" s="20" t="s">
        <v>209</v>
      </c>
      <c r="F554" s="2">
        <v>903</v>
      </c>
      <c r="G554" s="10">
        <f>G553</f>
        <v>106</v>
      </c>
      <c r="H554" s="10">
        <f>H553</f>
        <v>106</v>
      </c>
    </row>
    <row r="555" spans="1:8" s="203" customFormat="1" ht="94.5" x14ac:dyDescent="0.25">
      <c r="A555" s="31" t="s">
        <v>291</v>
      </c>
      <c r="B555" s="20" t="s">
        <v>1217</v>
      </c>
      <c r="C555" s="40" t="s">
        <v>264</v>
      </c>
      <c r="D555" s="40" t="s">
        <v>215</v>
      </c>
      <c r="E555" s="20"/>
      <c r="F555" s="2"/>
      <c r="G555" s="10">
        <f>G556</f>
        <v>298.39999999999998</v>
      </c>
      <c r="H555" s="10">
        <f>H556</f>
        <v>298.39999999999998</v>
      </c>
    </row>
    <row r="556" spans="1:8" s="203" customFormat="1" ht="94.5" x14ac:dyDescent="0.25">
      <c r="A556" s="25" t="s">
        <v>127</v>
      </c>
      <c r="B556" s="20" t="s">
        <v>1217</v>
      </c>
      <c r="C556" s="40" t="s">
        <v>264</v>
      </c>
      <c r="D556" s="40" t="s">
        <v>215</v>
      </c>
      <c r="E556" s="20" t="s">
        <v>128</v>
      </c>
      <c r="F556" s="2"/>
      <c r="G556" s="10">
        <f>G557</f>
        <v>298.39999999999998</v>
      </c>
      <c r="H556" s="10">
        <f>H557</f>
        <v>298.39999999999998</v>
      </c>
    </row>
    <row r="557" spans="1:8" s="203" customFormat="1" ht="31.5" x14ac:dyDescent="0.25">
      <c r="A557" s="46" t="s">
        <v>342</v>
      </c>
      <c r="B557" s="20" t="s">
        <v>1217</v>
      </c>
      <c r="C557" s="40" t="s">
        <v>264</v>
      </c>
      <c r="D557" s="40" t="s">
        <v>215</v>
      </c>
      <c r="E557" s="20" t="s">
        <v>209</v>
      </c>
      <c r="F557" s="2"/>
      <c r="G557" s="10">
        <f>'пр.4.1.ведом.22-23'!G326</f>
        <v>298.39999999999998</v>
      </c>
      <c r="H557" s="10">
        <f>'пр.4.1.ведом.22-23'!H326</f>
        <v>298.39999999999998</v>
      </c>
    </row>
    <row r="558" spans="1:8" s="203" customFormat="1" ht="47.25" x14ac:dyDescent="0.25">
      <c r="A558" s="45" t="s">
        <v>261</v>
      </c>
      <c r="B558" s="20" t="s">
        <v>1217</v>
      </c>
      <c r="C558" s="40" t="s">
        <v>264</v>
      </c>
      <c r="D558" s="40" t="s">
        <v>215</v>
      </c>
      <c r="E558" s="20" t="s">
        <v>209</v>
      </c>
      <c r="F558" s="2">
        <v>903</v>
      </c>
      <c r="G558" s="10">
        <f>G557</f>
        <v>298.39999999999998</v>
      </c>
      <c r="H558" s="10">
        <f>H557</f>
        <v>298.39999999999998</v>
      </c>
    </row>
    <row r="559" spans="1:8" ht="15.75" x14ac:dyDescent="0.25">
      <c r="A559" s="73" t="s">
        <v>298</v>
      </c>
      <c r="B559" s="20" t="s">
        <v>1215</v>
      </c>
      <c r="C559" s="40" t="s">
        <v>299</v>
      </c>
      <c r="D559" s="73"/>
      <c r="E559" s="73"/>
      <c r="F559" s="2"/>
      <c r="G559" s="10">
        <f t="shared" ref="G559:H559" si="73">G560</f>
        <v>2442</v>
      </c>
      <c r="H559" s="10">
        <f t="shared" si="73"/>
        <v>2442</v>
      </c>
    </row>
    <row r="560" spans="1:8" ht="15.75" x14ac:dyDescent="0.25">
      <c r="A560" s="73" t="s">
        <v>300</v>
      </c>
      <c r="B560" s="20" t="s">
        <v>1215</v>
      </c>
      <c r="C560" s="40" t="s">
        <v>299</v>
      </c>
      <c r="D560" s="40" t="s">
        <v>118</v>
      </c>
      <c r="E560" s="73"/>
      <c r="F560" s="2"/>
      <c r="G560" s="10">
        <f>G561+G565</f>
        <v>2442</v>
      </c>
      <c r="H560" s="10">
        <f>H561+H565</f>
        <v>2442</v>
      </c>
    </row>
    <row r="561" spans="1:8" s="203" customFormat="1" ht="110.25" x14ac:dyDescent="0.25">
      <c r="A561" s="31" t="s">
        <v>293</v>
      </c>
      <c r="B561" s="20" t="s">
        <v>1414</v>
      </c>
      <c r="C561" s="40" t="s">
        <v>299</v>
      </c>
      <c r="D561" s="40" t="s">
        <v>118</v>
      </c>
      <c r="E561" s="40"/>
      <c r="F561" s="2"/>
      <c r="G561" s="10">
        <f>G562</f>
        <v>2100.6</v>
      </c>
      <c r="H561" s="10">
        <f>H562</f>
        <v>2100.6</v>
      </c>
    </row>
    <row r="562" spans="1:8" s="203" customFormat="1" ht="94.5" x14ac:dyDescent="0.25">
      <c r="A562" s="25" t="s">
        <v>127</v>
      </c>
      <c r="B562" s="20" t="s">
        <v>1414</v>
      </c>
      <c r="C562" s="40" t="s">
        <v>299</v>
      </c>
      <c r="D562" s="40" t="s">
        <v>118</v>
      </c>
      <c r="E562" s="40" t="s">
        <v>128</v>
      </c>
      <c r="F562" s="2"/>
      <c r="G562" s="10">
        <f>G563</f>
        <v>2100.6</v>
      </c>
      <c r="H562" s="10">
        <f>H563</f>
        <v>2100.6</v>
      </c>
    </row>
    <row r="563" spans="1:8" s="203" customFormat="1" ht="31.5" x14ac:dyDescent="0.25">
      <c r="A563" s="25" t="s">
        <v>208</v>
      </c>
      <c r="B563" s="20" t="s">
        <v>1414</v>
      </c>
      <c r="C563" s="40" t="s">
        <v>299</v>
      </c>
      <c r="D563" s="40" t="s">
        <v>118</v>
      </c>
      <c r="E563" s="40" t="s">
        <v>209</v>
      </c>
      <c r="F563" s="2"/>
      <c r="G563" s="10">
        <f>'пр.4.1.ведом.22-23'!G381</f>
        <v>2100.6</v>
      </c>
      <c r="H563" s="10">
        <f>'пр.4.1.ведом.22-23'!H381</f>
        <v>2100.6</v>
      </c>
    </row>
    <row r="564" spans="1:8" s="203" customFormat="1" ht="47.25" x14ac:dyDescent="0.25">
      <c r="A564" s="45" t="s">
        <v>261</v>
      </c>
      <c r="B564" s="20" t="s">
        <v>1414</v>
      </c>
      <c r="C564" s="40" t="s">
        <v>299</v>
      </c>
      <c r="D564" s="40" t="s">
        <v>118</v>
      </c>
      <c r="E564" s="40" t="s">
        <v>209</v>
      </c>
      <c r="F564" s="2">
        <v>903</v>
      </c>
      <c r="G564" s="10">
        <f>G563</f>
        <v>2100.6</v>
      </c>
      <c r="H564" s="10">
        <f>H563</f>
        <v>2100.6</v>
      </c>
    </row>
    <row r="565" spans="1:8" s="203" customFormat="1" ht="94.5" x14ac:dyDescent="0.25">
      <c r="A565" s="25" t="s">
        <v>331</v>
      </c>
      <c r="B565" s="20" t="s">
        <v>1296</v>
      </c>
      <c r="C565" s="20" t="s">
        <v>299</v>
      </c>
      <c r="D565" s="20" t="s">
        <v>118</v>
      </c>
      <c r="E565" s="20"/>
      <c r="F565" s="20"/>
      <c r="G565" s="10">
        <f>G566</f>
        <v>341.4</v>
      </c>
      <c r="H565" s="10">
        <f>H566</f>
        <v>341.4</v>
      </c>
    </row>
    <row r="566" spans="1:8" s="203" customFormat="1" ht="94.5" x14ac:dyDescent="0.25">
      <c r="A566" s="25" t="s">
        <v>127</v>
      </c>
      <c r="B566" s="20" t="s">
        <v>1296</v>
      </c>
      <c r="C566" s="20" t="s">
        <v>299</v>
      </c>
      <c r="D566" s="20" t="s">
        <v>118</v>
      </c>
      <c r="E566" s="20" t="s">
        <v>128</v>
      </c>
      <c r="F566" s="20"/>
      <c r="G566" s="10">
        <f>G567</f>
        <v>341.4</v>
      </c>
      <c r="H566" s="10">
        <f>H567</f>
        <v>341.4</v>
      </c>
    </row>
    <row r="567" spans="1:8" s="203" customFormat="1" ht="31.5" x14ac:dyDescent="0.25">
      <c r="A567" s="25" t="s">
        <v>208</v>
      </c>
      <c r="B567" s="20" t="s">
        <v>1296</v>
      </c>
      <c r="C567" s="20" t="s">
        <v>299</v>
      </c>
      <c r="D567" s="20" t="s">
        <v>118</v>
      </c>
      <c r="E567" s="20" t="s">
        <v>209</v>
      </c>
      <c r="F567" s="20"/>
      <c r="G567" s="10">
        <f>'пр.4.1.ведом.22-23'!G384</f>
        <v>341.4</v>
      </c>
      <c r="H567" s="10">
        <f>'пр.4.1.ведом.22-23'!H384</f>
        <v>341.4</v>
      </c>
    </row>
    <row r="568" spans="1:8" s="203" customFormat="1" ht="47.25" x14ac:dyDescent="0.25">
      <c r="A568" s="45" t="s">
        <v>261</v>
      </c>
      <c r="B568" s="20" t="s">
        <v>1296</v>
      </c>
      <c r="C568" s="20" t="s">
        <v>299</v>
      </c>
      <c r="D568" s="20" t="s">
        <v>118</v>
      </c>
      <c r="E568" s="20" t="s">
        <v>209</v>
      </c>
      <c r="F568" s="20" t="s">
        <v>627</v>
      </c>
      <c r="G568" s="10">
        <f>G567</f>
        <v>341.4</v>
      </c>
      <c r="H568" s="10">
        <f>H567</f>
        <v>341.4</v>
      </c>
    </row>
    <row r="569" spans="1:8" s="203" customFormat="1" ht="47.25" x14ac:dyDescent="0.25">
      <c r="A569" s="23" t="s">
        <v>902</v>
      </c>
      <c r="B569" s="24" t="s">
        <v>1220</v>
      </c>
      <c r="C569" s="7"/>
      <c r="D569" s="7"/>
      <c r="E569" s="7"/>
      <c r="F569" s="3"/>
      <c r="G569" s="59">
        <f>G572</f>
        <v>50</v>
      </c>
      <c r="H569" s="59">
        <f>H572</f>
        <v>50</v>
      </c>
    </row>
    <row r="570" spans="1:8" s="203" customFormat="1" ht="15.75" x14ac:dyDescent="0.25">
      <c r="A570" s="73" t="s">
        <v>298</v>
      </c>
      <c r="B570" s="20" t="s">
        <v>1220</v>
      </c>
      <c r="C570" s="40" t="s">
        <v>299</v>
      </c>
      <c r="D570" s="40"/>
      <c r="E570" s="40"/>
      <c r="F570" s="74"/>
      <c r="G570" s="10">
        <f t="shared" ref="G570:H570" si="74">G571</f>
        <v>50</v>
      </c>
      <c r="H570" s="10">
        <f t="shared" si="74"/>
        <v>50</v>
      </c>
    </row>
    <row r="571" spans="1:8" s="203" customFormat="1" ht="15.75" x14ac:dyDescent="0.25">
      <c r="A571" s="73" t="s">
        <v>300</v>
      </c>
      <c r="B571" s="20" t="s">
        <v>1220</v>
      </c>
      <c r="C571" s="40" t="s">
        <v>299</v>
      </c>
      <c r="D571" s="40" t="s">
        <v>118</v>
      </c>
      <c r="E571" s="40"/>
      <c r="F571" s="74"/>
      <c r="G571" s="10">
        <f t="shared" ref="G571:H573" si="75">G572</f>
        <v>50</v>
      </c>
      <c r="H571" s="10">
        <f t="shared" si="75"/>
        <v>50</v>
      </c>
    </row>
    <row r="572" spans="1:8" s="203" customFormat="1" ht="31.5" x14ac:dyDescent="0.25">
      <c r="A572" s="25" t="s">
        <v>821</v>
      </c>
      <c r="B572" s="20" t="s">
        <v>1221</v>
      </c>
      <c r="C572" s="40" t="s">
        <v>299</v>
      </c>
      <c r="D572" s="40" t="s">
        <v>118</v>
      </c>
      <c r="E572" s="40"/>
      <c r="F572" s="2"/>
      <c r="G572" s="10">
        <f t="shared" si="75"/>
        <v>50</v>
      </c>
      <c r="H572" s="10">
        <f t="shared" si="75"/>
        <v>50</v>
      </c>
    </row>
    <row r="573" spans="1:8" s="203" customFormat="1" ht="31.5" x14ac:dyDescent="0.25">
      <c r="A573" s="25" t="s">
        <v>131</v>
      </c>
      <c r="B573" s="20" t="s">
        <v>1221</v>
      </c>
      <c r="C573" s="40" t="s">
        <v>299</v>
      </c>
      <c r="D573" s="40" t="s">
        <v>118</v>
      </c>
      <c r="E573" s="40" t="s">
        <v>132</v>
      </c>
      <c r="F573" s="2"/>
      <c r="G573" s="10">
        <f t="shared" si="75"/>
        <v>50</v>
      </c>
      <c r="H573" s="10">
        <f t="shared" si="75"/>
        <v>50</v>
      </c>
    </row>
    <row r="574" spans="1:8" s="203" customFormat="1" ht="47.25" x14ac:dyDescent="0.25">
      <c r="A574" s="25" t="s">
        <v>133</v>
      </c>
      <c r="B574" s="20" t="s">
        <v>1221</v>
      </c>
      <c r="C574" s="40" t="s">
        <v>299</v>
      </c>
      <c r="D574" s="40" t="s">
        <v>118</v>
      </c>
      <c r="E574" s="40" t="s">
        <v>134</v>
      </c>
      <c r="F574" s="2"/>
      <c r="G574" s="10">
        <f>'пр.4.1.ведом.22-23'!G388</f>
        <v>50</v>
      </c>
      <c r="H574" s="10">
        <f>'пр.4.1.ведом.22-23'!H388</f>
        <v>50</v>
      </c>
    </row>
    <row r="575" spans="1:8" s="203" customFormat="1" ht="47.25" x14ac:dyDescent="0.25">
      <c r="A575" s="45" t="s">
        <v>261</v>
      </c>
      <c r="B575" s="20" t="s">
        <v>1221</v>
      </c>
      <c r="C575" s="40" t="s">
        <v>299</v>
      </c>
      <c r="D575" s="40" t="s">
        <v>118</v>
      </c>
      <c r="E575" s="40" t="s">
        <v>134</v>
      </c>
      <c r="F575" s="2">
        <v>903</v>
      </c>
      <c r="G575" s="10">
        <f>G574</f>
        <v>50</v>
      </c>
      <c r="H575" s="10">
        <f>H574</f>
        <v>50</v>
      </c>
    </row>
    <row r="576" spans="1:8" s="203" customFormat="1" ht="31.5" x14ac:dyDescent="0.25">
      <c r="A576" s="23" t="s">
        <v>1010</v>
      </c>
      <c r="B576" s="24" t="s">
        <v>1222</v>
      </c>
      <c r="C576" s="7"/>
      <c r="D576" s="7"/>
      <c r="E576" s="7"/>
      <c r="F576" s="3"/>
      <c r="G576" s="59">
        <f>G577</f>
        <v>68.7</v>
      </c>
      <c r="H576" s="59">
        <f>H577</f>
        <v>68.7</v>
      </c>
    </row>
    <row r="577" spans="1:8" s="203" customFormat="1" ht="15.75" x14ac:dyDescent="0.25">
      <c r="A577" s="68" t="s">
        <v>298</v>
      </c>
      <c r="B577" s="20" t="s">
        <v>1222</v>
      </c>
      <c r="C577" s="40" t="s">
        <v>299</v>
      </c>
      <c r="D577" s="40"/>
      <c r="E577" s="40"/>
      <c r="F577" s="74"/>
      <c r="G577" s="10">
        <f t="shared" ref="G577:H577" si="76">G578</f>
        <v>68.7</v>
      </c>
      <c r="H577" s="10">
        <f t="shared" si="76"/>
        <v>68.7</v>
      </c>
    </row>
    <row r="578" spans="1:8" s="203" customFormat="1" ht="15.75" x14ac:dyDescent="0.25">
      <c r="A578" s="68" t="s">
        <v>300</v>
      </c>
      <c r="B578" s="20" t="s">
        <v>1222</v>
      </c>
      <c r="C578" s="40" t="s">
        <v>299</v>
      </c>
      <c r="D578" s="40" t="s">
        <v>118</v>
      </c>
      <c r="E578" s="40"/>
      <c r="F578" s="74"/>
      <c r="G578" s="10">
        <f t="shared" ref="G578:H580" si="77">G579</f>
        <v>68.7</v>
      </c>
      <c r="H578" s="10">
        <f t="shared" si="77"/>
        <v>68.7</v>
      </c>
    </row>
    <row r="579" spans="1:8" s="203" customFormat="1" ht="47.25" x14ac:dyDescent="0.25">
      <c r="A579" s="25" t="s">
        <v>1497</v>
      </c>
      <c r="B579" s="20" t="s">
        <v>1223</v>
      </c>
      <c r="C579" s="40" t="s">
        <v>299</v>
      </c>
      <c r="D579" s="40" t="s">
        <v>118</v>
      </c>
      <c r="E579" s="40"/>
      <c r="F579" s="2"/>
      <c r="G579" s="10">
        <f t="shared" si="77"/>
        <v>68.7</v>
      </c>
      <c r="H579" s="10">
        <f t="shared" si="77"/>
        <v>68.7</v>
      </c>
    </row>
    <row r="580" spans="1:8" s="203" customFormat="1" ht="31.5" x14ac:dyDescent="0.25">
      <c r="A580" s="25" t="s">
        <v>131</v>
      </c>
      <c r="B580" s="20" t="s">
        <v>1223</v>
      </c>
      <c r="C580" s="40" t="s">
        <v>299</v>
      </c>
      <c r="D580" s="40" t="s">
        <v>118</v>
      </c>
      <c r="E580" s="40" t="s">
        <v>132</v>
      </c>
      <c r="F580" s="2"/>
      <c r="G580" s="10">
        <f t="shared" si="77"/>
        <v>68.7</v>
      </c>
      <c r="H580" s="10">
        <f t="shared" si="77"/>
        <v>68.7</v>
      </c>
    </row>
    <row r="581" spans="1:8" s="203" customFormat="1" ht="47.25" x14ac:dyDescent="0.25">
      <c r="A581" s="25" t="s">
        <v>133</v>
      </c>
      <c r="B581" s="20" t="s">
        <v>1223</v>
      </c>
      <c r="C581" s="40" t="s">
        <v>299</v>
      </c>
      <c r="D581" s="40" t="s">
        <v>118</v>
      </c>
      <c r="E581" s="40" t="s">
        <v>134</v>
      </c>
      <c r="F581" s="2"/>
      <c r="G581" s="10">
        <f>'пр.4.1.ведом.22-23'!G392</f>
        <v>68.7</v>
      </c>
      <c r="H581" s="10">
        <f>'пр.4.1.ведом.22-23'!H392</f>
        <v>68.7</v>
      </c>
    </row>
    <row r="582" spans="1:8" s="203" customFormat="1" ht="47.25" x14ac:dyDescent="0.25">
      <c r="A582" s="45" t="s">
        <v>261</v>
      </c>
      <c r="B582" s="20" t="s">
        <v>1223</v>
      </c>
      <c r="C582" s="40" t="s">
        <v>299</v>
      </c>
      <c r="D582" s="40" t="s">
        <v>118</v>
      </c>
      <c r="E582" s="40" t="s">
        <v>134</v>
      </c>
      <c r="F582" s="2">
        <v>903</v>
      </c>
      <c r="G582" s="10">
        <f>G581</f>
        <v>68.7</v>
      </c>
      <c r="H582" s="10">
        <f>H581</f>
        <v>68.7</v>
      </c>
    </row>
    <row r="583" spans="1:8" s="203" customFormat="1" ht="36" customHeight="1" x14ac:dyDescent="0.25">
      <c r="A583" s="257" t="s">
        <v>1184</v>
      </c>
      <c r="B583" s="24" t="s">
        <v>1218</v>
      </c>
      <c r="C583" s="40"/>
      <c r="D583" s="73"/>
      <c r="E583" s="73"/>
      <c r="F583" s="2"/>
      <c r="G583" s="59">
        <f t="shared" ref="G583:H587" si="78">G584</f>
        <v>300</v>
      </c>
      <c r="H583" s="59">
        <f t="shared" si="78"/>
        <v>2806.2</v>
      </c>
    </row>
    <row r="584" spans="1:8" s="203" customFormat="1" ht="15.75" x14ac:dyDescent="0.25">
      <c r="A584" s="68" t="s">
        <v>298</v>
      </c>
      <c r="B584" s="20" t="s">
        <v>1218</v>
      </c>
      <c r="C584" s="40" t="s">
        <v>299</v>
      </c>
      <c r="D584" s="73"/>
      <c r="E584" s="73"/>
      <c r="F584" s="2"/>
      <c r="G584" s="10">
        <f t="shared" si="78"/>
        <v>300</v>
      </c>
      <c r="H584" s="10">
        <f t="shared" si="78"/>
        <v>2806.2</v>
      </c>
    </row>
    <row r="585" spans="1:8" s="203" customFormat="1" ht="15.75" x14ac:dyDescent="0.25">
      <c r="A585" s="68" t="s">
        <v>300</v>
      </c>
      <c r="B585" s="20" t="s">
        <v>1218</v>
      </c>
      <c r="C585" s="40" t="s">
        <v>299</v>
      </c>
      <c r="D585" s="40" t="s">
        <v>118</v>
      </c>
      <c r="E585" s="73"/>
      <c r="F585" s="2"/>
      <c r="G585" s="10">
        <f t="shared" si="78"/>
        <v>300</v>
      </c>
      <c r="H585" s="10">
        <f t="shared" si="78"/>
        <v>2806.2</v>
      </c>
    </row>
    <row r="586" spans="1:8" s="203" customFormat="1" ht="31.5" x14ac:dyDescent="0.25">
      <c r="A586" s="98" t="s">
        <v>1191</v>
      </c>
      <c r="B586" s="20" t="s">
        <v>1219</v>
      </c>
      <c r="C586" s="40" t="s">
        <v>299</v>
      </c>
      <c r="D586" s="40" t="s">
        <v>118</v>
      </c>
      <c r="E586" s="40"/>
      <c r="F586" s="2"/>
      <c r="G586" s="10">
        <f t="shared" si="78"/>
        <v>300</v>
      </c>
      <c r="H586" s="10">
        <f t="shared" si="78"/>
        <v>2806.2</v>
      </c>
    </row>
    <row r="587" spans="1:8" s="203" customFormat="1" ht="31.5" x14ac:dyDescent="0.25">
      <c r="A587" s="25" t="s">
        <v>131</v>
      </c>
      <c r="B587" s="20" t="s">
        <v>1219</v>
      </c>
      <c r="C587" s="40" t="s">
        <v>299</v>
      </c>
      <c r="D587" s="40" t="s">
        <v>118</v>
      </c>
      <c r="E587" s="40" t="s">
        <v>132</v>
      </c>
      <c r="F587" s="2"/>
      <c r="G587" s="10">
        <f t="shared" si="78"/>
        <v>300</v>
      </c>
      <c r="H587" s="10">
        <f t="shared" si="78"/>
        <v>2806.2</v>
      </c>
    </row>
    <row r="588" spans="1:8" s="203" customFormat="1" ht="47.25" x14ac:dyDescent="0.25">
      <c r="A588" s="25" t="s">
        <v>133</v>
      </c>
      <c r="B588" s="20" t="s">
        <v>1219</v>
      </c>
      <c r="C588" s="40" t="s">
        <v>299</v>
      </c>
      <c r="D588" s="40" t="s">
        <v>118</v>
      </c>
      <c r="E588" s="40" t="s">
        <v>134</v>
      </c>
      <c r="F588" s="2"/>
      <c r="G588" s="10">
        <f>'пр.4.1.ведом.22-23'!G396</f>
        <v>300</v>
      </c>
      <c r="H588" s="10">
        <f>'пр.4.1.ведом.22-23'!H396</f>
        <v>2806.2</v>
      </c>
    </row>
    <row r="589" spans="1:8" s="203" customFormat="1" ht="47.25" x14ac:dyDescent="0.25">
      <c r="A589" s="45" t="s">
        <v>261</v>
      </c>
      <c r="B589" s="20" t="s">
        <v>1219</v>
      </c>
      <c r="C589" s="40" t="s">
        <v>299</v>
      </c>
      <c r="D589" s="40" t="s">
        <v>118</v>
      </c>
      <c r="E589" s="40" t="s">
        <v>134</v>
      </c>
      <c r="F589" s="2">
        <v>903</v>
      </c>
      <c r="G589" s="10">
        <f>G583</f>
        <v>300</v>
      </c>
      <c r="H589" s="10">
        <f>H583</f>
        <v>2806.2</v>
      </c>
    </row>
    <row r="590" spans="1:8" ht="54" hidden="1" customHeight="1" x14ac:dyDescent="0.25">
      <c r="A590" s="273" t="s">
        <v>1224</v>
      </c>
      <c r="B590" s="274"/>
      <c r="C590" s="20"/>
      <c r="D590" s="20"/>
      <c r="E590" s="40"/>
      <c r="F590" s="2"/>
      <c r="G590" s="59">
        <f t="shared" ref="G590:H594" si="79">G591</f>
        <v>0</v>
      </c>
      <c r="H590" s="59">
        <f t="shared" si="79"/>
        <v>0</v>
      </c>
    </row>
    <row r="591" spans="1:8" ht="15.75" hidden="1" x14ac:dyDescent="0.25">
      <c r="A591" s="68" t="s">
        <v>298</v>
      </c>
      <c r="B591" s="274"/>
      <c r="C591" s="20" t="s">
        <v>299</v>
      </c>
      <c r="D591" s="20"/>
      <c r="E591" s="40"/>
      <c r="F591" s="2"/>
      <c r="G591" s="10">
        <f t="shared" si="79"/>
        <v>0</v>
      </c>
      <c r="H591" s="10">
        <f t="shared" si="79"/>
        <v>0</v>
      </c>
    </row>
    <row r="592" spans="1:8" ht="15.75" hidden="1" x14ac:dyDescent="0.25">
      <c r="A592" s="68" t="s">
        <v>300</v>
      </c>
      <c r="B592" s="274"/>
      <c r="C592" s="20" t="s">
        <v>299</v>
      </c>
      <c r="D592" s="20" t="s">
        <v>118</v>
      </c>
      <c r="E592" s="40"/>
      <c r="F592" s="2"/>
      <c r="G592" s="10">
        <f t="shared" si="79"/>
        <v>0</v>
      </c>
      <c r="H592" s="10">
        <f t="shared" si="79"/>
        <v>0</v>
      </c>
    </row>
    <row r="593" spans="1:8" ht="15.75" hidden="1" x14ac:dyDescent="0.25">
      <c r="A593" s="282"/>
      <c r="B593" s="274"/>
      <c r="C593" s="20" t="s">
        <v>299</v>
      </c>
      <c r="D593" s="20" t="s">
        <v>118</v>
      </c>
      <c r="E593" s="40"/>
      <c r="F593" s="2"/>
      <c r="G593" s="10">
        <f t="shared" si="79"/>
        <v>0</v>
      </c>
      <c r="H593" s="10">
        <f t="shared" si="79"/>
        <v>0</v>
      </c>
    </row>
    <row r="594" spans="1:8" ht="31.5" hidden="1" x14ac:dyDescent="0.25">
      <c r="A594" s="25" t="s">
        <v>131</v>
      </c>
      <c r="B594" s="274"/>
      <c r="C594" s="20" t="s">
        <v>299</v>
      </c>
      <c r="D594" s="20" t="s">
        <v>118</v>
      </c>
      <c r="E594" s="40" t="s">
        <v>132</v>
      </c>
      <c r="F594" s="2"/>
      <c r="G594" s="10">
        <f t="shared" si="79"/>
        <v>0</v>
      </c>
      <c r="H594" s="10">
        <f t="shared" si="79"/>
        <v>0</v>
      </c>
    </row>
    <row r="595" spans="1:8" ht="47.25" hidden="1" x14ac:dyDescent="0.25">
      <c r="A595" s="25" t="s">
        <v>133</v>
      </c>
      <c r="B595" s="274"/>
      <c r="C595" s="20" t="s">
        <v>299</v>
      </c>
      <c r="D595" s="20" t="s">
        <v>118</v>
      </c>
      <c r="E595" s="40" t="s">
        <v>134</v>
      </c>
      <c r="F595" s="2"/>
      <c r="G595" s="10">
        <f>'пр.4.1.ведом.22-23'!G400</f>
        <v>0</v>
      </c>
      <c r="H595" s="10">
        <f>'пр.4.1.ведом.22-23'!H400</f>
        <v>0</v>
      </c>
    </row>
    <row r="596" spans="1:8" ht="47.25" hidden="1" x14ac:dyDescent="0.25">
      <c r="A596" s="45" t="s">
        <v>1322</v>
      </c>
      <c r="B596" s="274"/>
      <c r="C596" s="20" t="s">
        <v>299</v>
      </c>
      <c r="D596" s="20" t="s">
        <v>118</v>
      </c>
      <c r="E596" s="40" t="s">
        <v>134</v>
      </c>
      <c r="F596" s="2">
        <v>903</v>
      </c>
      <c r="G596" s="10">
        <f>G595</f>
        <v>0</v>
      </c>
      <c r="H596" s="10">
        <f>H595</f>
        <v>0</v>
      </c>
    </row>
    <row r="597" spans="1:8" ht="63" x14ac:dyDescent="0.25">
      <c r="A597" s="41" t="s">
        <v>1368</v>
      </c>
      <c r="B597" s="7" t="s">
        <v>324</v>
      </c>
      <c r="C597" s="72"/>
      <c r="D597" s="72"/>
      <c r="E597" s="72"/>
      <c r="F597" s="72"/>
      <c r="G597" s="59">
        <f>G598</f>
        <v>168</v>
      </c>
      <c r="H597" s="59">
        <f>H598</f>
        <v>147</v>
      </c>
    </row>
    <row r="598" spans="1:8" ht="63" x14ac:dyDescent="0.25">
      <c r="A598" s="34" t="s">
        <v>1025</v>
      </c>
      <c r="B598" s="7" t="s">
        <v>934</v>
      </c>
      <c r="C598" s="7"/>
      <c r="D598" s="7"/>
      <c r="E598" s="72"/>
      <c r="F598" s="72"/>
      <c r="G598" s="59">
        <f>G605+G611+G627+G638+G599</f>
        <v>168</v>
      </c>
      <c r="H598" s="59">
        <f>H605+H611+H627+H638+H599</f>
        <v>147</v>
      </c>
    </row>
    <row r="599" spans="1:8" s="203" customFormat="1" ht="15.75" x14ac:dyDescent="0.25">
      <c r="A599" s="31" t="s">
        <v>117</v>
      </c>
      <c r="B599" s="40" t="s">
        <v>934</v>
      </c>
      <c r="C599" s="40" t="s">
        <v>118</v>
      </c>
      <c r="D599" s="40"/>
      <c r="E599" s="72"/>
      <c r="F599" s="72"/>
      <c r="G599" s="10">
        <f t="shared" ref="G599:H602" si="80">G600</f>
        <v>12</v>
      </c>
      <c r="H599" s="10">
        <f t="shared" si="80"/>
        <v>40</v>
      </c>
    </row>
    <row r="600" spans="1:8" s="203" customFormat="1" ht="15.75" x14ac:dyDescent="0.25">
      <c r="A600" s="31" t="s">
        <v>139</v>
      </c>
      <c r="B600" s="40" t="s">
        <v>934</v>
      </c>
      <c r="C600" s="40" t="s">
        <v>118</v>
      </c>
      <c r="D600" s="40" t="s">
        <v>140</v>
      </c>
      <c r="E600" s="72"/>
      <c r="F600" s="72"/>
      <c r="G600" s="10">
        <f t="shared" si="80"/>
        <v>12</v>
      </c>
      <c r="H600" s="10">
        <f t="shared" si="80"/>
        <v>40</v>
      </c>
    </row>
    <row r="601" spans="1:8" s="203" customFormat="1" ht="47.25" x14ac:dyDescent="0.25">
      <c r="A601" s="31" t="s">
        <v>1083</v>
      </c>
      <c r="B601" s="20" t="s">
        <v>1026</v>
      </c>
      <c r="C601" s="40" t="s">
        <v>118</v>
      </c>
      <c r="D601" s="40" t="s">
        <v>140</v>
      </c>
      <c r="E601" s="72"/>
      <c r="F601" s="72"/>
      <c r="G601" s="10">
        <f t="shared" si="80"/>
        <v>12</v>
      </c>
      <c r="H601" s="10">
        <f t="shared" si="80"/>
        <v>40</v>
      </c>
    </row>
    <row r="602" spans="1:8" s="203" customFormat="1" ht="31.5" x14ac:dyDescent="0.25">
      <c r="A602" s="25" t="s">
        <v>131</v>
      </c>
      <c r="B602" s="20" t="s">
        <v>1026</v>
      </c>
      <c r="C602" s="40" t="s">
        <v>118</v>
      </c>
      <c r="D602" s="40" t="s">
        <v>140</v>
      </c>
      <c r="E602" s="2">
        <v>200</v>
      </c>
      <c r="F602" s="72"/>
      <c r="G602" s="10">
        <f t="shared" si="80"/>
        <v>12</v>
      </c>
      <c r="H602" s="10">
        <f t="shared" si="80"/>
        <v>40</v>
      </c>
    </row>
    <row r="603" spans="1:8" s="203" customFormat="1" ht="47.25" x14ac:dyDescent="0.25">
      <c r="A603" s="25" t="s">
        <v>133</v>
      </c>
      <c r="B603" s="20" t="s">
        <v>1026</v>
      </c>
      <c r="C603" s="40" t="s">
        <v>118</v>
      </c>
      <c r="D603" s="40" t="s">
        <v>140</v>
      </c>
      <c r="E603" s="2">
        <v>240</v>
      </c>
      <c r="F603" s="72"/>
      <c r="G603" s="10">
        <f>'пр.4.1.ведом.22-23'!G145</f>
        <v>12</v>
      </c>
      <c r="H603" s="10">
        <f>'пр.4.1.ведом.22-23'!H145</f>
        <v>40</v>
      </c>
    </row>
    <row r="604" spans="1:8" s="203" customFormat="1" ht="47.25" x14ac:dyDescent="0.25">
      <c r="A604" s="45" t="s">
        <v>623</v>
      </c>
      <c r="B604" s="20" t="s">
        <v>1026</v>
      </c>
      <c r="C604" s="40" t="s">
        <v>118</v>
      </c>
      <c r="D604" s="40" t="s">
        <v>140</v>
      </c>
      <c r="E604" s="2">
        <v>240</v>
      </c>
      <c r="F604" s="2">
        <v>908</v>
      </c>
      <c r="G604" s="10">
        <f>G603</f>
        <v>12</v>
      </c>
      <c r="H604" s="10">
        <f>H603</f>
        <v>40</v>
      </c>
    </row>
    <row r="605" spans="1:8" ht="15.75" hidden="1" x14ac:dyDescent="0.25">
      <c r="A605" s="31" t="s">
        <v>390</v>
      </c>
      <c r="B605" s="40" t="s">
        <v>934</v>
      </c>
      <c r="C605" s="40" t="s">
        <v>234</v>
      </c>
      <c r="D605" s="40"/>
      <c r="E605" s="72"/>
      <c r="F605" s="72"/>
      <c r="G605" s="10">
        <f t="shared" ref="G605:H608" si="81">G606</f>
        <v>0</v>
      </c>
      <c r="H605" s="10">
        <f t="shared" si="81"/>
        <v>0</v>
      </c>
    </row>
    <row r="606" spans="1:8" ht="31.5" hidden="1" x14ac:dyDescent="0.25">
      <c r="A606" s="31" t="s">
        <v>569</v>
      </c>
      <c r="B606" s="40" t="s">
        <v>934</v>
      </c>
      <c r="C606" s="40" t="s">
        <v>234</v>
      </c>
      <c r="D606" s="40" t="s">
        <v>234</v>
      </c>
      <c r="E606" s="72"/>
      <c r="F606" s="72"/>
      <c r="G606" s="10">
        <f t="shared" si="81"/>
        <v>0</v>
      </c>
      <c r="H606" s="10">
        <f t="shared" si="81"/>
        <v>0</v>
      </c>
    </row>
    <row r="607" spans="1:8" ht="47.25" hidden="1" x14ac:dyDescent="0.25">
      <c r="A607" s="31" t="s">
        <v>1083</v>
      </c>
      <c r="B607" s="20" t="s">
        <v>1026</v>
      </c>
      <c r="C607" s="40" t="s">
        <v>234</v>
      </c>
      <c r="D607" s="40" t="s">
        <v>234</v>
      </c>
      <c r="E607" s="72"/>
      <c r="F607" s="72"/>
      <c r="G607" s="10">
        <f t="shared" si="81"/>
        <v>0</v>
      </c>
      <c r="H607" s="10">
        <f t="shared" si="81"/>
        <v>0</v>
      </c>
    </row>
    <row r="608" spans="1:8" ht="31.5" hidden="1" x14ac:dyDescent="0.25">
      <c r="A608" s="25" t="s">
        <v>131</v>
      </c>
      <c r="B608" s="20" t="s">
        <v>1026</v>
      </c>
      <c r="C608" s="40" t="s">
        <v>234</v>
      </c>
      <c r="D608" s="40" t="s">
        <v>234</v>
      </c>
      <c r="E608" s="2">
        <v>200</v>
      </c>
      <c r="F608" s="72"/>
      <c r="G608" s="10">
        <f t="shared" si="81"/>
        <v>0</v>
      </c>
      <c r="H608" s="10">
        <f t="shared" si="81"/>
        <v>0</v>
      </c>
    </row>
    <row r="609" spans="1:8" ht="47.25" hidden="1" x14ac:dyDescent="0.25">
      <c r="A609" s="25" t="s">
        <v>133</v>
      </c>
      <c r="B609" s="20" t="s">
        <v>1026</v>
      </c>
      <c r="C609" s="40" t="s">
        <v>234</v>
      </c>
      <c r="D609" s="40" t="s">
        <v>234</v>
      </c>
      <c r="E609" s="2">
        <v>240</v>
      </c>
      <c r="F609" s="72"/>
      <c r="G609" s="10">
        <f>'пр.4.1.ведом.22-23'!G1037</f>
        <v>0</v>
      </c>
      <c r="H609" s="10">
        <f>'пр.4.1.ведом.22-23'!H1037</f>
        <v>0</v>
      </c>
    </row>
    <row r="610" spans="1:8" ht="47.25" hidden="1" x14ac:dyDescent="0.25">
      <c r="A610" s="45" t="s">
        <v>623</v>
      </c>
      <c r="B610" s="20" t="s">
        <v>1026</v>
      </c>
      <c r="C610" s="40" t="s">
        <v>234</v>
      </c>
      <c r="D610" s="40" t="s">
        <v>234</v>
      </c>
      <c r="E610" s="2">
        <v>240</v>
      </c>
      <c r="F610" s="2">
        <v>908</v>
      </c>
      <c r="G610" s="10">
        <f>G609</f>
        <v>0</v>
      </c>
      <c r="H610" s="10">
        <f>H609</f>
        <v>0</v>
      </c>
    </row>
    <row r="611" spans="1:8" ht="15.75" x14ac:dyDescent="0.25">
      <c r="A611" s="25" t="s">
        <v>263</v>
      </c>
      <c r="B611" s="40" t="s">
        <v>934</v>
      </c>
      <c r="C611" s="40" t="s">
        <v>264</v>
      </c>
      <c r="D611" s="73"/>
      <c r="E611" s="73"/>
      <c r="F611" s="73"/>
      <c r="G611" s="10">
        <f>G612+G617+G622</f>
        <v>146</v>
      </c>
      <c r="H611" s="10">
        <f>H612+H617+H622</f>
        <v>95</v>
      </c>
    </row>
    <row r="612" spans="1:8" ht="15.75" x14ac:dyDescent="0.25">
      <c r="A612" s="25" t="s">
        <v>404</v>
      </c>
      <c r="B612" s="40" t="s">
        <v>934</v>
      </c>
      <c r="C612" s="40" t="s">
        <v>264</v>
      </c>
      <c r="D612" s="40" t="s">
        <v>118</v>
      </c>
      <c r="E612" s="73"/>
      <c r="F612" s="73"/>
      <c r="G612" s="10">
        <f t="shared" ref="G612:H614" si="82">G613</f>
        <v>80</v>
      </c>
      <c r="H612" s="10">
        <f t="shared" si="82"/>
        <v>25</v>
      </c>
    </row>
    <row r="613" spans="1:8" ht="47.25" x14ac:dyDescent="0.25">
      <c r="A613" s="31" t="s">
        <v>1084</v>
      </c>
      <c r="B613" s="20" t="s">
        <v>935</v>
      </c>
      <c r="C613" s="40" t="s">
        <v>264</v>
      </c>
      <c r="D613" s="40" t="s">
        <v>118</v>
      </c>
      <c r="E613" s="72"/>
      <c r="F613" s="72"/>
      <c r="G613" s="10">
        <f t="shared" si="82"/>
        <v>80</v>
      </c>
      <c r="H613" s="10">
        <f t="shared" si="82"/>
        <v>25</v>
      </c>
    </row>
    <row r="614" spans="1:8" ht="47.25" x14ac:dyDescent="0.25">
      <c r="A614" s="31" t="s">
        <v>272</v>
      </c>
      <c r="B614" s="20" t="s">
        <v>935</v>
      </c>
      <c r="C614" s="40" t="s">
        <v>264</v>
      </c>
      <c r="D614" s="40" t="s">
        <v>118</v>
      </c>
      <c r="E614" s="40" t="s">
        <v>273</v>
      </c>
      <c r="F614" s="72"/>
      <c r="G614" s="10">
        <f t="shared" si="82"/>
        <v>80</v>
      </c>
      <c r="H614" s="10">
        <f t="shared" si="82"/>
        <v>25</v>
      </c>
    </row>
    <row r="615" spans="1:8" ht="15.75" x14ac:dyDescent="0.25">
      <c r="A615" s="31" t="s">
        <v>274</v>
      </c>
      <c r="B615" s="20" t="s">
        <v>935</v>
      </c>
      <c r="C615" s="40" t="s">
        <v>264</v>
      </c>
      <c r="D615" s="40" t="s">
        <v>118</v>
      </c>
      <c r="E615" s="40" t="s">
        <v>275</v>
      </c>
      <c r="F615" s="72"/>
      <c r="G615" s="10">
        <f>'пр.4.1.ведом.22-23'!G603</f>
        <v>80</v>
      </c>
      <c r="H615" s="10">
        <f>'пр.4.1.ведом.22-23'!H603</f>
        <v>25</v>
      </c>
    </row>
    <row r="616" spans="1:8" ht="31.5" x14ac:dyDescent="0.25">
      <c r="A616" s="31" t="s">
        <v>403</v>
      </c>
      <c r="B616" s="20" t="s">
        <v>935</v>
      </c>
      <c r="C616" s="40" t="s">
        <v>264</v>
      </c>
      <c r="D616" s="40" t="s">
        <v>118</v>
      </c>
      <c r="E616" s="40" t="s">
        <v>275</v>
      </c>
      <c r="F616" s="2">
        <v>906</v>
      </c>
      <c r="G616" s="10">
        <f>G615</f>
        <v>80</v>
      </c>
      <c r="H616" s="10">
        <f>H615</f>
        <v>25</v>
      </c>
    </row>
    <row r="617" spans="1:8" ht="15.75" x14ac:dyDescent="0.25">
      <c r="A617" s="29" t="s">
        <v>425</v>
      </c>
      <c r="B617" s="40" t="s">
        <v>934</v>
      </c>
      <c r="C617" s="40" t="s">
        <v>264</v>
      </c>
      <c r="D617" s="40" t="s">
        <v>213</v>
      </c>
      <c r="E617" s="40"/>
      <c r="F617" s="73"/>
      <c r="G617" s="10">
        <f t="shared" ref="G617:H619" si="83">G618</f>
        <v>60</v>
      </c>
      <c r="H617" s="10">
        <f t="shared" si="83"/>
        <v>70</v>
      </c>
    </row>
    <row r="618" spans="1:8" ht="47.25" x14ac:dyDescent="0.25">
      <c r="A618" s="31" t="s">
        <v>1084</v>
      </c>
      <c r="B618" s="20" t="s">
        <v>935</v>
      </c>
      <c r="C618" s="40" t="s">
        <v>264</v>
      </c>
      <c r="D618" s="40" t="s">
        <v>213</v>
      </c>
      <c r="E618" s="40"/>
      <c r="F618" s="72"/>
      <c r="G618" s="10">
        <f t="shared" si="83"/>
        <v>60</v>
      </c>
      <c r="H618" s="10">
        <f t="shared" si="83"/>
        <v>70</v>
      </c>
    </row>
    <row r="619" spans="1:8" ht="47.25" x14ac:dyDescent="0.25">
      <c r="A619" s="31" t="s">
        <v>272</v>
      </c>
      <c r="B619" s="20" t="s">
        <v>935</v>
      </c>
      <c r="C619" s="40" t="s">
        <v>264</v>
      </c>
      <c r="D619" s="40" t="s">
        <v>213</v>
      </c>
      <c r="E619" s="40" t="s">
        <v>273</v>
      </c>
      <c r="F619" s="72"/>
      <c r="G619" s="10">
        <f t="shared" si="83"/>
        <v>60</v>
      </c>
      <c r="H619" s="10">
        <f t="shared" si="83"/>
        <v>70</v>
      </c>
    </row>
    <row r="620" spans="1:8" ht="15.75" x14ac:dyDescent="0.25">
      <c r="A620" s="31" t="s">
        <v>274</v>
      </c>
      <c r="B620" s="20" t="s">
        <v>935</v>
      </c>
      <c r="C620" s="40" t="s">
        <v>264</v>
      </c>
      <c r="D620" s="40" t="s">
        <v>213</v>
      </c>
      <c r="E620" s="40" t="s">
        <v>275</v>
      </c>
      <c r="F620" s="72"/>
      <c r="G620" s="10">
        <f>'пр.4.1.ведом.22-23'!G685</f>
        <v>60</v>
      </c>
      <c r="H620" s="10">
        <f>'пр.4.1.ведом.22-23'!H685</f>
        <v>70</v>
      </c>
    </row>
    <row r="621" spans="1:8" ht="31.5" x14ac:dyDescent="0.25">
      <c r="A621" s="31" t="s">
        <v>403</v>
      </c>
      <c r="B621" s="20" t="s">
        <v>935</v>
      </c>
      <c r="C621" s="40" t="s">
        <v>264</v>
      </c>
      <c r="D621" s="40" t="s">
        <v>213</v>
      </c>
      <c r="E621" s="40" t="s">
        <v>275</v>
      </c>
      <c r="F621" s="2">
        <v>906</v>
      </c>
      <c r="G621" s="10">
        <f>G620</f>
        <v>60</v>
      </c>
      <c r="H621" s="10">
        <f>H620</f>
        <v>70</v>
      </c>
    </row>
    <row r="622" spans="1:8" s="203" customFormat="1" ht="15.75" x14ac:dyDescent="0.25">
      <c r="A622" s="29" t="s">
        <v>265</v>
      </c>
      <c r="B622" s="40" t="s">
        <v>934</v>
      </c>
      <c r="C622" s="40" t="s">
        <v>264</v>
      </c>
      <c r="D622" s="40" t="s">
        <v>215</v>
      </c>
      <c r="E622" s="40"/>
      <c r="F622" s="73"/>
      <c r="G622" s="10">
        <f t="shared" ref="G622:H624" si="84">G623</f>
        <v>6</v>
      </c>
      <c r="H622" s="10">
        <f t="shared" si="84"/>
        <v>0</v>
      </c>
    </row>
    <row r="623" spans="1:8" s="203" customFormat="1" ht="47.25" x14ac:dyDescent="0.25">
      <c r="A623" s="31" t="s">
        <v>1083</v>
      </c>
      <c r="B623" s="20" t="s">
        <v>1026</v>
      </c>
      <c r="C623" s="40" t="s">
        <v>264</v>
      </c>
      <c r="D623" s="40" t="s">
        <v>215</v>
      </c>
      <c r="E623" s="40"/>
      <c r="F623" s="72"/>
      <c r="G623" s="10">
        <f t="shared" si="84"/>
        <v>6</v>
      </c>
      <c r="H623" s="10">
        <f t="shared" si="84"/>
        <v>0</v>
      </c>
    </row>
    <row r="624" spans="1:8" s="203" customFormat="1" ht="47.25" x14ac:dyDescent="0.25">
      <c r="A624" s="31" t="s">
        <v>272</v>
      </c>
      <c r="B624" s="20" t="s">
        <v>1026</v>
      </c>
      <c r="C624" s="40" t="s">
        <v>264</v>
      </c>
      <c r="D624" s="40" t="s">
        <v>215</v>
      </c>
      <c r="E624" s="40" t="s">
        <v>132</v>
      </c>
      <c r="F624" s="72"/>
      <c r="G624" s="10">
        <f t="shared" si="84"/>
        <v>6</v>
      </c>
      <c r="H624" s="10">
        <f t="shared" si="84"/>
        <v>0</v>
      </c>
    </row>
    <row r="625" spans="1:8" s="203" customFormat="1" ht="15.75" x14ac:dyDescent="0.25">
      <c r="A625" s="31" t="s">
        <v>274</v>
      </c>
      <c r="B625" s="20" t="s">
        <v>1026</v>
      </c>
      <c r="C625" s="40" t="s">
        <v>264</v>
      </c>
      <c r="D625" s="40" t="s">
        <v>215</v>
      </c>
      <c r="E625" s="40" t="s">
        <v>134</v>
      </c>
      <c r="F625" s="72"/>
      <c r="G625" s="10">
        <f>'пр.4.1.ведом.22-23'!G331</f>
        <v>6</v>
      </c>
      <c r="H625" s="10">
        <f>'пр.4.1.ведом.22-23'!H331</f>
        <v>0</v>
      </c>
    </row>
    <row r="626" spans="1:8" s="203" customFormat="1" ht="47.25" x14ac:dyDescent="0.25">
      <c r="A626" s="45" t="s">
        <v>261</v>
      </c>
      <c r="B626" s="20" t="s">
        <v>1026</v>
      </c>
      <c r="C626" s="40" t="s">
        <v>264</v>
      </c>
      <c r="D626" s="40" t="s">
        <v>215</v>
      </c>
      <c r="E626" s="40" t="s">
        <v>134</v>
      </c>
      <c r="F626" s="2">
        <v>903</v>
      </c>
      <c r="G626" s="10">
        <f>G625</f>
        <v>6</v>
      </c>
      <c r="H626" s="10">
        <f>H623</f>
        <v>0</v>
      </c>
    </row>
    <row r="627" spans="1:8" ht="15.75" x14ac:dyDescent="0.25">
      <c r="A627" s="31" t="s">
        <v>298</v>
      </c>
      <c r="B627" s="20" t="s">
        <v>934</v>
      </c>
      <c r="C627" s="40" t="s">
        <v>299</v>
      </c>
      <c r="D627" s="40"/>
      <c r="E627" s="40"/>
      <c r="F627" s="2"/>
      <c r="G627" s="10">
        <f>G628+G633</f>
        <v>10</v>
      </c>
      <c r="H627" s="10">
        <f>H628+H633</f>
        <v>4</v>
      </c>
    </row>
    <row r="628" spans="1:8" ht="15.75" x14ac:dyDescent="0.25">
      <c r="A628" s="31" t="s">
        <v>300</v>
      </c>
      <c r="B628" s="20" t="s">
        <v>934</v>
      </c>
      <c r="C628" s="40" t="s">
        <v>299</v>
      </c>
      <c r="D628" s="40" t="s">
        <v>118</v>
      </c>
      <c r="E628" s="40"/>
      <c r="F628" s="2"/>
      <c r="G628" s="10">
        <f t="shared" ref="G628:H630" si="85">G629</f>
        <v>10</v>
      </c>
      <c r="H628" s="10">
        <f t="shared" si="85"/>
        <v>0</v>
      </c>
    </row>
    <row r="629" spans="1:8" ht="48.95" customHeight="1" x14ac:dyDescent="0.25">
      <c r="A629" s="31" t="s">
        <v>1083</v>
      </c>
      <c r="B629" s="20" t="s">
        <v>1026</v>
      </c>
      <c r="C629" s="40" t="s">
        <v>299</v>
      </c>
      <c r="D629" s="40" t="s">
        <v>118</v>
      </c>
      <c r="E629" s="40"/>
      <c r="F629" s="2"/>
      <c r="G629" s="10">
        <f t="shared" si="85"/>
        <v>10</v>
      </c>
      <c r="H629" s="10">
        <f t="shared" si="85"/>
        <v>0</v>
      </c>
    </row>
    <row r="630" spans="1:8" ht="31.5" x14ac:dyDescent="0.25">
      <c r="A630" s="25" t="s">
        <v>131</v>
      </c>
      <c r="B630" s="20" t="s">
        <v>1026</v>
      </c>
      <c r="C630" s="40" t="s">
        <v>299</v>
      </c>
      <c r="D630" s="40" t="s">
        <v>118</v>
      </c>
      <c r="E630" s="40" t="s">
        <v>132</v>
      </c>
      <c r="F630" s="2"/>
      <c r="G630" s="10">
        <f t="shared" si="85"/>
        <v>10</v>
      </c>
      <c r="H630" s="10">
        <f t="shared" si="85"/>
        <v>0</v>
      </c>
    </row>
    <row r="631" spans="1:8" ht="47.25" x14ac:dyDescent="0.25">
      <c r="A631" s="25" t="s">
        <v>133</v>
      </c>
      <c r="B631" s="20" t="s">
        <v>1026</v>
      </c>
      <c r="C631" s="40" t="s">
        <v>299</v>
      </c>
      <c r="D631" s="40" t="s">
        <v>118</v>
      </c>
      <c r="E631" s="40" t="s">
        <v>134</v>
      </c>
      <c r="F631" s="2"/>
      <c r="G631" s="10">
        <f>'пр.4.1.ведом.22-23'!G405</f>
        <v>10</v>
      </c>
      <c r="H631" s="10">
        <f>'пр.4.1.ведом.22-23'!H405</f>
        <v>0</v>
      </c>
    </row>
    <row r="632" spans="1:8" ht="47.25" x14ac:dyDescent="0.25">
      <c r="A632" s="45" t="s">
        <v>261</v>
      </c>
      <c r="B632" s="20" t="s">
        <v>1026</v>
      </c>
      <c r="C632" s="40" t="s">
        <v>299</v>
      </c>
      <c r="D632" s="40" t="s">
        <v>118</v>
      </c>
      <c r="E632" s="40" t="s">
        <v>134</v>
      </c>
      <c r="F632" s="2">
        <v>903</v>
      </c>
      <c r="G632" s="10">
        <f>G631</f>
        <v>10</v>
      </c>
      <c r="H632" s="10">
        <f>H631</f>
        <v>0</v>
      </c>
    </row>
    <row r="633" spans="1:8" s="203" customFormat="1" ht="31.5" x14ac:dyDescent="0.25">
      <c r="A633" s="31" t="s">
        <v>333</v>
      </c>
      <c r="B633" s="20" t="s">
        <v>934</v>
      </c>
      <c r="C633" s="40" t="s">
        <v>299</v>
      </c>
      <c r="D633" s="40" t="s">
        <v>150</v>
      </c>
      <c r="E633" s="40"/>
      <c r="F633" s="2"/>
      <c r="G633" s="10">
        <f t="shared" ref="G633:H635" si="86">G634</f>
        <v>0</v>
      </c>
      <c r="H633" s="10">
        <f t="shared" si="86"/>
        <v>4</v>
      </c>
    </row>
    <row r="634" spans="1:8" s="203" customFormat="1" ht="52.35" customHeight="1" x14ac:dyDescent="0.25">
      <c r="A634" s="31" t="s">
        <v>1083</v>
      </c>
      <c r="B634" s="20" t="s">
        <v>1026</v>
      </c>
      <c r="C634" s="40" t="s">
        <v>299</v>
      </c>
      <c r="D634" s="40" t="s">
        <v>150</v>
      </c>
      <c r="E634" s="40"/>
      <c r="F634" s="2"/>
      <c r="G634" s="10">
        <f t="shared" si="86"/>
        <v>0</v>
      </c>
      <c r="H634" s="10">
        <f t="shared" si="86"/>
        <v>4</v>
      </c>
    </row>
    <row r="635" spans="1:8" s="203" customFormat="1" ht="31.5" x14ac:dyDescent="0.25">
      <c r="A635" s="25" t="s">
        <v>131</v>
      </c>
      <c r="B635" s="20" t="s">
        <v>1026</v>
      </c>
      <c r="C635" s="40" t="s">
        <v>299</v>
      </c>
      <c r="D635" s="40" t="s">
        <v>150</v>
      </c>
      <c r="E635" s="40" t="s">
        <v>132</v>
      </c>
      <c r="F635" s="2"/>
      <c r="G635" s="10">
        <f t="shared" si="86"/>
        <v>0</v>
      </c>
      <c r="H635" s="10">
        <f t="shared" si="86"/>
        <v>4</v>
      </c>
    </row>
    <row r="636" spans="1:8" s="203" customFormat="1" ht="47.25" x14ac:dyDescent="0.25">
      <c r="A636" s="25" t="s">
        <v>133</v>
      </c>
      <c r="B636" s="20" t="s">
        <v>1026</v>
      </c>
      <c r="C636" s="40" t="s">
        <v>299</v>
      </c>
      <c r="D636" s="40" t="s">
        <v>150</v>
      </c>
      <c r="E636" s="40" t="s">
        <v>134</v>
      </c>
      <c r="F636" s="2"/>
      <c r="G636" s="10">
        <f>'пр.4.1.ведом.22-23'!G444</f>
        <v>0</v>
      </c>
      <c r="H636" s="10">
        <f>'пр.4.1.ведом.22-23'!H444</f>
        <v>4</v>
      </c>
    </row>
    <row r="637" spans="1:8" s="203" customFormat="1" ht="47.25" x14ac:dyDescent="0.25">
      <c r="A637" s="45" t="s">
        <v>261</v>
      </c>
      <c r="B637" s="20" t="s">
        <v>1026</v>
      </c>
      <c r="C637" s="40" t="s">
        <v>299</v>
      </c>
      <c r="D637" s="40" t="s">
        <v>150</v>
      </c>
      <c r="E637" s="40" t="s">
        <v>134</v>
      </c>
      <c r="F637" s="2">
        <v>903</v>
      </c>
      <c r="G637" s="10">
        <f>G634</f>
        <v>0</v>
      </c>
      <c r="H637" s="10">
        <f>H634</f>
        <v>4</v>
      </c>
    </row>
    <row r="638" spans="1:8" ht="15.75" x14ac:dyDescent="0.25">
      <c r="A638" s="73" t="s">
        <v>490</v>
      </c>
      <c r="B638" s="40" t="s">
        <v>934</v>
      </c>
      <c r="C638" s="40" t="s">
        <v>491</v>
      </c>
      <c r="D638" s="73"/>
      <c r="E638" s="73"/>
      <c r="F638" s="73"/>
      <c r="G638" s="10">
        <f t="shared" ref="G638:H639" si="87">G639</f>
        <v>0</v>
      </c>
      <c r="H638" s="10">
        <f t="shared" si="87"/>
        <v>8</v>
      </c>
    </row>
    <row r="639" spans="1:8" ht="15.75" x14ac:dyDescent="0.25">
      <c r="A639" s="73" t="s">
        <v>492</v>
      </c>
      <c r="B639" s="40" t="s">
        <v>934</v>
      </c>
      <c r="C639" s="40" t="s">
        <v>491</v>
      </c>
      <c r="D639" s="40" t="s">
        <v>118</v>
      </c>
      <c r="E639" s="73"/>
      <c r="F639" s="73"/>
      <c r="G639" s="10">
        <f t="shared" si="87"/>
        <v>0</v>
      </c>
      <c r="H639" s="10">
        <f t="shared" si="87"/>
        <v>8</v>
      </c>
    </row>
    <row r="640" spans="1:8" ht="47.25" x14ac:dyDescent="0.25">
      <c r="A640" s="31" t="s">
        <v>1084</v>
      </c>
      <c r="B640" s="40" t="s">
        <v>935</v>
      </c>
      <c r="C640" s="40" t="s">
        <v>491</v>
      </c>
      <c r="D640" s="40" t="s">
        <v>118</v>
      </c>
      <c r="E640" s="73"/>
      <c r="F640" s="73"/>
      <c r="G640" s="10">
        <f>G641</f>
        <v>0</v>
      </c>
      <c r="H640" s="10">
        <f>H641</f>
        <v>8</v>
      </c>
    </row>
    <row r="641" spans="1:8" ht="47.25" x14ac:dyDescent="0.25">
      <c r="A641" s="25" t="s">
        <v>272</v>
      </c>
      <c r="B641" s="40" t="s">
        <v>935</v>
      </c>
      <c r="C641" s="40" t="s">
        <v>491</v>
      </c>
      <c r="D641" s="40" t="s">
        <v>118</v>
      </c>
      <c r="E641" s="40" t="s">
        <v>273</v>
      </c>
      <c r="F641" s="73"/>
      <c r="G641" s="10">
        <f>G642</f>
        <v>0</v>
      </c>
      <c r="H641" s="10">
        <f>H642</f>
        <v>8</v>
      </c>
    </row>
    <row r="642" spans="1:8" ht="15.75" x14ac:dyDescent="0.25">
      <c r="A642" s="25" t="s">
        <v>274</v>
      </c>
      <c r="B642" s="40" t="s">
        <v>935</v>
      </c>
      <c r="C642" s="40" t="s">
        <v>491</v>
      </c>
      <c r="D642" s="40" t="s">
        <v>118</v>
      </c>
      <c r="E642" s="40" t="s">
        <v>275</v>
      </c>
      <c r="F642" s="73"/>
      <c r="G642" s="10">
        <f>'пр.4.1.ведом.22-23'!G797</f>
        <v>0</v>
      </c>
      <c r="H642" s="10">
        <f>'пр.4.1.ведом.22-23'!H797</f>
        <v>8</v>
      </c>
    </row>
    <row r="643" spans="1:8" ht="47.25" x14ac:dyDescent="0.25">
      <c r="A643" s="45" t="s">
        <v>480</v>
      </c>
      <c r="B643" s="40" t="s">
        <v>935</v>
      </c>
      <c r="C643" s="40" t="s">
        <v>491</v>
      </c>
      <c r="D643" s="40" t="s">
        <v>118</v>
      </c>
      <c r="E643" s="40" t="s">
        <v>275</v>
      </c>
      <c r="F643" s="2">
        <v>907</v>
      </c>
      <c r="G643" s="10">
        <f>G642</f>
        <v>0</v>
      </c>
      <c r="H643" s="10">
        <f>H642</f>
        <v>8</v>
      </c>
    </row>
    <row r="644" spans="1:8" ht="47.25" x14ac:dyDescent="0.25">
      <c r="A644" s="41" t="s">
        <v>1373</v>
      </c>
      <c r="B644" s="7" t="s">
        <v>543</v>
      </c>
      <c r="C644" s="2"/>
      <c r="D644" s="2"/>
      <c r="E644" s="2"/>
      <c r="F644" s="2"/>
      <c r="G644" s="59">
        <f>G645+G685</f>
        <v>1920</v>
      </c>
      <c r="H644" s="59">
        <f>H645+H685</f>
        <v>2173</v>
      </c>
    </row>
    <row r="645" spans="1:8" ht="49.7" customHeight="1" x14ac:dyDescent="0.25">
      <c r="A645" s="23" t="s">
        <v>1446</v>
      </c>
      <c r="B645" s="7" t="s">
        <v>1279</v>
      </c>
      <c r="C645" s="7"/>
      <c r="D645" s="7"/>
      <c r="E645" s="3"/>
      <c r="F645" s="3"/>
      <c r="G645" s="59">
        <f>G646</f>
        <v>1920</v>
      </c>
      <c r="H645" s="59">
        <f>H646</f>
        <v>2173</v>
      </c>
    </row>
    <row r="646" spans="1:8" ht="15.75" x14ac:dyDescent="0.25">
      <c r="A646" s="73" t="s">
        <v>390</v>
      </c>
      <c r="B646" s="40" t="s">
        <v>1279</v>
      </c>
      <c r="C646" s="40" t="s">
        <v>234</v>
      </c>
      <c r="D646" s="40"/>
      <c r="E646" s="2"/>
      <c r="F646" s="2"/>
      <c r="G646" s="10">
        <f t="shared" ref="G646:H646" si="88">G647</f>
        <v>1920</v>
      </c>
      <c r="H646" s="10">
        <f t="shared" si="88"/>
        <v>2173</v>
      </c>
    </row>
    <row r="647" spans="1:8" ht="15.75" x14ac:dyDescent="0.25">
      <c r="A647" s="73" t="s">
        <v>541</v>
      </c>
      <c r="B647" s="40" t="s">
        <v>1279</v>
      </c>
      <c r="C647" s="40" t="s">
        <v>234</v>
      </c>
      <c r="D647" s="40" t="s">
        <v>215</v>
      </c>
      <c r="E647" s="2"/>
      <c r="F647" s="2"/>
      <c r="G647" s="10">
        <f>G648+G652+G662+G666+G670+G677+G681</f>
        <v>1920</v>
      </c>
      <c r="H647" s="10">
        <f>H648+H652+H662+H666+H670+H677+H681</f>
        <v>2173</v>
      </c>
    </row>
    <row r="648" spans="1:8" ht="31.5" x14ac:dyDescent="0.25">
      <c r="A648" s="25" t="s">
        <v>546</v>
      </c>
      <c r="B648" s="20" t="s">
        <v>1442</v>
      </c>
      <c r="C648" s="40" t="s">
        <v>234</v>
      </c>
      <c r="D648" s="40" t="s">
        <v>215</v>
      </c>
      <c r="E648" s="2"/>
      <c r="F648" s="2"/>
      <c r="G648" s="10">
        <f t="shared" ref="G648:H649" si="89">G649</f>
        <v>365</v>
      </c>
      <c r="H648" s="10">
        <f t="shared" si="89"/>
        <v>365</v>
      </c>
    </row>
    <row r="649" spans="1:8" ht="31.5" x14ac:dyDescent="0.25">
      <c r="A649" s="25" t="s">
        <v>131</v>
      </c>
      <c r="B649" s="20" t="s">
        <v>1442</v>
      </c>
      <c r="C649" s="40" t="s">
        <v>234</v>
      </c>
      <c r="D649" s="40" t="s">
        <v>215</v>
      </c>
      <c r="E649" s="2">
        <v>200</v>
      </c>
      <c r="F649" s="2"/>
      <c r="G649" s="10">
        <f t="shared" si="89"/>
        <v>365</v>
      </c>
      <c r="H649" s="10">
        <f t="shared" si="89"/>
        <v>365</v>
      </c>
    </row>
    <row r="650" spans="1:8" ht="47.25" x14ac:dyDescent="0.25">
      <c r="A650" s="25" t="s">
        <v>133</v>
      </c>
      <c r="B650" s="20" t="s">
        <v>1442</v>
      </c>
      <c r="C650" s="40" t="s">
        <v>234</v>
      </c>
      <c r="D650" s="40" t="s">
        <v>215</v>
      </c>
      <c r="E650" s="2">
        <v>240</v>
      </c>
      <c r="F650" s="2"/>
      <c r="G650" s="10">
        <f>'пр.4.1.ведом.22-23'!G967</f>
        <v>365</v>
      </c>
      <c r="H650" s="10">
        <f>'пр.4.1.ведом.22-23'!H967</f>
        <v>365</v>
      </c>
    </row>
    <row r="651" spans="1:8" ht="47.25" x14ac:dyDescent="0.25">
      <c r="A651" s="45" t="s">
        <v>623</v>
      </c>
      <c r="B651" s="20" t="s">
        <v>1442</v>
      </c>
      <c r="C651" s="40" t="s">
        <v>234</v>
      </c>
      <c r="D651" s="40" t="s">
        <v>215</v>
      </c>
      <c r="E651" s="2">
        <v>240</v>
      </c>
      <c r="F651" s="2">
        <v>908</v>
      </c>
      <c r="G651" s="10">
        <f>G650</f>
        <v>365</v>
      </c>
      <c r="H651" s="10">
        <f>H650</f>
        <v>365</v>
      </c>
    </row>
    <row r="652" spans="1:8" ht="15.75" x14ac:dyDescent="0.25">
      <c r="A652" s="25" t="s">
        <v>548</v>
      </c>
      <c r="B652" s="20" t="s">
        <v>1430</v>
      </c>
      <c r="C652" s="40" t="s">
        <v>234</v>
      </c>
      <c r="D652" s="40" t="s">
        <v>215</v>
      </c>
      <c r="E652" s="2"/>
      <c r="F652" s="2"/>
      <c r="G652" s="10">
        <f>G653+G656+G659</f>
        <v>1080</v>
      </c>
      <c r="H652" s="10">
        <f>H653+H656+H659</f>
        <v>1188</v>
      </c>
    </row>
    <row r="653" spans="1:8" ht="31.5" x14ac:dyDescent="0.25">
      <c r="A653" s="25" t="s">
        <v>131</v>
      </c>
      <c r="B653" s="20" t="s">
        <v>1430</v>
      </c>
      <c r="C653" s="40" t="s">
        <v>234</v>
      </c>
      <c r="D653" s="40" t="s">
        <v>215</v>
      </c>
      <c r="E653" s="2">
        <v>200</v>
      </c>
      <c r="F653" s="2"/>
      <c r="G653" s="10">
        <f t="shared" ref="G653:H653" si="90">G654</f>
        <v>1080</v>
      </c>
      <c r="H653" s="10">
        <f t="shared" si="90"/>
        <v>1188</v>
      </c>
    </row>
    <row r="654" spans="1:8" ht="47.25" x14ac:dyDescent="0.25">
      <c r="A654" s="25" t="s">
        <v>133</v>
      </c>
      <c r="B654" s="20" t="s">
        <v>1430</v>
      </c>
      <c r="C654" s="40" t="s">
        <v>234</v>
      </c>
      <c r="D654" s="40" t="s">
        <v>215</v>
      </c>
      <c r="E654" s="2">
        <v>240</v>
      </c>
      <c r="F654" s="2"/>
      <c r="G654" s="10">
        <f>'пр.4.1.ведом.22-23'!G970</f>
        <v>1080</v>
      </c>
      <c r="H654" s="10">
        <f>'пр.4.1.ведом.22-23'!H970</f>
        <v>1188</v>
      </c>
    </row>
    <row r="655" spans="1:8" ht="47.25" x14ac:dyDescent="0.25">
      <c r="A655" s="45" t="s">
        <v>623</v>
      </c>
      <c r="B655" s="20" t="s">
        <v>1430</v>
      </c>
      <c r="C655" s="40" t="s">
        <v>234</v>
      </c>
      <c r="D655" s="40" t="s">
        <v>215</v>
      </c>
      <c r="E655" s="2">
        <v>240</v>
      </c>
      <c r="F655" s="2">
        <v>908</v>
      </c>
      <c r="G655" s="10">
        <f>G654</f>
        <v>1080</v>
      </c>
      <c r="H655" s="10">
        <f>H654</f>
        <v>1188</v>
      </c>
    </row>
    <row r="656" spans="1:8" ht="15.75" hidden="1" x14ac:dyDescent="0.25">
      <c r="A656" s="25" t="s">
        <v>135</v>
      </c>
      <c r="B656" s="20" t="s">
        <v>1430</v>
      </c>
      <c r="C656" s="40" t="s">
        <v>234</v>
      </c>
      <c r="D656" s="40" t="s">
        <v>215</v>
      </c>
      <c r="E656" s="2">
        <v>800</v>
      </c>
      <c r="F656" s="2"/>
      <c r="G656" s="10">
        <f>G657</f>
        <v>0</v>
      </c>
      <c r="H656" s="10">
        <f>H657</f>
        <v>0</v>
      </c>
    </row>
    <row r="657" spans="1:8" ht="47.25" hidden="1" x14ac:dyDescent="0.25">
      <c r="A657" s="25" t="s">
        <v>836</v>
      </c>
      <c r="B657" s="20" t="s">
        <v>1430</v>
      </c>
      <c r="C657" s="40" t="s">
        <v>234</v>
      </c>
      <c r="D657" s="40" t="s">
        <v>215</v>
      </c>
      <c r="E657" s="2">
        <v>830</v>
      </c>
      <c r="F657" s="2"/>
      <c r="G657" s="10">
        <f>'пр.4.1.ведом.22-23'!G972</f>
        <v>0</v>
      </c>
      <c r="H657" s="10">
        <f>'пр.4.1.ведом.22-23'!H972</f>
        <v>0</v>
      </c>
    </row>
    <row r="658" spans="1:8" ht="47.25" hidden="1" x14ac:dyDescent="0.25">
      <c r="A658" s="45" t="s">
        <v>623</v>
      </c>
      <c r="B658" s="20" t="s">
        <v>1430</v>
      </c>
      <c r="C658" s="40" t="s">
        <v>234</v>
      </c>
      <c r="D658" s="40" t="s">
        <v>215</v>
      </c>
      <c r="E658" s="2">
        <v>830</v>
      </c>
      <c r="F658" s="2">
        <v>908</v>
      </c>
      <c r="G658" s="10">
        <f>G657</f>
        <v>0</v>
      </c>
      <c r="H658" s="10">
        <f>H657</f>
        <v>0</v>
      </c>
    </row>
    <row r="659" spans="1:8" ht="15.75" hidden="1" x14ac:dyDescent="0.25">
      <c r="A659" s="25" t="s">
        <v>135</v>
      </c>
      <c r="B659" s="20" t="s">
        <v>1430</v>
      </c>
      <c r="C659" s="40" t="s">
        <v>234</v>
      </c>
      <c r="D659" s="40" t="s">
        <v>215</v>
      </c>
      <c r="E659" s="2">
        <v>800</v>
      </c>
      <c r="F659" s="2"/>
      <c r="G659" s="10">
        <f>G660</f>
        <v>0</v>
      </c>
      <c r="H659" s="10">
        <f>H660</f>
        <v>0</v>
      </c>
    </row>
    <row r="660" spans="1:8" ht="15.75" hidden="1" x14ac:dyDescent="0.25">
      <c r="A660" s="25" t="s">
        <v>1080</v>
      </c>
      <c r="B660" s="20" t="s">
        <v>1430</v>
      </c>
      <c r="C660" s="40" t="s">
        <v>234</v>
      </c>
      <c r="D660" s="40" t="s">
        <v>215</v>
      </c>
      <c r="E660" s="2">
        <v>850</v>
      </c>
      <c r="F660" s="2"/>
      <c r="G660" s="10">
        <f>'пр.4.1.ведом.22-23'!G973</f>
        <v>0</v>
      </c>
      <c r="H660" s="10">
        <f>'пр.4.1.ведом.22-23'!H973</f>
        <v>0</v>
      </c>
    </row>
    <row r="661" spans="1:8" ht="47.25" hidden="1" x14ac:dyDescent="0.25">
      <c r="A661" s="45" t="s">
        <v>623</v>
      </c>
      <c r="B661" s="20" t="s">
        <v>1430</v>
      </c>
      <c r="C661" s="40" t="s">
        <v>234</v>
      </c>
      <c r="D661" s="40" t="s">
        <v>215</v>
      </c>
      <c r="E661" s="2">
        <v>850</v>
      </c>
      <c r="F661" s="2">
        <v>908</v>
      </c>
      <c r="G661" s="10">
        <f>G660</f>
        <v>0</v>
      </c>
      <c r="H661" s="10">
        <f>H660</f>
        <v>0</v>
      </c>
    </row>
    <row r="662" spans="1:8" ht="15.75" hidden="1" x14ac:dyDescent="0.25">
      <c r="A662" s="25" t="s">
        <v>550</v>
      </c>
      <c r="B662" s="20" t="s">
        <v>1303</v>
      </c>
      <c r="C662" s="40" t="s">
        <v>234</v>
      </c>
      <c r="D662" s="40" t="s">
        <v>215</v>
      </c>
      <c r="E662" s="2"/>
      <c r="F662" s="2"/>
      <c r="G662" s="10">
        <f t="shared" ref="G662:H662" si="91">G663</f>
        <v>0</v>
      </c>
      <c r="H662" s="10">
        <f t="shared" si="91"/>
        <v>0</v>
      </c>
    </row>
    <row r="663" spans="1:8" ht="31.5" hidden="1" x14ac:dyDescent="0.25">
      <c r="A663" s="25" t="s">
        <v>131</v>
      </c>
      <c r="B663" s="20" t="s">
        <v>1303</v>
      </c>
      <c r="C663" s="40" t="s">
        <v>234</v>
      </c>
      <c r="D663" s="40" t="s">
        <v>215</v>
      </c>
      <c r="E663" s="2">
        <v>200</v>
      </c>
      <c r="F663" s="2"/>
      <c r="G663" s="10">
        <f>G664</f>
        <v>0</v>
      </c>
      <c r="H663" s="10">
        <f>H664</f>
        <v>0</v>
      </c>
    </row>
    <row r="664" spans="1:8" ht="47.25" hidden="1" x14ac:dyDescent="0.25">
      <c r="A664" s="25" t="s">
        <v>133</v>
      </c>
      <c r="B664" s="20" t="s">
        <v>1303</v>
      </c>
      <c r="C664" s="40" t="s">
        <v>234</v>
      </c>
      <c r="D664" s="40" t="s">
        <v>215</v>
      </c>
      <c r="E664" s="2">
        <v>240</v>
      </c>
      <c r="F664" s="2"/>
      <c r="G664" s="10">
        <f>'пр.4.1.ведом.22-23'!G976</f>
        <v>0</v>
      </c>
      <c r="H664" s="10">
        <f>'пр.4.1.ведом.22-23'!H976</f>
        <v>0</v>
      </c>
    </row>
    <row r="665" spans="1:8" ht="47.25" hidden="1" x14ac:dyDescent="0.25">
      <c r="A665" s="45" t="s">
        <v>623</v>
      </c>
      <c r="B665" s="20" t="s">
        <v>1303</v>
      </c>
      <c r="C665" s="40" t="s">
        <v>234</v>
      </c>
      <c r="D665" s="40" t="s">
        <v>215</v>
      </c>
      <c r="E665" s="2">
        <v>240</v>
      </c>
      <c r="F665" s="2">
        <v>908</v>
      </c>
      <c r="G665" s="10">
        <f>G664</f>
        <v>0</v>
      </c>
      <c r="H665" s="10">
        <f>H664</f>
        <v>0</v>
      </c>
    </row>
    <row r="666" spans="1:8" ht="15.75" x14ac:dyDescent="0.25">
      <c r="A666" s="25" t="s">
        <v>555</v>
      </c>
      <c r="B666" s="20" t="s">
        <v>1280</v>
      </c>
      <c r="C666" s="40" t="s">
        <v>234</v>
      </c>
      <c r="D666" s="40" t="s">
        <v>215</v>
      </c>
      <c r="E666" s="2"/>
      <c r="F666" s="2"/>
      <c r="G666" s="10">
        <f t="shared" ref="G666:H667" si="92">G667</f>
        <v>50</v>
      </c>
      <c r="H666" s="10">
        <f t="shared" si="92"/>
        <v>55</v>
      </c>
    </row>
    <row r="667" spans="1:8" ht="31.5" x14ac:dyDescent="0.25">
      <c r="A667" s="25" t="s">
        <v>131</v>
      </c>
      <c r="B667" s="20" t="s">
        <v>1280</v>
      </c>
      <c r="C667" s="40" t="s">
        <v>234</v>
      </c>
      <c r="D667" s="40" t="s">
        <v>215</v>
      </c>
      <c r="E667" s="2">
        <v>200</v>
      </c>
      <c r="F667" s="2"/>
      <c r="G667" s="10">
        <f t="shared" si="92"/>
        <v>50</v>
      </c>
      <c r="H667" s="10">
        <f t="shared" si="92"/>
        <v>55</v>
      </c>
    </row>
    <row r="668" spans="1:8" ht="47.25" x14ac:dyDescent="0.25">
      <c r="A668" s="25" t="s">
        <v>133</v>
      </c>
      <c r="B668" s="20" t="s">
        <v>1280</v>
      </c>
      <c r="C668" s="40" t="s">
        <v>234</v>
      </c>
      <c r="D668" s="40" t="s">
        <v>215</v>
      </c>
      <c r="E668" s="2">
        <v>240</v>
      </c>
      <c r="F668" s="2"/>
      <c r="G668" s="10">
        <f>'пр.4.1.ведом.22-23'!G979</f>
        <v>50</v>
      </c>
      <c r="H668" s="10">
        <f>'пр.4.1.ведом.22-23'!H979</f>
        <v>55</v>
      </c>
    </row>
    <row r="669" spans="1:8" ht="47.25" x14ac:dyDescent="0.25">
      <c r="A669" s="45" t="s">
        <v>623</v>
      </c>
      <c r="B669" s="20" t="s">
        <v>1280</v>
      </c>
      <c r="C669" s="40" t="s">
        <v>234</v>
      </c>
      <c r="D669" s="40" t="s">
        <v>215</v>
      </c>
      <c r="E669" s="2">
        <v>240</v>
      </c>
      <c r="F669" s="2">
        <v>908</v>
      </c>
      <c r="G669" s="10">
        <f>G668</f>
        <v>50</v>
      </c>
      <c r="H669" s="10">
        <f>H668</f>
        <v>55</v>
      </c>
    </row>
    <row r="670" spans="1:8" ht="31.5" x14ac:dyDescent="0.25">
      <c r="A670" s="300" t="s">
        <v>1284</v>
      </c>
      <c r="B670" s="20" t="s">
        <v>1281</v>
      </c>
      <c r="C670" s="40" t="s">
        <v>234</v>
      </c>
      <c r="D670" s="40" t="s">
        <v>215</v>
      </c>
      <c r="E670" s="2"/>
      <c r="F670" s="2"/>
      <c r="G670" s="10">
        <f>G671+G674</f>
        <v>375</v>
      </c>
      <c r="H670" s="10">
        <f>H671+H674</f>
        <v>375</v>
      </c>
    </row>
    <row r="671" spans="1:8" ht="31.5" x14ac:dyDescent="0.25">
      <c r="A671" s="25" t="s">
        <v>131</v>
      </c>
      <c r="B671" s="20" t="s">
        <v>1281</v>
      </c>
      <c r="C671" s="40" t="s">
        <v>234</v>
      </c>
      <c r="D671" s="40" t="s">
        <v>215</v>
      </c>
      <c r="E671" s="2">
        <v>200</v>
      </c>
      <c r="F671" s="2"/>
      <c r="G671" s="10">
        <f t="shared" ref="G671:H671" si="93">G672</f>
        <v>300</v>
      </c>
      <c r="H671" s="10">
        <f t="shared" si="93"/>
        <v>300</v>
      </c>
    </row>
    <row r="672" spans="1:8" ht="47.25" x14ac:dyDescent="0.25">
      <c r="A672" s="25" t="s">
        <v>133</v>
      </c>
      <c r="B672" s="20" t="s">
        <v>1281</v>
      </c>
      <c r="C672" s="40" t="s">
        <v>234</v>
      </c>
      <c r="D672" s="40" t="s">
        <v>215</v>
      </c>
      <c r="E672" s="2">
        <v>240</v>
      </c>
      <c r="F672" s="2"/>
      <c r="G672" s="10">
        <f>'пр.4.1.ведом.22-23'!G982</f>
        <v>300</v>
      </c>
      <c r="H672" s="10">
        <f>'пр.4.1.ведом.22-23'!H982</f>
        <v>300</v>
      </c>
    </row>
    <row r="673" spans="1:8" ht="47.25" x14ac:dyDescent="0.25">
      <c r="A673" s="45" t="s">
        <v>623</v>
      </c>
      <c r="B673" s="20" t="s">
        <v>1281</v>
      </c>
      <c r="C673" s="40" t="s">
        <v>234</v>
      </c>
      <c r="D673" s="40" t="s">
        <v>215</v>
      </c>
      <c r="E673" s="2">
        <v>240</v>
      </c>
      <c r="F673" s="2">
        <v>908</v>
      </c>
      <c r="G673" s="10">
        <f>G672</f>
        <v>300</v>
      </c>
      <c r="H673" s="10">
        <f>H672</f>
        <v>300</v>
      </c>
    </row>
    <row r="674" spans="1:8" ht="15.75" x14ac:dyDescent="0.25">
      <c r="A674" s="29" t="s">
        <v>135</v>
      </c>
      <c r="B674" s="20" t="s">
        <v>1281</v>
      </c>
      <c r="C674" s="40" t="s">
        <v>234</v>
      </c>
      <c r="D674" s="40" t="s">
        <v>215</v>
      </c>
      <c r="E674" s="2">
        <v>800</v>
      </c>
      <c r="F674" s="2"/>
      <c r="G674" s="10">
        <f>G675</f>
        <v>75</v>
      </c>
      <c r="H674" s="10">
        <f>H675</f>
        <v>75</v>
      </c>
    </row>
    <row r="675" spans="1:8" s="203" customFormat="1" ht="15.75" x14ac:dyDescent="0.25">
      <c r="A675" s="25" t="s">
        <v>704</v>
      </c>
      <c r="B675" s="20" t="s">
        <v>1281</v>
      </c>
      <c r="C675" s="40" t="s">
        <v>234</v>
      </c>
      <c r="D675" s="40" t="s">
        <v>215</v>
      </c>
      <c r="E675" s="2">
        <v>850</v>
      </c>
      <c r="F675" s="2"/>
      <c r="G675" s="10">
        <f>'пр.4.1.ведом.22-23'!G984</f>
        <v>75</v>
      </c>
      <c r="H675" s="10">
        <f>'пр.4.1.ведом.22-23'!H984</f>
        <v>75</v>
      </c>
    </row>
    <row r="676" spans="1:8" s="203" customFormat="1" ht="47.25" x14ac:dyDescent="0.25">
      <c r="A676" s="45" t="s">
        <v>623</v>
      </c>
      <c r="B676" s="20" t="s">
        <v>1281</v>
      </c>
      <c r="C676" s="40" t="s">
        <v>234</v>
      </c>
      <c r="D676" s="40" t="s">
        <v>215</v>
      </c>
      <c r="E676" s="2">
        <v>850</v>
      </c>
      <c r="F676" s="2">
        <v>908</v>
      </c>
      <c r="G676" s="10">
        <f>G675</f>
        <v>75</v>
      </c>
      <c r="H676" s="10">
        <f>H675</f>
        <v>75</v>
      </c>
    </row>
    <row r="677" spans="1:8" s="203" customFormat="1" ht="31.5" x14ac:dyDescent="0.25">
      <c r="A677" s="45" t="s">
        <v>559</v>
      </c>
      <c r="B677" s="20" t="s">
        <v>1282</v>
      </c>
      <c r="C677" s="40" t="s">
        <v>234</v>
      </c>
      <c r="D677" s="40" t="s">
        <v>215</v>
      </c>
      <c r="E677" s="2"/>
      <c r="F677" s="2"/>
      <c r="G677" s="10">
        <f t="shared" ref="G677:H678" si="94">G678</f>
        <v>0</v>
      </c>
      <c r="H677" s="10">
        <f t="shared" si="94"/>
        <v>130</v>
      </c>
    </row>
    <row r="678" spans="1:8" s="203" customFormat="1" ht="31.5" x14ac:dyDescent="0.25">
      <c r="A678" s="25" t="s">
        <v>131</v>
      </c>
      <c r="B678" s="20" t="s">
        <v>1282</v>
      </c>
      <c r="C678" s="40" t="s">
        <v>234</v>
      </c>
      <c r="D678" s="40" t="s">
        <v>215</v>
      </c>
      <c r="E678" s="2">
        <v>200</v>
      </c>
      <c r="F678" s="2"/>
      <c r="G678" s="10">
        <f t="shared" si="94"/>
        <v>0</v>
      </c>
      <c r="H678" s="10">
        <f t="shared" si="94"/>
        <v>130</v>
      </c>
    </row>
    <row r="679" spans="1:8" ht="47.25" x14ac:dyDescent="0.25">
      <c r="A679" s="25" t="s">
        <v>133</v>
      </c>
      <c r="B679" s="20" t="s">
        <v>1282</v>
      </c>
      <c r="C679" s="40" t="s">
        <v>234</v>
      </c>
      <c r="D679" s="40" t="s">
        <v>215</v>
      </c>
      <c r="E679" s="2">
        <v>240</v>
      </c>
      <c r="F679" s="2"/>
      <c r="G679" s="10">
        <f>'пр.4.1.ведом.22-23'!G987</f>
        <v>0</v>
      </c>
      <c r="H679" s="10">
        <f>'пр.4.1.ведом.22-23'!H987</f>
        <v>130</v>
      </c>
    </row>
    <row r="680" spans="1:8" ht="47.25" x14ac:dyDescent="0.25">
      <c r="A680" s="45" t="s">
        <v>623</v>
      </c>
      <c r="B680" s="20" t="s">
        <v>1282</v>
      </c>
      <c r="C680" s="40" t="s">
        <v>234</v>
      </c>
      <c r="D680" s="40" t="s">
        <v>215</v>
      </c>
      <c r="E680" s="2">
        <v>850</v>
      </c>
      <c r="F680" s="2">
        <v>908</v>
      </c>
      <c r="G680" s="10">
        <f>G679</f>
        <v>0</v>
      </c>
      <c r="H680" s="10">
        <f>H679</f>
        <v>130</v>
      </c>
    </row>
    <row r="681" spans="1:8" ht="31.5" x14ac:dyDescent="0.25">
      <c r="A681" s="228" t="s">
        <v>1092</v>
      </c>
      <c r="B681" s="20" t="s">
        <v>1283</v>
      </c>
      <c r="C681" s="40" t="s">
        <v>234</v>
      </c>
      <c r="D681" s="40" t="s">
        <v>215</v>
      </c>
      <c r="E681" s="2"/>
      <c r="F681" s="2"/>
      <c r="G681" s="10">
        <f>G682</f>
        <v>50</v>
      </c>
      <c r="H681" s="10">
        <f>H682</f>
        <v>60</v>
      </c>
    </row>
    <row r="682" spans="1:8" ht="31.5" x14ac:dyDescent="0.25">
      <c r="A682" s="25" t="s">
        <v>131</v>
      </c>
      <c r="B682" s="20" t="s">
        <v>1283</v>
      </c>
      <c r="C682" s="40" t="s">
        <v>234</v>
      </c>
      <c r="D682" s="40" t="s">
        <v>215</v>
      </c>
      <c r="E682" s="2">
        <v>200</v>
      </c>
      <c r="F682" s="2"/>
      <c r="G682" s="10">
        <f>G683</f>
        <v>50</v>
      </c>
      <c r="H682" s="10">
        <f>H683</f>
        <v>60</v>
      </c>
    </row>
    <row r="683" spans="1:8" ht="47.25" x14ac:dyDescent="0.25">
      <c r="A683" s="25" t="s">
        <v>133</v>
      </c>
      <c r="B683" s="20" t="s">
        <v>1283</v>
      </c>
      <c r="C683" s="40" t="s">
        <v>234</v>
      </c>
      <c r="D683" s="40" t="s">
        <v>215</v>
      </c>
      <c r="E683" s="2">
        <v>240</v>
      </c>
      <c r="F683" s="2"/>
      <c r="G683" s="10">
        <f>'пр.4.1.ведом.22-23'!G990</f>
        <v>50</v>
      </c>
      <c r="H683" s="10">
        <f>'пр.4.1.ведом.22-23'!H990</f>
        <v>60</v>
      </c>
    </row>
    <row r="684" spans="1:8" ht="47.25" x14ac:dyDescent="0.25">
      <c r="A684" s="45" t="s">
        <v>623</v>
      </c>
      <c r="B684" s="20" t="s">
        <v>1283</v>
      </c>
      <c r="C684" s="40" t="s">
        <v>234</v>
      </c>
      <c r="D684" s="40" t="s">
        <v>215</v>
      </c>
      <c r="E684" s="2">
        <v>240</v>
      </c>
      <c r="F684" s="2">
        <v>908</v>
      </c>
      <c r="G684" s="10">
        <f>G683</f>
        <v>50</v>
      </c>
      <c r="H684" s="10">
        <f>H683</f>
        <v>60</v>
      </c>
    </row>
    <row r="685" spans="1:8" ht="31.5" hidden="1" x14ac:dyDescent="0.25">
      <c r="A685" s="23" t="s">
        <v>891</v>
      </c>
      <c r="B685" s="24" t="s">
        <v>1301</v>
      </c>
      <c r="C685" s="7"/>
      <c r="D685" s="7"/>
      <c r="E685" s="3"/>
      <c r="F685" s="3"/>
      <c r="G685" s="59">
        <f>G686</f>
        <v>0</v>
      </c>
      <c r="H685" s="59">
        <f>H686</f>
        <v>0</v>
      </c>
    </row>
    <row r="686" spans="1:8" ht="15.75" hidden="1" x14ac:dyDescent="0.25">
      <c r="A686" s="73" t="s">
        <v>390</v>
      </c>
      <c r="B686" s="20" t="s">
        <v>1301</v>
      </c>
      <c r="C686" s="40" t="s">
        <v>234</v>
      </c>
      <c r="D686" s="40"/>
      <c r="E686" s="2"/>
      <c r="F686" s="2"/>
      <c r="G686" s="10">
        <f t="shared" ref="G686:H686" si="95">G687</f>
        <v>0</v>
      </c>
      <c r="H686" s="10">
        <f t="shared" si="95"/>
        <v>0</v>
      </c>
    </row>
    <row r="687" spans="1:8" ht="15.75" hidden="1" x14ac:dyDescent="0.25">
      <c r="A687" s="73" t="s">
        <v>541</v>
      </c>
      <c r="B687" s="20" t="s">
        <v>1301</v>
      </c>
      <c r="C687" s="40" t="s">
        <v>234</v>
      </c>
      <c r="D687" s="40" t="s">
        <v>215</v>
      </c>
      <c r="E687" s="2"/>
      <c r="F687" s="2"/>
      <c r="G687" s="10">
        <f>G688+G692</f>
        <v>0</v>
      </c>
      <c r="H687" s="10">
        <f>H688+H692</f>
        <v>0</v>
      </c>
    </row>
    <row r="688" spans="1:8" ht="47.25" hidden="1" x14ac:dyDescent="0.25">
      <c r="A688" s="25" t="s">
        <v>690</v>
      </c>
      <c r="B688" s="20" t="s">
        <v>1334</v>
      </c>
      <c r="C688" s="40" t="s">
        <v>234</v>
      </c>
      <c r="D688" s="40" t="s">
        <v>215</v>
      </c>
      <c r="E688" s="2"/>
      <c r="F688" s="2"/>
      <c r="G688" s="10">
        <f>G689</f>
        <v>0</v>
      </c>
      <c r="H688" s="10">
        <f>H689</f>
        <v>0</v>
      </c>
    </row>
    <row r="689" spans="1:8" ht="31.5" hidden="1" x14ac:dyDescent="0.25">
      <c r="A689" s="25" t="s">
        <v>131</v>
      </c>
      <c r="B689" s="20" t="s">
        <v>1334</v>
      </c>
      <c r="C689" s="40" t="s">
        <v>234</v>
      </c>
      <c r="D689" s="40" t="s">
        <v>215</v>
      </c>
      <c r="E689" s="20" t="s">
        <v>132</v>
      </c>
      <c r="F689" s="2"/>
      <c r="G689" s="10">
        <f>G690</f>
        <v>0</v>
      </c>
      <c r="H689" s="10">
        <f>H690</f>
        <v>0</v>
      </c>
    </row>
    <row r="690" spans="1:8" ht="47.25" hidden="1" x14ac:dyDescent="0.25">
      <c r="A690" s="25" t="s">
        <v>133</v>
      </c>
      <c r="B690" s="20" t="s">
        <v>1334</v>
      </c>
      <c r="C690" s="40" t="s">
        <v>234</v>
      </c>
      <c r="D690" s="40" t="s">
        <v>215</v>
      </c>
      <c r="E690" s="20" t="s">
        <v>134</v>
      </c>
      <c r="F690" s="2"/>
      <c r="G690" s="10">
        <f>'пр.4.1.ведом.22-23'!G994</f>
        <v>0</v>
      </c>
      <c r="H690" s="10">
        <f>'пр.4.1.ведом.22-23'!H994</f>
        <v>0</v>
      </c>
    </row>
    <row r="691" spans="1:8" ht="47.25" hidden="1" x14ac:dyDescent="0.25">
      <c r="A691" s="45" t="s">
        <v>623</v>
      </c>
      <c r="B691" s="20" t="s">
        <v>1334</v>
      </c>
      <c r="C691" s="40" t="s">
        <v>234</v>
      </c>
      <c r="D691" s="40" t="s">
        <v>215</v>
      </c>
      <c r="E691" s="20" t="s">
        <v>134</v>
      </c>
      <c r="F691" s="2">
        <v>908</v>
      </c>
      <c r="G691" s="10">
        <f>G690</f>
        <v>0</v>
      </c>
      <c r="H691" s="10">
        <f>H690</f>
        <v>0</v>
      </c>
    </row>
    <row r="692" spans="1:8" ht="63" hidden="1" x14ac:dyDescent="0.25">
      <c r="A692" s="25" t="s">
        <v>1073</v>
      </c>
      <c r="B692" s="20" t="s">
        <v>1300</v>
      </c>
      <c r="C692" s="40" t="s">
        <v>234</v>
      </c>
      <c r="D692" s="40" t="s">
        <v>215</v>
      </c>
      <c r="E692" s="20"/>
      <c r="F692" s="2"/>
      <c r="G692" s="10">
        <f>G693</f>
        <v>0</v>
      </c>
      <c r="H692" s="10">
        <f>H693</f>
        <v>0</v>
      </c>
    </row>
    <row r="693" spans="1:8" ht="31.5" hidden="1" x14ac:dyDescent="0.25">
      <c r="A693" s="25" t="s">
        <v>131</v>
      </c>
      <c r="B693" s="20" t="s">
        <v>1300</v>
      </c>
      <c r="C693" s="40" t="s">
        <v>234</v>
      </c>
      <c r="D693" s="40" t="s">
        <v>215</v>
      </c>
      <c r="E693" s="20" t="s">
        <v>132</v>
      </c>
      <c r="F693" s="2"/>
      <c r="G693" s="10">
        <f>G694</f>
        <v>0</v>
      </c>
      <c r="H693" s="10">
        <f>H694</f>
        <v>0</v>
      </c>
    </row>
    <row r="694" spans="1:8" ht="47.25" hidden="1" x14ac:dyDescent="0.25">
      <c r="A694" s="25" t="s">
        <v>133</v>
      </c>
      <c r="B694" s="20" t="s">
        <v>1300</v>
      </c>
      <c r="C694" s="40" t="s">
        <v>234</v>
      </c>
      <c r="D694" s="40" t="s">
        <v>215</v>
      </c>
      <c r="E694" s="20" t="s">
        <v>134</v>
      </c>
      <c r="F694" s="2"/>
      <c r="G694" s="10">
        <f>'пр.4.1.ведом.22-23'!G997</f>
        <v>0</v>
      </c>
      <c r="H694" s="10">
        <f>'пр.4.1.ведом.22-23'!H997</f>
        <v>0</v>
      </c>
    </row>
    <row r="695" spans="1:8" ht="47.25" hidden="1" x14ac:dyDescent="0.25">
      <c r="A695" s="45" t="s">
        <v>623</v>
      </c>
      <c r="B695" s="20" t="s">
        <v>1300</v>
      </c>
      <c r="C695" s="40" t="s">
        <v>234</v>
      </c>
      <c r="D695" s="40" t="s">
        <v>215</v>
      </c>
      <c r="E695" s="20" t="s">
        <v>134</v>
      </c>
      <c r="F695" s="2">
        <v>908</v>
      </c>
      <c r="G695" s="10">
        <f>G694</f>
        <v>0</v>
      </c>
      <c r="H695" s="10">
        <f>H694</f>
        <v>0</v>
      </c>
    </row>
    <row r="696" spans="1:8" ht="47.25" x14ac:dyDescent="0.25">
      <c r="A696" s="34" t="s">
        <v>1355</v>
      </c>
      <c r="B696" s="194" t="s">
        <v>182</v>
      </c>
      <c r="C696" s="7"/>
      <c r="D696" s="7"/>
      <c r="E696" s="7"/>
      <c r="F696" s="3"/>
      <c r="G696" s="59">
        <f>G697+G704</f>
        <v>274</v>
      </c>
      <c r="H696" s="59">
        <f>H697+H704</f>
        <v>274</v>
      </c>
    </row>
    <row r="697" spans="1:8" ht="47.25" x14ac:dyDescent="0.25">
      <c r="A697" s="34" t="s">
        <v>1006</v>
      </c>
      <c r="B697" s="194" t="s">
        <v>877</v>
      </c>
      <c r="C697" s="7"/>
      <c r="D697" s="7"/>
      <c r="E697" s="7"/>
      <c r="F697" s="3"/>
      <c r="G697" s="59">
        <f>G698</f>
        <v>274</v>
      </c>
      <c r="H697" s="59">
        <f>H698</f>
        <v>274</v>
      </c>
    </row>
    <row r="698" spans="1:8" ht="15.75" x14ac:dyDescent="0.25">
      <c r="A698" s="29" t="s">
        <v>232</v>
      </c>
      <c r="B698" s="5" t="s">
        <v>877</v>
      </c>
      <c r="C698" s="40" t="s">
        <v>150</v>
      </c>
      <c r="D698" s="40"/>
      <c r="E698" s="40"/>
      <c r="F698" s="2"/>
      <c r="G698" s="10">
        <f t="shared" ref="G698:H701" si="96">G699</f>
        <v>274</v>
      </c>
      <c r="H698" s="10">
        <f t="shared" si="96"/>
        <v>274</v>
      </c>
    </row>
    <row r="699" spans="1:8" ht="15.75" x14ac:dyDescent="0.25">
      <c r="A699" s="29" t="s">
        <v>233</v>
      </c>
      <c r="B699" s="30" t="s">
        <v>877</v>
      </c>
      <c r="C699" s="40" t="s">
        <v>150</v>
      </c>
      <c r="D699" s="40" t="s">
        <v>234</v>
      </c>
      <c r="E699" s="40"/>
      <c r="F699" s="2"/>
      <c r="G699" s="10">
        <f>G700</f>
        <v>274</v>
      </c>
      <c r="H699" s="10">
        <f>H700</f>
        <v>274</v>
      </c>
    </row>
    <row r="700" spans="1:8" ht="31.5" x14ac:dyDescent="0.25">
      <c r="A700" s="25" t="s">
        <v>235</v>
      </c>
      <c r="B700" s="20" t="s">
        <v>898</v>
      </c>
      <c r="C700" s="40" t="s">
        <v>150</v>
      </c>
      <c r="D700" s="40" t="s">
        <v>234</v>
      </c>
      <c r="E700" s="40"/>
      <c r="F700" s="2"/>
      <c r="G700" s="10">
        <f t="shared" si="96"/>
        <v>274</v>
      </c>
      <c r="H700" s="10">
        <f t="shared" si="96"/>
        <v>274</v>
      </c>
    </row>
    <row r="701" spans="1:8" ht="15.75" x14ac:dyDescent="0.25">
      <c r="A701" s="29" t="s">
        <v>135</v>
      </c>
      <c r="B701" s="20" t="s">
        <v>898</v>
      </c>
      <c r="C701" s="40" t="s">
        <v>150</v>
      </c>
      <c r="D701" s="40" t="s">
        <v>234</v>
      </c>
      <c r="E701" s="40" t="s">
        <v>145</v>
      </c>
      <c r="F701" s="2"/>
      <c r="G701" s="10">
        <f t="shared" si="96"/>
        <v>274</v>
      </c>
      <c r="H701" s="10">
        <f t="shared" si="96"/>
        <v>274</v>
      </c>
    </row>
    <row r="702" spans="1:8" ht="63" x14ac:dyDescent="0.25">
      <c r="A702" s="29" t="s">
        <v>184</v>
      </c>
      <c r="B702" s="20" t="s">
        <v>898</v>
      </c>
      <c r="C702" s="40" t="s">
        <v>150</v>
      </c>
      <c r="D702" s="40" t="s">
        <v>234</v>
      </c>
      <c r="E702" s="40" t="s">
        <v>160</v>
      </c>
      <c r="F702" s="2"/>
      <c r="G702" s="10">
        <f>'пр.4.1.ведом.22-23'!G197</f>
        <v>274</v>
      </c>
      <c r="H702" s="10">
        <f>'пр.4.1.ведом.22-23'!H197</f>
        <v>274</v>
      </c>
    </row>
    <row r="703" spans="1:8" ht="31.5" x14ac:dyDescent="0.25">
      <c r="A703" s="29" t="s">
        <v>148</v>
      </c>
      <c r="B703" s="20" t="s">
        <v>898</v>
      </c>
      <c r="C703" s="40" t="s">
        <v>150</v>
      </c>
      <c r="D703" s="40" t="s">
        <v>234</v>
      </c>
      <c r="E703" s="40" t="s">
        <v>160</v>
      </c>
      <c r="F703" s="2">
        <v>902</v>
      </c>
      <c r="G703" s="10">
        <f>G702</f>
        <v>274</v>
      </c>
      <c r="H703" s="10">
        <f>H702</f>
        <v>274</v>
      </c>
    </row>
    <row r="704" spans="1:8" ht="47.25" hidden="1" x14ac:dyDescent="0.25">
      <c r="A704" s="213" t="s">
        <v>1007</v>
      </c>
      <c r="B704" s="24" t="s">
        <v>879</v>
      </c>
      <c r="C704" s="40"/>
      <c r="D704" s="40"/>
      <c r="E704" s="40"/>
      <c r="F704" s="2"/>
      <c r="G704" s="10">
        <f t="shared" ref="G704:H708" si="97">G705</f>
        <v>0</v>
      </c>
      <c r="H704" s="10">
        <f t="shared" si="97"/>
        <v>0</v>
      </c>
    </row>
    <row r="705" spans="1:8" ht="15.75" hidden="1" x14ac:dyDescent="0.25">
      <c r="A705" s="29" t="s">
        <v>232</v>
      </c>
      <c r="B705" s="5" t="s">
        <v>877</v>
      </c>
      <c r="C705" s="40" t="s">
        <v>150</v>
      </c>
      <c r="D705" s="40"/>
      <c r="E705" s="40"/>
      <c r="F705" s="2"/>
      <c r="G705" s="10">
        <f t="shared" si="97"/>
        <v>0</v>
      </c>
      <c r="H705" s="10">
        <f t="shared" si="97"/>
        <v>0</v>
      </c>
    </row>
    <row r="706" spans="1:8" ht="15.75" hidden="1" x14ac:dyDescent="0.25">
      <c r="A706" s="29" t="s">
        <v>233</v>
      </c>
      <c r="B706" s="30" t="s">
        <v>877</v>
      </c>
      <c r="C706" s="40" t="s">
        <v>150</v>
      </c>
      <c r="D706" s="40" t="s">
        <v>234</v>
      </c>
      <c r="E706" s="40"/>
      <c r="F706" s="2"/>
      <c r="G706" s="10">
        <f t="shared" si="97"/>
        <v>0</v>
      </c>
      <c r="H706" s="10">
        <f t="shared" si="97"/>
        <v>0</v>
      </c>
    </row>
    <row r="707" spans="1:8" ht="15.75" hidden="1" x14ac:dyDescent="0.25">
      <c r="A707" s="25" t="s">
        <v>878</v>
      </c>
      <c r="B707" s="5" t="s">
        <v>899</v>
      </c>
      <c r="C707" s="40" t="s">
        <v>150</v>
      </c>
      <c r="D707" s="40" t="s">
        <v>234</v>
      </c>
      <c r="E707" s="40"/>
      <c r="F707" s="2"/>
      <c r="G707" s="10">
        <f t="shared" si="97"/>
        <v>0</v>
      </c>
      <c r="H707" s="10">
        <f t="shared" si="97"/>
        <v>0</v>
      </c>
    </row>
    <row r="708" spans="1:8" ht="15.75" hidden="1" x14ac:dyDescent="0.25">
      <c r="A708" s="29" t="s">
        <v>135</v>
      </c>
      <c r="B708" s="5" t="s">
        <v>899</v>
      </c>
      <c r="C708" s="40" t="s">
        <v>150</v>
      </c>
      <c r="D708" s="40" t="s">
        <v>234</v>
      </c>
      <c r="E708" s="40" t="s">
        <v>145</v>
      </c>
      <c r="F708" s="2"/>
      <c r="G708" s="10">
        <f t="shared" si="97"/>
        <v>0</v>
      </c>
      <c r="H708" s="10">
        <f t="shared" si="97"/>
        <v>0</v>
      </c>
    </row>
    <row r="709" spans="1:8" ht="63" hidden="1" x14ac:dyDescent="0.25">
      <c r="A709" s="29" t="s">
        <v>184</v>
      </c>
      <c r="B709" s="5" t="s">
        <v>899</v>
      </c>
      <c r="C709" s="40" t="s">
        <v>150</v>
      </c>
      <c r="D709" s="40" t="s">
        <v>234</v>
      </c>
      <c r="E709" s="40" t="s">
        <v>160</v>
      </c>
      <c r="F709" s="2"/>
      <c r="G709" s="10">
        <f>'пр.4.1.ведом.22-23'!G204</f>
        <v>0</v>
      </c>
      <c r="H709" s="10">
        <f>'пр.4.1.ведом.22-23'!H204</f>
        <v>0</v>
      </c>
    </row>
    <row r="710" spans="1:8" ht="31.5" hidden="1" x14ac:dyDescent="0.25">
      <c r="A710" s="29" t="s">
        <v>148</v>
      </c>
      <c r="B710" s="5" t="s">
        <v>899</v>
      </c>
      <c r="C710" s="40" t="s">
        <v>150</v>
      </c>
      <c r="D710" s="40" t="s">
        <v>234</v>
      </c>
      <c r="E710" s="40" t="s">
        <v>160</v>
      </c>
      <c r="F710" s="2">
        <v>902</v>
      </c>
      <c r="G710" s="10">
        <f>G709</f>
        <v>0</v>
      </c>
      <c r="H710" s="10">
        <f>H709</f>
        <v>0</v>
      </c>
    </row>
    <row r="711" spans="1:8" ht="78.75" x14ac:dyDescent="0.25">
      <c r="A711" s="41" t="s">
        <v>1543</v>
      </c>
      <c r="B711" s="7" t="s">
        <v>518</v>
      </c>
      <c r="C711" s="7"/>
      <c r="D711" s="7"/>
      <c r="E711" s="72"/>
      <c r="F711" s="3"/>
      <c r="G711" s="59">
        <f>G712+G719+G726+G733+G740+G747+G754</f>
        <v>700</v>
      </c>
      <c r="H711" s="59">
        <f>H712+H719+H726+H733+H740+H747+H754</f>
        <v>700</v>
      </c>
    </row>
    <row r="712" spans="1:8" ht="31.5" x14ac:dyDescent="0.25">
      <c r="A712" s="23" t="s">
        <v>963</v>
      </c>
      <c r="B712" s="24" t="s">
        <v>965</v>
      </c>
      <c r="C712" s="40"/>
      <c r="D712" s="40"/>
      <c r="E712" s="40"/>
      <c r="F712" s="2"/>
      <c r="G712" s="59">
        <f>G713</f>
        <v>700</v>
      </c>
      <c r="H712" s="59">
        <f>H713</f>
        <v>700</v>
      </c>
    </row>
    <row r="713" spans="1:8" ht="15.75" x14ac:dyDescent="0.25">
      <c r="A713" s="29" t="s">
        <v>390</v>
      </c>
      <c r="B713" s="40" t="s">
        <v>965</v>
      </c>
      <c r="C713" s="40" t="s">
        <v>234</v>
      </c>
      <c r="D713" s="40"/>
      <c r="E713" s="73"/>
      <c r="F713" s="2"/>
      <c r="G713" s="10">
        <f t="shared" ref="G713:H713" si="98">G714</f>
        <v>700</v>
      </c>
      <c r="H713" s="10">
        <f t="shared" si="98"/>
        <v>700</v>
      </c>
    </row>
    <row r="714" spans="1:8" ht="15.75" x14ac:dyDescent="0.25">
      <c r="A714" s="29" t="s">
        <v>517</v>
      </c>
      <c r="B714" s="40" t="s">
        <v>965</v>
      </c>
      <c r="C714" s="40" t="s">
        <v>234</v>
      </c>
      <c r="D714" s="40" t="s">
        <v>213</v>
      </c>
      <c r="E714" s="73"/>
      <c r="F714" s="2"/>
      <c r="G714" s="10">
        <f>G715</f>
        <v>700</v>
      </c>
      <c r="H714" s="10">
        <f>H715</f>
        <v>700</v>
      </c>
    </row>
    <row r="715" spans="1:8" ht="15.75" x14ac:dyDescent="0.25">
      <c r="A715" s="45" t="s">
        <v>521</v>
      </c>
      <c r="B715" s="20" t="s">
        <v>966</v>
      </c>
      <c r="C715" s="40" t="s">
        <v>234</v>
      </c>
      <c r="D715" s="40" t="s">
        <v>213</v>
      </c>
      <c r="E715" s="40"/>
      <c r="F715" s="2"/>
      <c r="G715" s="10">
        <f t="shared" ref="G715:H716" si="99">G716</f>
        <v>700</v>
      </c>
      <c r="H715" s="10">
        <f t="shared" si="99"/>
        <v>700</v>
      </c>
    </row>
    <row r="716" spans="1:8" ht="31.5" x14ac:dyDescent="0.25">
      <c r="A716" s="31" t="s">
        <v>131</v>
      </c>
      <c r="B716" s="20" t="s">
        <v>966</v>
      </c>
      <c r="C716" s="40" t="s">
        <v>234</v>
      </c>
      <c r="D716" s="40" t="s">
        <v>213</v>
      </c>
      <c r="E716" s="40" t="s">
        <v>132</v>
      </c>
      <c r="F716" s="2"/>
      <c r="G716" s="10">
        <f t="shared" si="99"/>
        <v>700</v>
      </c>
      <c r="H716" s="10">
        <f t="shared" si="99"/>
        <v>700</v>
      </c>
    </row>
    <row r="717" spans="1:8" ht="47.25" x14ac:dyDescent="0.25">
      <c r="A717" s="31" t="s">
        <v>133</v>
      </c>
      <c r="B717" s="20" t="s">
        <v>966</v>
      </c>
      <c r="C717" s="40" t="s">
        <v>234</v>
      </c>
      <c r="D717" s="40" t="s">
        <v>213</v>
      </c>
      <c r="E717" s="40" t="s">
        <v>134</v>
      </c>
      <c r="F717" s="2"/>
      <c r="G717" s="10">
        <f>'пр.4.1.ведом.22-23'!G923</f>
        <v>700</v>
      </c>
      <c r="H717" s="10">
        <f>'пр.4.1.ведом.22-23'!H923</f>
        <v>700</v>
      </c>
    </row>
    <row r="718" spans="1:8" ht="47.25" x14ac:dyDescent="0.25">
      <c r="A718" s="45" t="s">
        <v>623</v>
      </c>
      <c r="B718" s="20" t="s">
        <v>966</v>
      </c>
      <c r="C718" s="40" t="s">
        <v>234</v>
      </c>
      <c r="D718" s="40" t="s">
        <v>213</v>
      </c>
      <c r="E718" s="40" t="s">
        <v>134</v>
      </c>
      <c r="F718" s="2">
        <v>908</v>
      </c>
      <c r="G718" s="6">
        <f>G717</f>
        <v>700</v>
      </c>
      <c r="H718" s="6">
        <f>H717</f>
        <v>700</v>
      </c>
    </row>
    <row r="719" spans="1:8" ht="31.5" hidden="1" x14ac:dyDescent="0.25">
      <c r="A719" s="34" t="s">
        <v>967</v>
      </c>
      <c r="B719" s="24" t="s">
        <v>968</v>
      </c>
      <c r="C719" s="40"/>
      <c r="D719" s="40"/>
      <c r="E719" s="40"/>
      <c r="F719" s="2"/>
      <c r="G719" s="59">
        <f>G720</f>
        <v>0</v>
      </c>
      <c r="H719" s="59">
        <f>H720</f>
        <v>0</v>
      </c>
    </row>
    <row r="720" spans="1:8" ht="15.75" hidden="1" x14ac:dyDescent="0.25">
      <c r="A720" s="29" t="s">
        <v>390</v>
      </c>
      <c r="B720" s="40" t="s">
        <v>968</v>
      </c>
      <c r="C720" s="40" t="s">
        <v>234</v>
      </c>
      <c r="D720" s="40"/>
      <c r="E720" s="73"/>
      <c r="F720" s="2"/>
      <c r="G720" s="10">
        <f t="shared" ref="G720:H720" si="100">G721</f>
        <v>0</v>
      </c>
      <c r="H720" s="10">
        <f t="shared" si="100"/>
        <v>0</v>
      </c>
    </row>
    <row r="721" spans="1:8" ht="15.75" hidden="1" x14ac:dyDescent="0.25">
      <c r="A721" s="29" t="s">
        <v>517</v>
      </c>
      <c r="B721" s="40" t="s">
        <v>968</v>
      </c>
      <c r="C721" s="40" t="s">
        <v>234</v>
      </c>
      <c r="D721" s="40" t="s">
        <v>213</v>
      </c>
      <c r="E721" s="73"/>
      <c r="F721" s="2"/>
      <c r="G721" s="10">
        <f>G722</f>
        <v>0</v>
      </c>
      <c r="H721" s="10">
        <f>H722</f>
        <v>0</v>
      </c>
    </row>
    <row r="722" spans="1:8" ht="15.75" hidden="1" x14ac:dyDescent="0.25">
      <c r="A722" s="45" t="s">
        <v>523</v>
      </c>
      <c r="B722" s="20" t="s">
        <v>971</v>
      </c>
      <c r="C722" s="40" t="s">
        <v>234</v>
      </c>
      <c r="D722" s="40" t="s">
        <v>213</v>
      </c>
      <c r="E722" s="40"/>
      <c r="F722" s="2"/>
      <c r="G722" s="10">
        <f>G723</f>
        <v>0</v>
      </c>
      <c r="H722" s="10">
        <f>H723</f>
        <v>0</v>
      </c>
    </row>
    <row r="723" spans="1:8" ht="31.5" hidden="1" x14ac:dyDescent="0.25">
      <c r="A723" s="31" t="s">
        <v>131</v>
      </c>
      <c r="B723" s="20" t="s">
        <v>971</v>
      </c>
      <c r="C723" s="40" t="s">
        <v>234</v>
      </c>
      <c r="D723" s="40" t="s">
        <v>213</v>
      </c>
      <c r="E723" s="40" t="s">
        <v>132</v>
      </c>
      <c r="F723" s="2"/>
      <c r="G723" s="10">
        <f t="shared" ref="G723:H723" si="101">G724</f>
        <v>0</v>
      </c>
      <c r="H723" s="10">
        <f t="shared" si="101"/>
        <v>0</v>
      </c>
    </row>
    <row r="724" spans="1:8" ht="47.25" hidden="1" x14ac:dyDescent="0.25">
      <c r="A724" s="31" t="s">
        <v>133</v>
      </c>
      <c r="B724" s="20" t="s">
        <v>971</v>
      </c>
      <c r="C724" s="40" t="s">
        <v>234</v>
      </c>
      <c r="D724" s="40" t="s">
        <v>213</v>
      </c>
      <c r="E724" s="40" t="s">
        <v>134</v>
      </c>
      <c r="F724" s="2"/>
      <c r="G724" s="10">
        <f>'пр.4.1.ведом.22-23'!G927</f>
        <v>0</v>
      </c>
      <c r="H724" s="10">
        <f>'пр.4.1.ведом.22-23'!H927</f>
        <v>0</v>
      </c>
    </row>
    <row r="725" spans="1:8" ht="47.25" hidden="1" x14ac:dyDescent="0.25">
      <c r="A725" s="45" t="s">
        <v>623</v>
      </c>
      <c r="B725" s="20" t="s">
        <v>971</v>
      </c>
      <c r="C725" s="40" t="s">
        <v>234</v>
      </c>
      <c r="D725" s="40" t="s">
        <v>213</v>
      </c>
      <c r="E725" s="40" t="s">
        <v>134</v>
      </c>
      <c r="F725" s="2">
        <v>908</v>
      </c>
      <c r="G725" s="6">
        <f>G724</f>
        <v>0</v>
      </c>
      <c r="H725" s="6">
        <f>H724</f>
        <v>0</v>
      </c>
    </row>
    <row r="726" spans="1:8" ht="31.5" hidden="1" x14ac:dyDescent="0.25">
      <c r="A726" s="58" t="s">
        <v>969</v>
      </c>
      <c r="B726" s="24" t="s">
        <v>970</v>
      </c>
      <c r="C726" s="40"/>
      <c r="D726" s="40"/>
      <c r="E726" s="40"/>
      <c r="F726" s="2"/>
      <c r="G726" s="59">
        <f>G727</f>
        <v>0</v>
      </c>
      <c r="H726" s="59">
        <f>H727</f>
        <v>0</v>
      </c>
    </row>
    <row r="727" spans="1:8" ht="15.75" hidden="1" x14ac:dyDescent="0.25">
      <c r="A727" s="29" t="s">
        <v>390</v>
      </c>
      <c r="B727" s="40" t="s">
        <v>970</v>
      </c>
      <c r="C727" s="40" t="s">
        <v>234</v>
      </c>
      <c r="D727" s="40"/>
      <c r="E727" s="73"/>
      <c r="F727" s="2"/>
      <c r="G727" s="10">
        <f t="shared" ref="G727:H727" si="102">G728</f>
        <v>0</v>
      </c>
      <c r="H727" s="10">
        <f t="shared" si="102"/>
        <v>0</v>
      </c>
    </row>
    <row r="728" spans="1:8" ht="15.75" hidden="1" x14ac:dyDescent="0.25">
      <c r="A728" s="29" t="s">
        <v>517</v>
      </c>
      <c r="B728" s="40" t="s">
        <v>970</v>
      </c>
      <c r="C728" s="40" t="s">
        <v>234</v>
      </c>
      <c r="D728" s="40" t="s">
        <v>213</v>
      </c>
      <c r="E728" s="73"/>
      <c r="F728" s="2"/>
      <c r="G728" s="10">
        <f>G729</f>
        <v>0</v>
      </c>
      <c r="H728" s="10">
        <f>H729</f>
        <v>0</v>
      </c>
    </row>
    <row r="729" spans="1:8" ht="15.75" hidden="1" x14ac:dyDescent="0.25">
      <c r="A729" s="45" t="s">
        <v>525</v>
      </c>
      <c r="B729" s="20" t="s">
        <v>972</v>
      </c>
      <c r="C729" s="40" t="s">
        <v>234</v>
      </c>
      <c r="D729" s="40" t="s">
        <v>213</v>
      </c>
      <c r="E729" s="40"/>
      <c r="F729" s="2"/>
      <c r="G729" s="10">
        <f>G730</f>
        <v>0</v>
      </c>
      <c r="H729" s="10">
        <f>H730</f>
        <v>0</v>
      </c>
    </row>
    <row r="730" spans="1:8" ht="31.5" hidden="1" x14ac:dyDescent="0.25">
      <c r="A730" s="31" t="s">
        <v>131</v>
      </c>
      <c r="B730" s="20" t="s">
        <v>972</v>
      </c>
      <c r="C730" s="40" t="s">
        <v>234</v>
      </c>
      <c r="D730" s="40" t="s">
        <v>213</v>
      </c>
      <c r="E730" s="40" t="s">
        <v>132</v>
      </c>
      <c r="F730" s="2"/>
      <c r="G730" s="10">
        <f t="shared" ref="G730:H730" si="103">G731</f>
        <v>0</v>
      </c>
      <c r="H730" s="10">
        <f t="shared" si="103"/>
        <v>0</v>
      </c>
    </row>
    <row r="731" spans="1:8" ht="47.25" hidden="1" x14ac:dyDescent="0.25">
      <c r="A731" s="31" t="s">
        <v>133</v>
      </c>
      <c r="B731" s="20" t="s">
        <v>972</v>
      </c>
      <c r="C731" s="40" t="s">
        <v>234</v>
      </c>
      <c r="D731" s="40" t="s">
        <v>213</v>
      </c>
      <c r="E731" s="40" t="s">
        <v>134</v>
      </c>
      <c r="F731" s="2"/>
      <c r="G731" s="10">
        <f>'пр.4.1.ведом.22-23'!G931</f>
        <v>0</v>
      </c>
      <c r="H731" s="10">
        <f>'пр.4.1.ведом.22-23'!H931</f>
        <v>0</v>
      </c>
    </row>
    <row r="732" spans="1:8" ht="47.25" hidden="1" x14ac:dyDescent="0.25">
      <c r="A732" s="45" t="s">
        <v>623</v>
      </c>
      <c r="B732" s="20" t="s">
        <v>972</v>
      </c>
      <c r="C732" s="40" t="s">
        <v>234</v>
      </c>
      <c r="D732" s="40" t="s">
        <v>213</v>
      </c>
      <c r="E732" s="40" t="s">
        <v>134</v>
      </c>
      <c r="F732" s="2">
        <v>908</v>
      </c>
      <c r="G732" s="6">
        <f>G731</f>
        <v>0</v>
      </c>
      <c r="H732" s="6">
        <f>H731</f>
        <v>0</v>
      </c>
    </row>
    <row r="733" spans="1:8" ht="31.5" hidden="1" x14ac:dyDescent="0.25">
      <c r="A733" s="58" t="s">
        <v>973</v>
      </c>
      <c r="B733" s="24" t="s">
        <v>974</v>
      </c>
      <c r="C733" s="40"/>
      <c r="D733" s="40"/>
      <c r="E733" s="40"/>
      <c r="F733" s="2"/>
      <c r="G733" s="59">
        <f t="shared" ref="G733:H735" si="104">G734</f>
        <v>0</v>
      </c>
      <c r="H733" s="59">
        <f t="shared" si="104"/>
        <v>0</v>
      </c>
    </row>
    <row r="734" spans="1:8" ht="15.75" hidden="1" x14ac:dyDescent="0.25">
      <c r="A734" s="29" t="s">
        <v>390</v>
      </c>
      <c r="B734" s="40" t="s">
        <v>974</v>
      </c>
      <c r="C734" s="40" t="s">
        <v>234</v>
      </c>
      <c r="D734" s="40"/>
      <c r="E734" s="73"/>
      <c r="F734" s="2"/>
      <c r="G734" s="10">
        <f t="shared" si="104"/>
        <v>0</v>
      </c>
      <c r="H734" s="10">
        <f t="shared" si="104"/>
        <v>0</v>
      </c>
    </row>
    <row r="735" spans="1:8" ht="15.75" hidden="1" x14ac:dyDescent="0.25">
      <c r="A735" s="29" t="s">
        <v>517</v>
      </c>
      <c r="B735" s="40" t="s">
        <v>974</v>
      </c>
      <c r="C735" s="40" t="s">
        <v>234</v>
      </c>
      <c r="D735" s="40" t="s">
        <v>213</v>
      </c>
      <c r="E735" s="73"/>
      <c r="F735" s="2"/>
      <c r="G735" s="10">
        <f t="shared" si="104"/>
        <v>0</v>
      </c>
      <c r="H735" s="10">
        <f t="shared" si="104"/>
        <v>0</v>
      </c>
    </row>
    <row r="736" spans="1:8" ht="31.5" hidden="1" x14ac:dyDescent="0.25">
      <c r="A736" s="45" t="s">
        <v>527</v>
      </c>
      <c r="B736" s="20" t="s">
        <v>975</v>
      </c>
      <c r="C736" s="40" t="s">
        <v>234</v>
      </c>
      <c r="D736" s="40" t="s">
        <v>213</v>
      </c>
      <c r="E736" s="40"/>
      <c r="F736" s="2"/>
      <c r="G736" s="10">
        <f t="shared" ref="G736:H737" si="105">G737</f>
        <v>0</v>
      </c>
      <c r="H736" s="10">
        <f t="shared" si="105"/>
        <v>0</v>
      </c>
    </row>
    <row r="737" spans="1:8" ht="31.5" hidden="1" x14ac:dyDescent="0.25">
      <c r="A737" s="31" t="s">
        <v>131</v>
      </c>
      <c r="B737" s="20" t="s">
        <v>975</v>
      </c>
      <c r="C737" s="40" t="s">
        <v>234</v>
      </c>
      <c r="D737" s="40" t="s">
        <v>213</v>
      </c>
      <c r="E737" s="40" t="s">
        <v>132</v>
      </c>
      <c r="F737" s="2"/>
      <c r="G737" s="10">
        <f t="shared" si="105"/>
        <v>0</v>
      </c>
      <c r="H737" s="10">
        <f t="shared" si="105"/>
        <v>0</v>
      </c>
    </row>
    <row r="738" spans="1:8" ht="47.25" hidden="1" x14ac:dyDescent="0.25">
      <c r="A738" s="31" t="s">
        <v>133</v>
      </c>
      <c r="B738" s="20" t="s">
        <v>975</v>
      </c>
      <c r="C738" s="40" t="s">
        <v>234</v>
      </c>
      <c r="D738" s="40" t="s">
        <v>213</v>
      </c>
      <c r="E738" s="40" t="s">
        <v>134</v>
      </c>
      <c r="F738" s="2"/>
      <c r="G738" s="10">
        <f>'пр.4.1.ведом.22-23'!G935</f>
        <v>0</v>
      </c>
      <c r="H738" s="10">
        <f>'пр.4.1.ведом.22-23'!H935</f>
        <v>0</v>
      </c>
    </row>
    <row r="739" spans="1:8" ht="47.25" hidden="1" x14ac:dyDescent="0.25">
      <c r="A739" s="45" t="s">
        <v>623</v>
      </c>
      <c r="B739" s="20" t="s">
        <v>975</v>
      </c>
      <c r="C739" s="40" t="s">
        <v>234</v>
      </c>
      <c r="D739" s="40" t="s">
        <v>213</v>
      </c>
      <c r="E739" s="40" t="s">
        <v>134</v>
      </c>
      <c r="F739" s="2">
        <v>908</v>
      </c>
      <c r="G739" s="6">
        <f>G738</f>
        <v>0</v>
      </c>
      <c r="H739" s="6">
        <f>H738</f>
        <v>0</v>
      </c>
    </row>
    <row r="740" spans="1:8" ht="31.5" hidden="1" x14ac:dyDescent="0.25">
      <c r="A740" s="34" t="s">
        <v>1014</v>
      </c>
      <c r="B740" s="24" t="s">
        <v>1015</v>
      </c>
      <c r="C740" s="40"/>
      <c r="D740" s="40"/>
      <c r="E740" s="40"/>
      <c r="F740" s="2"/>
      <c r="G740" s="59">
        <f>G741</f>
        <v>0</v>
      </c>
      <c r="H740" s="59">
        <f>H741</f>
        <v>0</v>
      </c>
    </row>
    <row r="741" spans="1:8" ht="15.75" hidden="1" x14ac:dyDescent="0.25">
      <c r="A741" s="29" t="s">
        <v>390</v>
      </c>
      <c r="B741" s="40" t="s">
        <v>518</v>
      </c>
      <c r="C741" s="40" t="s">
        <v>234</v>
      </c>
      <c r="D741" s="40"/>
      <c r="E741" s="73"/>
      <c r="F741" s="2"/>
      <c r="G741" s="10">
        <f t="shared" ref="G741:H741" si="106">G742</f>
        <v>0</v>
      </c>
      <c r="H741" s="10">
        <f t="shared" si="106"/>
        <v>0</v>
      </c>
    </row>
    <row r="742" spans="1:8" ht="15.75" hidden="1" x14ac:dyDescent="0.25">
      <c r="A742" s="29" t="s">
        <v>517</v>
      </c>
      <c r="B742" s="40" t="s">
        <v>518</v>
      </c>
      <c r="C742" s="40" t="s">
        <v>234</v>
      </c>
      <c r="D742" s="40" t="s">
        <v>213</v>
      </c>
      <c r="E742" s="73"/>
      <c r="F742" s="2"/>
      <c r="G742" s="10">
        <f>G743</f>
        <v>0</v>
      </c>
      <c r="H742" s="10">
        <f>H743</f>
        <v>0</v>
      </c>
    </row>
    <row r="743" spans="1:8" ht="15.75" hidden="1" x14ac:dyDescent="0.25">
      <c r="A743" s="45" t="s">
        <v>529</v>
      </c>
      <c r="B743" s="20" t="s">
        <v>1018</v>
      </c>
      <c r="C743" s="40" t="s">
        <v>234</v>
      </c>
      <c r="D743" s="40" t="s">
        <v>213</v>
      </c>
      <c r="E743" s="40"/>
      <c r="F743" s="2"/>
      <c r="G743" s="10">
        <f t="shared" ref="G743:H744" si="107">G744</f>
        <v>0</v>
      </c>
      <c r="H743" s="10">
        <f t="shared" si="107"/>
        <v>0</v>
      </c>
    </row>
    <row r="744" spans="1:8" ht="31.5" hidden="1" x14ac:dyDescent="0.25">
      <c r="A744" s="31" t="s">
        <v>131</v>
      </c>
      <c r="B744" s="20" t="s">
        <v>1018</v>
      </c>
      <c r="C744" s="40" t="s">
        <v>234</v>
      </c>
      <c r="D744" s="40" t="s">
        <v>213</v>
      </c>
      <c r="E744" s="40" t="s">
        <v>132</v>
      </c>
      <c r="F744" s="2"/>
      <c r="G744" s="10">
        <f t="shared" si="107"/>
        <v>0</v>
      </c>
      <c r="H744" s="10">
        <f t="shared" si="107"/>
        <v>0</v>
      </c>
    </row>
    <row r="745" spans="1:8" ht="47.25" hidden="1" x14ac:dyDescent="0.25">
      <c r="A745" s="31" t="s">
        <v>133</v>
      </c>
      <c r="B745" s="20" t="s">
        <v>1018</v>
      </c>
      <c r="C745" s="40" t="s">
        <v>234</v>
      </c>
      <c r="D745" s="40" t="s">
        <v>213</v>
      </c>
      <c r="E745" s="40" t="s">
        <v>134</v>
      </c>
      <c r="F745" s="2"/>
      <c r="G745" s="10">
        <f>'пр.4.1.ведом.22-23'!G939</f>
        <v>0</v>
      </c>
      <c r="H745" s="10">
        <f>'пр.4.1.ведом.22-23'!H939</f>
        <v>0</v>
      </c>
    </row>
    <row r="746" spans="1:8" ht="47.25" hidden="1" x14ac:dyDescent="0.25">
      <c r="A746" s="45" t="s">
        <v>623</v>
      </c>
      <c r="B746" s="20" t="s">
        <v>1018</v>
      </c>
      <c r="C746" s="40" t="s">
        <v>234</v>
      </c>
      <c r="D746" s="40" t="s">
        <v>213</v>
      </c>
      <c r="E746" s="40" t="s">
        <v>134</v>
      </c>
      <c r="F746" s="2">
        <v>908</v>
      </c>
      <c r="G746" s="6">
        <f>G745</f>
        <v>0</v>
      </c>
      <c r="H746" s="6">
        <f>H745</f>
        <v>0</v>
      </c>
    </row>
    <row r="747" spans="1:8" ht="47.25" hidden="1" x14ac:dyDescent="0.25">
      <c r="A747" s="219" t="s">
        <v>1016</v>
      </c>
      <c r="B747" s="24" t="s">
        <v>1017</v>
      </c>
      <c r="C747" s="40"/>
      <c r="D747" s="40"/>
      <c r="E747" s="40"/>
      <c r="F747" s="2"/>
      <c r="G747" s="59">
        <f>G748</f>
        <v>0</v>
      </c>
      <c r="H747" s="59">
        <f>H748</f>
        <v>0</v>
      </c>
    </row>
    <row r="748" spans="1:8" ht="15.75" hidden="1" x14ac:dyDescent="0.25">
      <c r="A748" s="29" t="s">
        <v>390</v>
      </c>
      <c r="B748" s="40" t="s">
        <v>518</v>
      </c>
      <c r="C748" s="40" t="s">
        <v>234</v>
      </c>
      <c r="D748" s="40"/>
      <c r="E748" s="73"/>
      <c r="F748" s="2"/>
      <c r="G748" s="10">
        <f t="shared" ref="G748:H748" si="108">G749</f>
        <v>0</v>
      </c>
      <c r="H748" s="10">
        <f t="shared" si="108"/>
        <v>0</v>
      </c>
    </row>
    <row r="749" spans="1:8" ht="15.75" hidden="1" x14ac:dyDescent="0.25">
      <c r="A749" s="29" t="s">
        <v>517</v>
      </c>
      <c r="B749" s="40" t="s">
        <v>518</v>
      </c>
      <c r="C749" s="40" t="s">
        <v>234</v>
      </c>
      <c r="D749" s="40" t="s">
        <v>213</v>
      </c>
      <c r="E749" s="73"/>
      <c r="F749" s="2"/>
      <c r="G749" s="10">
        <f>G750</f>
        <v>0</v>
      </c>
      <c r="H749" s="10">
        <f>H750</f>
        <v>0</v>
      </c>
    </row>
    <row r="750" spans="1:8" ht="31.5" hidden="1" x14ac:dyDescent="0.25">
      <c r="A750" s="174" t="s">
        <v>531</v>
      </c>
      <c r="B750" s="20" t="s">
        <v>1019</v>
      </c>
      <c r="C750" s="40" t="s">
        <v>234</v>
      </c>
      <c r="D750" s="40" t="s">
        <v>213</v>
      </c>
      <c r="E750" s="40"/>
      <c r="F750" s="2"/>
      <c r="G750" s="10">
        <f t="shared" ref="G750:H751" si="109">G751</f>
        <v>0</v>
      </c>
      <c r="H750" s="10">
        <f t="shared" si="109"/>
        <v>0</v>
      </c>
    </row>
    <row r="751" spans="1:8" ht="31.5" hidden="1" x14ac:dyDescent="0.25">
      <c r="A751" s="31" t="s">
        <v>131</v>
      </c>
      <c r="B751" s="20" t="s">
        <v>1019</v>
      </c>
      <c r="C751" s="40" t="s">
        <v>234</v>
      </c>
      <c r="D751" s="40" t="s">
        <v>213</v>
      </c>
      <c r="E751" s="40" t="s">
        <v>132</v>
      </c>
      <c r="F751" s="2"/>
      <c r="G751" s="10">
        <f t="shared" si="109"/>
        <v>0</v>
      </c>
      <c r="H751" s="10">
        <f t="shared" si="109"/>
        <v>0</v>
      </c>
    </row>
    <row r="752" spans="1:8" ht="47.25" hidden="1" x14ac:dyDescent="0.25">
      <c r="A752" s="31" t="s">
        <v>133</v>
      </c>
      <c r="B752" s="20" t="s">
        <v>1019</v>
      </c>
      <c r="C752" s="40" t="s">
        <v>234</v>
      </c>
      <c r="D752" s="40" t="s">
        <v>213</v>
      </c>
      <c r="E752" s="40" t="s">
        <v>134</v>
      </c>
      <c r="F752" s="2"/>
      <c r="G752" s="10">
        <f>'пр.4.1.ведом.22-23'!G943</f>
        <v>0</v>
      </c>
      <c r="H752" s="10">
        <f>'пр.4.1.ведом.22-23'!H943</f>
        <v>0</v>
      </c>
    </row>
    <row r="753" spans="1:8" ht="47.25" hidden="1" x14ac:dyDescent="0.25">
      <c r="A753" s="45" t="s">
        <v>623</v>
      </c>
      <c r="B753" s="20" t="s">
        <v>1019</v>
      </c>
      <c r="C753" s="40" t="s">
        <v>234</v>
      </c>
      <c r="D753" s="40" t="s">
        <v>213</v>
      </c>
      <c r="E753" s="40" t="s">
        <v>134</v>
      </c>
      <c r="F753" s="2">
        <v>908</v>
      </c>
      <c r="G753" s="6">
        <f>G752</f>
        <v>0</v>
      </c>
      <c r="H753" s="6">
        <f>H752</f>
        <v>0</v>
      </c>
    </row>
    <row r="754" spans="1:8" ht="31.5" hidden="1" x14ac:dyDescent="0.25">
      <c r="A754" s="219" t="s">
        <v>977</v>
      </c>
      <c r="B754" s="24" t="s">
        <v>978</v>
      </c>
      <c r="C754" s="40"/>
      <c r="D754" s="40"/>
      <c r="E754" s="40"/>
      <c r="F754" s="2"/>
      <c r="G754" s="59">
        <f t="shared" ref="G754:H756" si="110">G755</f>
        <v>0</v>
      </c>
      <c r="H754" s="59">
        <f t="shared" si="110"/>
        <v>0</v>
      </c>
    </row>
    <row r="755" spans="1:8" ht="15.75" hidden="1" x14ac:dyDescent="0.25">
      <c r="A755" s="29" t="s">
        <v>390</v>
      </c>
      <c r="B755" s="40" t="s">
        <v>518</v>
      </c>
      <c r="C755" s="40" t="s">
        <v>234</v>
      </c>
      <c r="D755" s="40"/>
      <c r="E755" s="73"/>
      <c r="F755" s="2"/>
      <c r="G755" s="10">
        <f t="shared" si="110"/>
        <v>0</v>
      </c>
      <c r="H755" s="10">
        <f t="shared" si="110"/>
        <v>0</v>
      </c>
    </row>
    <row r="756" spans="1:8" ht="15.75" hidden="1" x14ac:dyDescent="0.25">
      <c r="A756" s="29" t="s">
        <v>517</v>
      </c>
      <c r="B756" s="40" t="s">
        <v>518</v>
      </c>
      <c r="C756" s="40" t="s">
        <v>234</v>
      </c>
      <c r="D756" s="40" t="s">
        <v>213</v>
      </c>
      <c r="E756" s="73"/>
      <c r="F756" s="2"/>
      <c r="G756" s="10">
        <f t="shared" si="110"/>
        <v>0</v>
      </c>
      <c r="H756" s="10">
        <f t="shared" si="110"/>
        <v>0</v>
      </c>
    </row>
    <row r="757" spans="1:8" ht="15.75" hidden="1" x14ac:dyDescent="0.25">
      <c r="A757" s="174" t="s">
        <v>533</v>
      </c>
      <c r="B757" s="20" t="s">
        <v>976</v>
      </c>
      <c r="C757" s="40" t="s">
        <v>234</v>
      </c>
      <c r="D757" s="40" t="s">
        <v>213</v>
      </c>
      <c r="E757" s="40"/>
      <c r="F757" s="2"/>
      <c r="G757" s="10">
        <f t="shared" ref="G757:H758" si="111">G758</f>
        <v>0</v>
      </c>
      <c r="H757" s="10">
        <f t="shared" si="111"/>
        <v>0</v>
      </c>
    </row>
    <row r="758" spans="1:8" ht="31.5" hidden="1" x14ac:dyDescent="0.3">
      <c r="A758" s="25" t="s">
        <v>131</v>
      </c>
      <c r="B758" s="20" t="s">
        <v>976</v>
      </c>
      <c r="C758" s="40" t="s">
        <v>234</v>
      </c>
      <c r="D758" s="40" t="s">
        <v>213</v>
      </c>
      <c r="E758" s="2">
        <v>200</v>
      </c>
      <c r="F758" s="77"/>
      <c r="G758" s="6">
        <f t="shared" si="111"/>
        <v>0</v>
      </c>
      <c r="H758" s="6">
        <f t="shared" si="111"/>
        <v>0</v>
      </c>
    </row>
    <row r="759" spans="1:8" ht="47.25" hidden="1" x14ac:dyDescent="0.3">
      <c r="A759" s="25" t="s">
        <v>133</v>
      </c>
      <c r="B759" s="20" t="s">
        <v>976</v>
      </c>
      <c r="C759" s="40" t="s">
        <v>234</v>
      </c>
      <c r="D759" s="40" t="s">
        <v>213</v>
      </c>
      <c r="E759" s="2">
        <v>240</v>
      </c>
      <c r="F759" s="77"/>
      <c r="G759" s="6">
        <f>'пр.4.1.ведом.22-23'!G947</f>
        <v>0</v>
      </c>
      <c r="H759" s="6">
        <f>'пр.4.1.ведом.22-23'!H947</f>
        <v>0</v>
      </c>
    </row>
    <row r="760" spans="1:8" ht="47.25" hidden="1" x14ac:dyDescent="0.25">
      <c r="A760" s="45" t="s">
        <v>623</v>
      </c>
      <c r="B760" s="20" t="s">
        <v>976</v>
      </c>
      <c r="C760" s="40" t="s">
        <v>234</v>
      </c>
      <c r="D760" s="40" t="s">
        <v>213</v>
      </c>
      <c r="E760" s="2">
        <v>240</v>
      </c>
      <c r="F760" s="2">
        <v>908</v>
      </c>
      <c r="G760" s="6">
        <f>G759</f>
        <v>0</v>
      </c>
      <c r="H760" s="6">
        <f>H759</f>
        <v>0</v>
      </c>
    </row>
    <row r="761" spans="1:8" ht="47.25" x14ac:dyDescent="0.25">
      <c r="A761" s="23" t="s">
        <v>1360</v>
      </c>
      <c r="B761" s="24" t="s">
        <v>335</v>
      </c>
      <c r="C761" s="7"/>
      <c r="D761" s="7"/>
      <c r="E761" s="3"/>
      <c r="F761" s="3"/>
      <c r="G761" s="4">
        <f t="shared" ref="G761:H763" si="112">G762</f>
        <v>120</v>
      </c>
      <c r="H761" s="4">
        <f t="shared" si="112"/>
        <v>120</v>
      </c>
    </row>
    <row r="762" spans="1:8" ht="31.5" x14ac:dyDescent="0.25">
      <c r="A762" s="23" t="s">
        <v>1052</v>
      </c>
      <c r="B762" s="24" t="s">
        <v>1053</v>
      </c>
      <c r="C762" s="7"/>
      <c r="D762" s="7"/>
      <c r="E762" s="3"/>
      <c r="F762" s="3"/>
      <c r="G762" s="4">
        <f t="shared" si="112"/>
        <v>120</v>
      </c>
      <c r="H762" s="4">
        <f t="shared" si="112"/>
        <v>120</v>
      </c>
    </row>
    <row r="763" spans="1:8" ht="15.75" x14ac:dyDescent="0.25">
      <c r="A763" s="29" t="s">
        <v>117</v>
      </c>
      <c r="B763" s="20" t="s">
        <v>1053</v>
      </c>
      <c r="C763" s="40" t="s">
        <v>118</v>
      </c>
      <c r="D763" s="40"/>
      <c r="E763" s="2"/>
      <c r="F763" s="2"/>
      <c r="G763" s="6">
        <f t="shared" si="112"/>
        <v>120</v>
      </c>
      <c r="H763" s="6">
        <f t="shared" si="112"/>
        <v>120</v>
      </c>
    </row>
    <row r="764" spans="1:8" ht="15.75" x14ac:dyDescent="0.25">
      <c r="A764" s="29" t="s">
        <v>139</v>
      </c>
      <c r="B764" s="20" t="s">
        <v>1053</v>
      </c>
      <c r="C764" s="40" t="s">
        <v>118</v>
      </c>
      <c r="D764" s="40" t="s">
        <v>140</v>
      </c>
      <c r="E764" s="2"/>
      <c r="F764" s="2"/>
      <c r="G764" s="6">
        <f>G765+G775+G779+G783+G787+G791</f>
        <v>120</v>
      </c>
      <c r="H764" s="6">
        <f>H765+H775+H779+H783+H787+H791</f>
        <v>120</v>
      </c>
    </row>
    <row r="765" spans="1:8" s="203" customFormat="1" ht="31.5" x14ac:dyDescent="0.25">
      <c r="A765" s="25" t="s">
        <v>336</v>
      </c>
      <c r="B765" s="20" t="s">
        <v>1054</v>
      </c>
      <c r="C765" s="40" t="s">
        <v>118</v>
      </c>
      <c r="D765" s="40" t="s">
        <v>140</v>
      </c>
      <c r="E765" s="2"/>
      <c r="F765" s="2"/>
      <c r="G765" s="6">
        <f>G766+G769+G772</f>
        <v>100</v>
      </c>
      <c r="H765" s="6">
        <f>H766+H769+H772</f>
        <v>100</v>
      </c>
    </row>
    <row r="766" spans="1:8" s="203" customFormat="1" ht="31.5" hidden="1" x14ac:dyDescent="0.25">
      <c r="A766" s="25" t="s">
        <v>131</v>
      </c>
      <c r="B766" s="20" t="s">
        <v>1054</v>
      </c>
      <c r="C766" s="40" t="s">
        <v>118</v>
      </c>
      <c r="D766" s="40" t="s">
        <v>140</v>
      </c>
      <c r="E766" s="2">
        <v>200</v>
      </c>
      <c r="F766" s="2"/>
      <c r="G766" s="6">
        <f t="shared" ref="G766:H766" si="113">G767</f>
        <v>0</v>
      </c>
      <c r="H766" s="6">
        <f t="shared" si="113"/>
        <v>100</v>
      </c>
    </row>
    <row r="767" spans="1:8" s="203" customFormat="1" ht="47.25" hidden="1" x14ac:dyDescent="0.25">
      <c r="A767" s="25" t="s">
        <v>133</v>
      </c>
      <c r="B767" s="20" t="s">
        <v>1054</v>
      </c>
      <c r="C767" s="40" t="s">
        <v>118</v>
      </c>
      <c r="D767" s="40" t="s">
        <v>140</v>
      </c>
      <c r="E767" s="2">
        <v>240</v>
      </c>
      <c r="F767" s="2"/>
      <c r="G767" s="6">
        <f>'пр.4.1.ведом.22-23'!G255</f>
        <v>0</v>
      </c>
      <c r="H767" s="6">
        <f>'пр.4.1.ведом.22-23'!H255</f>
        <v>100</v>
      </c>
    </row>
    <row r="768" spans="1:8" s="203" customFormat="1" ht="31.5" hidden="1" x14ac:dyDescent="0.25">
      <c r="A768" s="45" t="s">
        <v>403</v>
      </c>
      <c r="B768" s="20" t="s">
        <v>1054</v>
      </c>
      <c r="C768" s="40" t="s">
        <v>118</v>
      </c>
      <c r="D768" s="40" t="s">
        <v>140</v>
      </c>
      <c r="E768" s="2">
        <v>240</v>
      </c>
      <c r="F768" s="2">
        <v>903</v>
      </c>
      <c r="G768" s="6">
        <f>G767</f>
        <v>0</v>
      </c>
      <c r="H768" s="6">
        <f>H767</f>
        <v>100</v>
      </c>
    </row>
    <row r="769" spans="1:8" ht="31.5" hidden="1" x14ac:dyDescent="0.25">
      <c r="A769" s="25" t="s">
        <v>131</v>
      </c>
      <c r="B769" s="20" t="s">
        <v>1054</v>
      </c>
      <c r="C769" s="40" t="s">
        <v>118</v>
      </c>
      <c r="D769" s="40" t="s">
        <v>140</v>
      </c>
      <c r="E769" s="2">
        <v>200</v>
      </c>
      <c r="F769" s="2"/>
      <c r="G769" s="6">
        <f t="shared" ref="G769:H769" si="114">G770</f>
        <v>0</v>
      </c>
      <c r="H769" s="6">
        <f t="shared" si="114"/>
        <v>0</v>
      </c>
    </row>
    <row r="770" spans="1:8" ht="47.25" hidden="1" x14ac:dyDescent="0.25">
      <c r="A770" s="25" t="s">
        <v>133</v>
      </c>
      <c r="B770" s="20" t="s">
        <v>1054</v>
      </c>
      <c r="C770" s="40" t="s">
        <v>118</v>
      </c>
      <c r="D770" s="40" t="s">
        <v>140</v>
      </c>
      <c r="E770" s="2">
        <v>240</v>
      </c>
      <c r="F770" s="2"/>
      <c r="G770" s="6">
        <f>'пр.4.1.ведом.22-23'!G544</f>
        <v>0</v>
      </c>
      <c r="H770" s="6">
        <f>'пр.4.1.ведом.22-23'!H544</f>
        <v>0</v>
      </c>
    </row>
    <row r="771" spans="1:8" ht="31.5" hidden="1" x14ac:dyDescent="0.25">
      <c r="A771" s="45" t="s">
        <v>403</v>
      </c>
      <c r="B771" s="20" t="s">
        <v>1054</v>
      </c>
      <c r="C771" s="40" t="s">
        <v>118</v>
      </c>
      <c r="D771" s="40" t="s">
        <v>140</v>
      </c>
      <c r="E771" s="2">
        <v>240</v>
      </c>
      <c r="F771" s="2">
        <v>906</v>
      </c>
      <c r="G771" s="6">
        <f>G770</f>
        <v>0</v>
      </c>
      <c r="H771" s="6">
        <f>H770</f>
        <v>0</v>
      </c>
    </row>
    <row r="772" spans="1:8" ht="31.5" x14ac:dyDescent="0.25">
      <c r="A772" s="25" t="s">
        <v>131</v>
      </c>
      <c r="B772" s="20" t="s">
        <v>1054</v>
      </c>
      <c r="C772" s="40" t="s">
        <v>118</v>
      </c>
      <c r="D772" s="40" t="s">
        <v>140</v>
      </c>
      <c r="E772" s="2">
        <v>200</v>
      </c>
      <c r="F772" s="2"/>
      <c r="G772" s="6">
        <f t="shared" ref="G772:H772" si="115">G773</f>
        <v>100</v>
      </c>
      <c r="H772" s="6">
        <f t="shared" si="115"/>
        <v>0</v>
      </c>
    </row>
    <row r="773" spans="1:8" ht="47.25" x14ac:dyDescent="0.25">
      <c r="A773" s="25" t="s">
        <v>133</v>
      </c>
      <c r="B773" s="20" t="s">
        <v>1054</v>
      </c>
      <c r="C773" s="40" t="s">
        <v>118</v>
      </c>
      <c r="D773" s="40" t="s">
        <v>140</v>
      </c>
      <c r="E773" s="2">
        <v>240</v>
      </c>
      <c r="F773" s="2"/>
      <c r="G773" s="6">
        <f>'пр.4.1.ведом.22-23'!G763</f>
        <v>100</v>
      </c>
      <c r="H773" s="6">
        <f>'пр.4.1.ведом.22-23'!H763</f>
        <v>0</v>
      </c>
    </row>
    <row r="774" spans="1:8" ht="47.25" x14ac:dyDescent="0.25">
      <c r="A774" s="45" t="s">
        <v>480</v>
      </c>
      <c r="B774" s="20" t="s">
        <v>1054</v>
      </c>
      <c r="C774" s="40" t="s">
        <v>118</v>
      </c>
      <c r="D774" s="40" t="s">
        <v>140</v>
      </c>
      <c r="E774" s="2">
        <v>240</v>
      </c>
      <c r="F774" s="2">
        <v>907</v>
      </c>
      <c r="G774" s="6">
        <f>G773</f>
        <v>100</v>
      </c>
      <c r="H774" s="6">
        <f>H773</f>
        <v>0</v>
      </c>
    </row>
    <row r="775" spans="1:8" ht="31.5" hidden="1" x14ac:dyDescent="0.25">
      <c r="A775" s="25" t="s">
        <v>336</v>
      </c>
      <c r="B775" s="20" t="s">
        <v>1059</v>
      </c>
      <c r="C775" s="40" t="s">
        <v>118</v>
      </c>
      <c r="D775" s="40" t="s">
        <v>140</v>
      </c>
      <c r="E775" s="2"/>
      <c r="F775" s="2"/>
      <c r="G775" s="6">
        <f>G776</f>
        <v>0</v>
      </c>
      <c r="H775" s="6">
        <f>H776</f>
        <v>0</v>
      </c>
    </row>
    <row r="776" spans="1:8" ht="31.5" hidden="1" x14ac:dyDescent="0.25">
      <c r="A776" s="25" t="s">
        <v>131</v>
      </c>
      <c r="B776" s="20" t="s">
        <v>1059</v>
      </c>
      <c r="C776" s="40" t="s">
        <v>118</v>
      </c>
      <c r="D776" s="40" t="s">
        <v>140</v>
      </c>
      <c r="E776" s="2">
        <v>200</v>
      </c>
      <c r="F776" s="2"/>
      <c r="G776" s="6">
        <f t="shared" ref="G776:H776" si="116">G777</f>
        <v>0</v>
      </c>
      <c r="H776" s="6">
        <f t="shared" si="116"/>
        <v>0</v>
      </c>
    </row>
    <row r="777" spans="1:8" ht="47.25" hidden="1" x14ac:dyDescent="0.25">
      <c r="A777" s="25" t="s">
        <v>133</v>
      </c>
      <c r="B777" s="20" t="s">
        <v>1059</v>
      </c>
      <c r="C777" s="40" t="s">
        <v>118</v>
      </c>
      <c r="D777" s="40" t="s">
        <v>140</v>
      </c>
      <c r="E777" s="2">
        <v>240</v>
      </c>
      <c r="F777" s="2"/>
      <c r="G777" s="6">
        <v>0</v>
      </c>
      <c r="H777" s="6">
        <v>0</v>
      </c>
    </row>
    <row r="778" spans="1:8" ht="31.5" hidden="1" x14ac:dyDescent="0.25">
      <c r="A778" s="45" t="s">
        <v>403</v>
      </c>
      <c r="B778" s="20" t="s">
        <v>1059</v>
      </c>
      <c r="C778" s="40" t="s">
        <v>118</v>
      </c>
      <c r="D778" s="40" t="s">
        <v>140</v>
      </c>
      <c r="E778" s="2">
        <v>240</v>
      </c>
      <c r="F778" s="2">
        <v>906</v>
      </c>
      <c r="G778" s="6">
        <f>G777</f>
        <v>0</v>
      </c>
      <c r="H778" s="6">
        <f>H777</f>
        <v>0</v>
      </c>
    </row>
    <row r="779" spans="1:8" ht="31.5" x14ac:dyDescent="0.25">
      <c r="A779" s="25" t="s">
        <v>338</v>
      </c>
      <c r="B779" s="20" t="s">
        <v>1055</v>
      </c>
      <c r="C779" s="40" t="s">
        <v>118</v>
      </c>
      <c r="D779" s="40" t="s">
        <v>140</v>
      </c>
      <c r="E779" s="2"/>
      <c r="F779" s="2"/>
      <c r="G779" s="6">
        <f t="shared" ref="G779:H780" si="117">G780</f>
        <v>20</v>
      </c>
      <c r="H779" s="6">
        <f t="shared" si="117"/>
        <v>20</v>
      </c>
    </row>
    <row r="780" spans="1:8" ht="31.5" x14ac:dyDescent="0.25">
      <c r="A780" s="25" t="s">
        <v>131</v>
      </c>
      <c r="B780" s="20" t="s">
        <v>1055</v>
      </c>
      <c r="C780" s="40" t="s">
        <v>118</v>
      </c>
      <c r="D780" s="40" t="s">
        <v>140</v>
      </c>
      <c r="E780" s="2">
        <v>200</v>
      </c>
      <c r="F780" s="2"/>
      <c r="G780" s="6">
        <f t="shared" si="117"/>
        <v>20</v>
      </c>
      <c r="H780" s="6">
        <f t="shared" si="117"/>
        <v>20</v>
      </c>
    </row>
    <row r="781" spans="1:8" ht="47.25" x14ac:dyDescent="0.25">
      <c r="A781" s="25" t="s">
        <v>133</v>
      </c>
      <c r="B781" s="20" t="s">
        <v>1055</v>
      </c>
      <c r="C781" s="40" t="s">
        <v>118</v>
      </c>
      <c r="D781" s="40" t="s">
        <v>140</v>
      </c>
      <c r="E781" s="2">
        <v>240</v>
      </c>
      <c r="F781" s="2"/>
      <c r="G781" s="6">
        <f>'пр.4.1.ведом.22-23'!G264</f>
        <v>20</v>
      </c>
      <c r="H781" s="6">
        <f>'пр.4.1.ведом.22-23'!H264</f>
        <v>20</v>
      </c>
    </row>
    <row r="782" spans="1:8" ht="47.25" x14ac:dyDescent="0.25">
      <c r="A782" s="25" t="s">
        <v>1079</v>
      </c>
      <c r="B782" s="20" t="s">
        <v>1055</v>
      </c>
      <c r="C782" s="40" t="s">
        <v>118</v>
      </c>
      <c r="D782" s="40" t="s">
        <v>140</v>
      </c>
      <c r="E782" s="2">
        <v>240</v>
      </c>
      <c r="F782" s="2">
        <v>903</v>
      </c>
      <c r="G782" s="6">
        <f>G781</f>
        <v>20</v>
      </c>
      <c r="H782" s="6">
        <f>H781</f>
        <v>20</v>
      </c>
    </row>
    <row r="783" spans="1:8" ht="63" hidden="1" x14ac:dyDescent="0.25">
      <c r="A783" s="31" t="s">
        <v>771</v>
      </c>
      <c r="B783" s="20" t="s">
        <v>1056</v>
      </c>
      <c r="C783" s="40" t="s">
        <v>118</v>
      </c>
      <c r="D783" s="40" t="s">
        <v>140</v>
      </c>
      <c r="E783" s="2"/>
      <c r="F783" s="2"/>
      <c r="G783" s="6">
        <f t="shared" ref="G783:H784" si="118">G784</f>
        <v>0</v>
      </c>
      <c r="H783" s="6">
        <f t="shared" si="118"/>
        <v>0</v>
      </c>
    </row>
    <row r="784" spans="1:8" ht="31.5" hidden="1" x14ac:dyDescent="0.25">
      <c r="A784" s="25" t="s">
        <v>131</v>
      </c>
      <c r="B784" s="20" t="s">
        <v>1056</v>
      </c>
      <c r="C784" s="20" t="s">
        <v>118</v>
      </c>
      <c r="D784" s="20" t="s">
        <v>140</v>
      </c>
      <c r="E784" s="20" t="s">
        <v>132</v>
      </c>
      <c r="F784" s="177"/>
      <c r="G784" s="6">
        <f t="shared" si="118"/>
        <v>0</v>
      </c>
      <c r="H784" s="6">
        <f t="shared" si="118"/>
        <v>0</v>
      </c>
    </row>
    <row r="785" spans="1:8" ht="47.25" hidden="1" x14ac:dyDescent="0.25">
      <c r="A785" s="25" t="s">
        <v>133</v>
      </c>
      <c r="B785" s="20" t="s">
        <v>1056</v>
      </c>
      <c r="C785" s="20" t="s">
        <v>118</v>
      </c>
      <c r="D785" s="20" t="s">
        <v>140</v>
      </c>
      <c r="E785" s="20" t="s">
        <v>134</v>
      </c>
      <c r="F785" s="177"/>
      <c r="G785" s="6">
        <f>'пр.4.1.ведом.22-23'!G258</f>
        <v>0</v>
      </c>
      <c r="H785" s="6">
        <f>'пр.4.1.ведом.22-23'!H258</f>
        <v>0</v>
      </c>
    </row>
    <row r="786" spans="1:8" ht="31.5" hidden="1" x14ac:dyDescent="0.25">
      <c r="A786" s="25" t="s">
        <v>403</v>
      </c>
      <c r="B786" s="20" t="s">
        <v>1056</v>
      </c>
      <c r="C786" s="40" t="s">
        <v>118</v>
      </c>
      <c r="D786" s="40" t="s">
        <v>140</v>
      </c>
      <c r="E786" s="2">
        <v>240</v>
      </c>
      <c r="F786" s="2">
        <v>906</v>
      </c>
      <c r="G786" s="6">
        <f>G785</f>
        <v>0</v>
      </c>
      <c r="H786" s="6">
        <f>H785</f>
        <v>0</v>
      </c>
    </row>
    <row r="787" spans="1:8" ht="47.25" hidden="1" x14ac:dyDescent="0.25">
      <c r="A787" s="25" t="s">
        <v>679</v>
      </c>
      <c r="B787" s="20" t="s">
        <v>1057</v>
      </c>
      <c r="C787" s="40" t="s">
        <v>118</v>
      </c>
      <c r="D787" s="40" t="s">
        <v>140</v>
      </c>
      <c r="E787" s="2"/>
      <c r="F787" s="177"/>
      <c r="G787" s="6">
        <f t="shared" ref="G787:H788" si="119">G788</f>
        <v>0</v>
      </c>
      <c r="H787" s="6">
        <f t="shared" si="119"/>
        <v>0</v>
      </c>
    </row>
    <row r="788" spans="1:8" ht="31.5" hidden="1" x14ac:dyDescent="0.25">
      <c r="A788" s="25" t="s">
        <v>131</v>
      </c>
      <c r="B788" s="20" t="s">
        <v>1057</v>
      </c>
      <c r="C788" s="40" t="s">
        <v>118</v>
      </c>
      <c r="D788" s="40" t="s">
        <v>140</v>
      </c>
      <c r="E788" s="2">
        <v>200</v>
      </c>
      <c r="F788" s="177"/>
      <c r="G788" s="6">
        <f t="shared" si="119"/>
        <v>0</v>
      </c>
      <c r="H788" s="6">
        <f t="shared" si="119"/>
        <v>0</v>
      </c>
    </row>
    <row r="789" spans="1:8" ht="47.25" hidden="1" x14ac:dyDescent="0.25">
      <c r="A789" s="25" t="s">
        <v>133</v>
      </c>
      <c r="B789" s="20" t="s">
        <v>1057</v>
      </c>
      <c r="C789" s="40" t="s">
        <v>118</v>
      </c>
      <c r="D789" s="40" t="s">
        <v>140</v>
      </c>
      <c r="E789" s="2">
        <v>240</v>
      </c>
      <c r="F789" s="177"/>
      <c r="G789" s="6">
        <f>'пр.4.1.ведом.22-23'!G261</f>
        <v>0</v>
      </c>
      <c r="H789" s="6">
        <f>'пр.4.1.ведом.22-23'!H261</f>
        <v>0</v>
      </c>
    </row>
    <row r="790" spans="1:8" ht="47.25" hidden="1" x14ac:dyDescent="0.25">
      <c r="A790" s="45" t="s">
        <v>261</v>
      </c>
      <c r="B790" s="20" t="s">
        <v>1057</v>
      </c>
      <c r="C790" s="40" t="s">
        <v>118</v>
      </c>
      <c r="D790" s="40" t="s">
        <v>140</v>
      </c>
      <c r="E790" s="2">
        <v>240</v>
      </c>
      <c r="F790" s="2">
        <v>903</v>
      </c>
      <c r="G790" s="6">
        <f>G789</f>
        <v>0</v>
      </c>
      <c r="H790" s="6">
        <f>H789</f>
        <v>0</v>
      </c>
    </row>
    <row r="791" spans="1:8" ht="31.5" hidden="1" x14ac:dyDescent="0.25">
      <c r="A791" s="31" t="s">
        <v>772</v>
      </c>
      <c r="B791" s="20" t="s">
        <v>1058</v>
      </c>
      <c r="C791" s="20" t="s">
        <v>118</v>
      </c>
      <c r="D791" s="20" t="s">
        <v>140</v>
      </c>
      <c r="E791" s="20"/>
      <c r="F791" s="177"/>
      <c r="G791" s="6">
        <f t="shared" ref="G791:H792" si="120">G792</f>
        <v>0</v>
      </c>
      <c r="H791" s="6">
        <f t="shared" si="120"/>
        <v>0</v>
      </c>
    </row>
    <row r="792" spans="1:8" ht="31.5" hidden="1" x14ac:dyDescent="0.25">
      <c r="A792" s="25" t="s">
        <v>131</v>
      </c>
      <c r="B792" s="20" t="s">
        <v>1058</v>
      </c>
      <c r="C792" s="20" t="s">
        <v>118</v>
      </c>
      <c r="D792" s="20" t="s">
        <v>140</v>
      </c>
      <c r="E792" s="20" t="s">
        <v>132</v>
      </c>
      <c r="F792" s="177"/>
      <c r="G792" s="6">
        <f t="shared" si="120"/>
        <v>0</v>
      </c>
      <c r="H792" s="6">
        <f t="shared" si="120"/>
        <v>0</v>
      </c>
    </row>
    <row r="793" spans="1:8" ht="47.25" hidden="1" x14ac:dyDescent="0.25">
      <c r="A793" s="25" t="s">
        <v>133</v>
      </c>
      <c r="B793" s="20" t="s">
        <v>1058</v>
      </c>
      <c r="C793" s="20" t="s">
        <v>118</v>
      </c>
      <c r="D793" s="20" t="s">
        <v>140</v>
      </c>
      <c r="E793" s="20" t="s">
        <v>134</v>
      </c>
      <c r="F793" s="177"/>
      <c r="G793" s="6">
        <f>'пр.4.1.ведом.22-23'!G267</f>
        <v>0</v>
      </c>
      <c r="H793" s="6">
        <f>'пр.4.1.ведом.22-23'!H267</f>
        <v>0</v>
      </c>
    </row>
    <row r="794" spans="1:8" ht="47.25" hidden="1" x14ac:dyDescent="0.25">
      <c r="A794" s="25" t="s">
        <v>1079</v>
      </c>
      <c r="B794" s="20" t="s">
        <v>1058</v>
      </c>
      <c r="C794" s="20" t="s">
        <v>118</v>
      </c>
      <c r="D794" s="20" t="s">
        <v>140</v>
      </c>
      <c r="E794" s="20" t="s">
        <v>134</v>
      </c>
      <c r="F794" s="2">
        <v>903</v>
      </c>
      <c r="G794" s="6">
        <f>G793</f>
        <v>0</v>
      </c>
      <c r="H794" s="6">
        <f>H793</f>
        <v>0</v>
      </c>
    </row>
    <row r="795" spans="1:8" ht="63" x14ac:dyDescent="0.25">
      <c r="A795" s="41" t="s">
        <v>1363</v>
      </c>
      <c r="B795" s="24" t="s">
        <v>705</v>
      </c>
      <c r="C795" s="7"/>
      <c r="D795" s="7"/>
      <c r="E795" s="3"/>
      <c r="F795" s="3"/>
      <c r="G795" s="4">
        <f>G796+G807+G846</f>
        <v>3815</v>
      </c>
      <c r="H795" s="4">
        <f>H796+H807+H846</f>
        <v>3965.9</v>
      </c>
    </row>
    <row r="796" spans="1:8" ht="63" x14ac:dyDescent="0.25">
      <c r="A796" s="210" t="s">
        <v>846</v>
      </c>
      <c r="B796" s="24" t="s">
        <v>852</v>
      </c>
      <c r="C796" s="7"/>
      <c r="D796" s="7"/>
      <c r="E796" s="3"/>
      <c r="F796" s="3"/>
      <c r="G796" s="4">
        <f>G797</f>
        <v>33</v>
      </c>
      <c r="H796" s="4">
        <f>H797</f>
        <v>33</v>
      </c>
    </row>
    <row r="797" spans="1:8" ht="15.75" x14ac:dyDescent="0.25">
      <c r="A797" s="29" t="s">
        <v>117</v>
      </c>
      <c r="B797" s="20" t="s">
        <v>852</v>
      </c>
      <c r="C797" s="40" t="s">
        <v>118</v>
      </c>
      <c r="D797" s="40"/>
      <c r="E797" s="2"/>
      <c r="F797" s="2"/>
      <c r="G797" s="6">
        <f t="shared" ref="G797:H797" si="121">G798</f>
        <v>33</v>
      </c>
      <c r="H797" s="6">
        <f t="shared" si="121"/>
        <v>33</v>
      </c>
    </row>
    <row r="798" spans="1:8" ht="15.75" x14ac:dyDescent="0.25">
      <c r="A798" s="29" t="s">
        <v>139</v>
      </c>
      <c r="B798" s="20" t="s">
        <v>852</v>
      </c>
      <c r="C798" s="40" t="s">
        <v>118</v>
      </c>
      <c r="D798" s="40" t="s">
        <v>140</v>
      </c>
      <c r="E798" s="2"/>
      <c r="F798" s="2"/>
      <c r="G798" s="6">
        <f>G799+G803</f>
        <v>33</v>
      </c>
      <c r="H798" s="6">
        <f>H799+H803</f>
        <v>33</v>
      </c>
    </row>
    <row r="799" spans="1:8" ht="47.25" x14ac:dyDescent="0.25">
      <c r="A799" s="98" t="s">
        <v>776</v>
      </c>
      <c r="B799" s="20" t="s">
        <v>847</v>
      </c>
      <c r="C799" s="40" t="s">
        <v>118</v>
      </c>
      <c r="D799" s="40" t="s">
        <v>140</v>
      </c>
      <c r="E799" s="2"/>
      <c r="F799" s="2"/>
      <c r="G799" s="6">
        <f t="shared" ref="G799:H800" si="122">G800</f>
        <v>28</v>
      </c>
      <c r="H799" s="6">
        <f t="shared" si="122"/>
        <v>28</v>
      </c>
    </row>
    <row r="800" spans="1:8" ht="31.5" x14ac:dyDescent="0.25">
      <c r="A800" s="25" t="s">
        <v>131</v>
      </c>
      <c r="B800" s="20" t="s">
        <v>847</v>
      </c>
      <c r="C800" s="40" t="s">
        <v>118</v>
      </c>
      <c r="D800" s="40" t="s">
        <v>140</v>
      </c>
      <c r="E800" s="2">
        <v>200</v>
      </c>
      <c r="F800" s="2"/>
      <c r="G800" s="6">
        <f t="shared" si="122"/>
        <v>28</v>
      </c>
      <c r="H800" s="6">
        <f t="shared" si="122"/>
        <v>28</v>
      </c>
    </row>
    <row r="801" spans="1:8" ht="47.25" x14ac:dyDescent="0.25">
      <c r="A801" s="25" t="s">
        <v>133</v>
      </c>
      <c r="B801" s="20" t="s">
        <v>847</v>
      </c>
      <c r="C801" s="40" t="s">
        <v>118</v>
      </c>
      <c r="D801" s="40" t="s">
        <v>140</v>
      </c>
      <c r="E801" s="2">
        <v>240</v>
      </c>
      <c r="F801" s="2"/>
      <c r="G801" s="6">
        <f>'пр.4.1.ведом.22-23'!G150</f>
        <v>28</v>
      </c>
      <c r="H801" s="6">
        <f>'пр.4.1.ведом.22-23'!H150</f>
        <v>28</v>
      </c>
    </row>
    <row r="802" spans="1:8" ht="31.5" x14ac:dyDescent="0.25">
      <c r="A802" s="29" t="s">
        <v>148</v>
      </c>
      <c r="B802" s="20" t="s">
        <v>847</v>
      </c>
      <c r="C802" s="40" t="s">
        <v>118</v>
      </c>
      <c r="D802" s="40" t="s">
        <v>140</v>
      </c>
      <c r="E802" s="2">
        <v>240</v>
      </c>
      <c r="F802" s="2">
        <v>902</v>
      </c>
      <c r="G802" s="6">
        <f>G801</f>
        <v>28</v>
      </c>
      <c r="H802" s="6">
        <f>H801</f>
        <v>28</v>
      </c>
    </row>
    <row r="803" spans="1:8" ht="47.25" x14ac:dyDescent="0.25">
      <c r="A803" s="98" t="s">
        <v>776</v>
      </c>
      <c r="B803" s="20" t="s">
        <v>847</v>
      </c>
      <c r="C803" s="40" t="s">
        <v>118</v>
      </c>
      <c r="D803" s="40" t="s">
        <v>140</v>
      </c>
      <c r="E803" s="2"/>
      <c r="F803" s="2"/>
      <c r="G803" s="6">
        <f>G804</f>
        <v>5</v>
      </c>
      <c r="H803" s="6">
        <f>H804</f>
        <v>5</v>
      </c>
    </row>
    <row r="804" spans="1:8" ht="31.5" x14ac:dyDescent="0.25">
      <c r="A804" s="25" t="s">
        <v>131</v>
      </c>
      <c r="B804" s="20" t="s">
        <v>847</v>
      </c>
      <c r="C804" s="40" t="s">
        <v>118</v>
      </c>
      <c r="D804" s="40" t="s">
        <v>140</v>
      </c>
      <c r="E804" s="2">
        <v>200</v>
      </c>
      <c r="F804" s="2"/>
      <c r="G804" s="6">
        <f>G805</f>
        <v>5</v>
      </c>
      <c r="H804" s="6">
        <f>H805</f>
        <v>5</v>
      </c>
    </row>
    <row r="805" spans="1:8" ht="47.25" x14ac:dyDescent="0.25">
      <c r="A805" s="25" t="s">
        <v>133</v>
      </c>
      <c r="B805" s="20" t="s">
        <v>847</v>
      </c>
      <c r="C805" s="40" t="s">
        <v>118</v>
      </c>
      <c r="D805" s="40" t="s">
        <v>140</v>
      </c>
      <c r="E805" s="2">
        <v>240</v>
      </c>
      <c r="F805" s="2"/>
      <c r="G805" s="6">
        <f>'пр.4.1.ведом.22-23'!G272</f>
        <v>5</v>
      </c>
      <c r="H805" s="6">
        <f>'пр.4.1.ведом.22-23'!H272</f>
        <v>5</v>
      </c>
    </row>
    <row r="806" spans="1:8" ht="47.25" x14ac:dyDescent="0.25">
      <c r="A806" s="45" t="s">
        <v>261</v>
      </c>
      <c r="B806" s="20" t="s">
        <v>847</v>
      </c>
      <c r="C806" s="40" t="s">
        <v>118</v>
      </c>
      <c r="D806" s="40" t="s">
        <v>140</v>
      </c>
      <c r="E806" s="2">
        <v>240</v>
      </c>
      <c r="F806" s="2">
        <v>903</v>
      </c>
      <c r="G806" s="6">
        <f>G805</f>
        <v>5</v>
      </c>
      <c r="H806" s="6">
        <f>H805</f>
        <v>5</v>
      </c>
    </row>
    <row r="807" spans="1:8" ht="63" x14ac:dyDescent="0.25">
      <c r="A807" s="41" t="s">
        <v>890</v>
      </c>
      <c r="B807" s="24" t="s">
        <v>888</v>
      </c>
      <c r="C807" s="40"/>
      <c r="D807" s="40"/>
      <c r="E807" s="2"/>
      <c r="F807" s="2"/>
      <c r="G807" s="4">
        <f>G808+G828+G834+G840</f>
        <v>3767</v>
      </c>
      <c r="H807" s="4">
        <f>H808+H828+H834+H840</f>
        <v>3917.9</v>
      </c>
    </row>
    <row r="808" spans="1:8" ht="15.75" x14ac:dyDescent="0.25">
      <c r="A808" s="29" t="s">
        <v>263</v>
      </c>
      <c r="B808" s="20" t="s">
        <v>888</v>
      </c>
      <c r="C808" s="40" t="s">
        <v>264</v>
      </c>
      <c r="D808" s="40"/>
      <c r="E808" s="2"/>
      <c r="F808" s="2"/>
      <c r="G808" s="6">
        <f>G809+G815+G819</f>
        <v>2234.3000000000002</v>
      </c>
      <c r="H808" s="6">
        <f>H809+H815+H819</f>
        <v>2323.8000000000002</v>
      </c>
    </row>
    <row r="809" spans="1:8" ht="15.75" x14ac:dyDescent="0.25">
      <c r="A809" s="29" t="s">
        <v>404</v>
      </c>
      <c r="B809" s="20" t="s">
        <v>888</v>
      </c>
      <c r="C809" s="40" t="s">
        <v>264</v>
      </c>
      <c r="D809" s="40" t="s">
        <v>118</v>
      </c>
      <c r="E809" s="2"/>
      <c r="F809" s="2"/>
      <c r="G809" s="6">
        <f t="shared" ref="G809:H811" si="123">G810</f>
        <v>570.9</v>
      </c>
      <c r="H809" s="6">
        <f t="shared" si="123"/>
        <v>593.79999999999995</v>
      </c>
    </row>
    <row r="810" spans="1:8" ht="47.25" x14ac:dyDescent="0.25">
      <c r="A810" s="45" t="s">
        <v>780</v>
      </c>
      <c r="B810" s="20" t="s">
        <v>936</v>
      </c>
      <c r="C810" s="40" t="s">
        <v>264</v>
      </c>
      <c r="D810" s="40" t="s">
        <v>118</v>
      </c>
      <c r="E810" s="2"/>
      <c r="F810" s="2"/>
      <c r="G810" s="6">
        <f t="shared" si="123"/>
        <v>570.9</v>
      </c>
      <c r="H810" s="6">
        <f t="shared" si="123"/>
        <v>593.79999999999995</v>
      </c>
    </row>
    <row r="811" spans="1:8" ht="47.25" x14ac:dyDescent="0.25">
      <c r="A811" s="29" t="s">
        <v>272</v>
      </c>
      <c r="B811" s="20" t="s">
        <v>936</v>
      </c>
      <c r="C811" s="40" t="s">
        <v>264</v>
      </c>
      <c r="D811" s="40" t="s">
        <v>118</v>
      </c>
      <c r="E811" s="2">
        <v>600</v>
      </c>
      <c r="F811" s="2"/>
      <c r="G811" s="6">
        <f t="shared" si="123"/>
        <v>570.9</v>
      </c>
      <c r="H811" s="6">
        <f t="shared" si="123"/>
        <v>593.79999999999995</v>
      </c>
    </row>
    <row r="812" spans="1:8" ht="15.75" x14ac:dyDescent="0.25">
      <c r="A812" s="182" t="s">
        <v>274</v>
      </c>
      <c r="B812" s="20" t="s">
        <v>936</v>
      </c>
      <c r="C812" s="40" t="s">
        <v>264</v>
      </c>
      <c r="D812" s="40" t="s">
        <v>118</v>
      </c>
      <c r="E812" s="2">
        <v>610</v>
      </c>
      <c r="F812" s="2"/>
      <c r="G812" s="6">
        <f>'пр.4.1.ведом.22-23'!G608</f>
        <v>570.9</v>
      </c>
      <c r="H812" s="6">
        <f>'пр.4.1.ведом.22-23'!H608</f>
        <v>593.79999999999995</v>
      </c>
    </row>
    <row r="813" spans="1:8" ht="31.5" x14ac:dyDescent="0.25">
      <c r="A813" s="29" t="s">
        <v>403</v>
      </c>
      <c r="B813" s="20" t="s">
        <v>936</v>
      </c>
      <c r="C813" s="40" t="s">
        <v>264</v>
      </c>
      <c r="D813" s="40" t="s">
        <v>118</v>
      </c>
      <c r="E813" s="2">
        <v>610</v>
      </c>
      <c r="F813" s="2">
        <v>906</v>
      </c>
      <c r="G813" s="6">
        <f>G812</f>
        <v>570.9</v>
      </c>
      <c r="H813" s="6">
        <f>H812</f>
        <v>593.79999999999995</v>
      </c>
    </row>
    <row r="814" spans="1:8" ht="15.75" x14ac:dyDescent="0.25">
      <c r="A814" s="45" t="s">
        <v>425</v>
      </c>
      <c r="B814" s="20" t="s">
        <v>888</v>
      </c>
      <c r="C814" s="40" t="s">
        <v>264</v>
      </c>
      <c r="D814" s="40" t="s">
        <v>213</v>
      </c>
      <c r="E814" s="2"/>
      <c r="F814" s="2"/>
      <c r="G814" s="6">
        <f t="shared" ref="G814:H816" si="124">G815</f>
        <v>870.5</v>
      </c>
      <c r="H814" s="6">
        <f t="shared" si="124"/>
        <v>905.3</v>
      </c>
    </row>
    <row r="815" spans="1:8" ht="47.25" x14ac:dyDescent="0.25">
      <c r="A815" s="45" t="s">
        <v>780</v>
      </c>
      <c r="B815" s="20" t="s">
        <v>936</v>
      </c>
      <c r="C815" s="40" t="s">
        <v>264</v>
      </c>
      <c r="D815" s="40" t="s">
        <v>213</v>
      </c>
      <c r="E815" s="2"/>
      <c r="F815" s="2"/>
      <c r="G815" s="6">
        <f t="shared" si="124"/>
        <v>870.5</v>
      </c>
      <c r="H815" s="6">
        <f t="shared" si="124"/>
        <v>905.3</v>
      </c>
    </row>
    <row r="816" spans="1:8" ht="47.25" x14ac:dyDescent="0.25">
      <c r="A816" s="29" t="s">
        <v>272</v>
      </c>
      <c r="B816" s="20" t="s">
        <v>936</v>
      </c>
      <c r="C816" s="40" t="s">
        <v>264</v>
      </c>
      <c r="D816" s="40" t="s">
        <v>213</v>
      </c>
      <c r="E816" s="2">
        <v>600</v>
      </c>
      <c r="F816" s="2"/>
      <c r="G816" s="6">
        <f t="shared" si="124"/>
        <v>870.5</v>
      </c>
      <c r="H816" s="6">
        <f t="shared" si="124"/>
        <v>905.3</v>
      </c>
    </row>
    <row r="817" spans="1:8" ht="15.75" x14ac:dyDescent="0.25">
      <c r="A817" s="182" t="s">
        <v>274</v>
      </c>
      <c r="B817" s="20" t="s">
        <v>936</v>
      </c>
      <c r="C817" s="40" t="s">
        <v>264</v>
      </c>
      <c r="D817" s="40" t="s">
        <v>213</v>
      </c>
      <c r="E817" s="2">
        <v>610</v>
      </c>
      <c r="F817" s="2"/>
      <c r="G817" s="6">
        <f>'пр.4.1.ведом.22-23'!G690</f>
        <v>870.5</v>
      </c>
      <c r="H817" s="6">
        <f>'пр.4.1.ведом.22-23'!H690</f>
        <v>905.3</v>
      </c>
    </row>
    <row r="818" spans="1:8" ht="31.5" x14ac:dyDescent="0.25">
      <c r="A818" s="29" t="s">
        <v>403</v>
      </c>
      <c r="B818" s="20" t="s">
        <v>936</v>
      </c>
      <c r="C818" s="40" t="s">
        <v>264</v>
      </c>
      <c r="D818" s="40" t="s">
        <v>213</v>
      </c>
      <c r="E818" s="2">
        <v>610</v>
      </c>
      <c r="F818" s="2">
        <v>906</v>
      </c>
      <c r="G818" s="6">
        <f>G817</f>
        <v>870.5</v>
      </c>
      <c r="H818" s="6">
        <f>H817</f>
        <v>905.3</v>
      </c>
    </row>
    <row r="819" spans="1:8" ht="15.75" x14ac:dyDescent="0.25">
      <c r="A819" s="45" t="s">
        <v>265</v>
      </c>
      <c r="B819" s="20" t="s">
        <v>888</v>
      </c>
      <c r="C819" s="40" t="s">
        <v>264</v>
      </c>
      <c r="D819" s="40" t="s">
        <v>215</v>
      </c>
      <c r="E819" s="2"/>
      <c r="F819" s="2"/>
      <c r="G819" s="6">
        <f>G824+G820</f>
        <v>792.9</v>
      </c>
      <c r="H819" s="6">
        <f>H824+H820</f>
        <v>824.7</v>
      </c>
    </row>
    <row r="820" spans="1:8" s="203" customFormat="1" ht="47.25" x14ac:dyDescent="0.25">
      <c r="A820" s="98" t="s">
        <v>1004</v>
      </c>
      <c r="B820" s="20" t="s">
        <v>889</v>
      </c>
      <c r="C820" s="40" t="s">
        <v>264</v>
      </c>
      <c r="D820" s="40" t="s">
        <v>215</v>
      </c>
      <c r="E820" s="2"/>
      <c r="F820" s="2"/>
      <c r="G820" s="6">
        <f>G821</f>
        <v>490.2</v>
      </c>
      <c r="H820" s="6">
        <f>H821</f>
        <v>509.8</v>
      </c>
    </row>
    <row r="821" spans="1:8" s="203" customFormat="1" ht="31.5" x14ac:dyDescent="0.25">
      <c r="A821" s="25" t="s">
        <v>131</v>
      </c>
      <c r="B821" s="20" t="s">
        <v>889</v>
      </c>
      <c r="C821" s="40" t="s">
        <v>264</v>
      </c>
      <c r="D821" s="40" t="s">
        <v>215</v>
      </c>
      <c r="E821" s="2">
        <v>200</v>
      </c>
      <c r="F821" s="2"/>
      <c r="G821" s="6">
        <f>G822</f>
        <v>490.2</v>
      </c>
      <c r="H821" s="6">
        <f>H822</f>
        <v>509.8</v>
      </c>
    </row>
    <row r="822" spans="1:8" s="203" customFormat="1" ht="47.25" x14ac:dyDescent="0.25">
      <c r="A822" s="25" t="s">
        <v>133</v>
      </c>
      <c r="B822" s="20" t="s">
        <v>889</v>
      </c>
      <c r="C822" s="40" t="s">
        <v>264</v>
      </c>
      <c r="D822" s="40" t="s">
        <v>215</v>
      </c>
      <c r="E822" s="2">
        <v>240</v>
      </c>
      <c r="F822" s="2"/>
      <c r="G822" s="6">
        <f>'пр.4.1.ведом.22-23'!G336</f>
        <v>490.2</v>
      </c>
      <c r="H822" s="6">
        <f>'пр.4.1.ведом.22-23'!H336</f>
        <v>509.8</v>
      </c>
    </row>
    <row r="823" spans="1:8" s="203" customFormat="1" ht="47.25" x14ac:dyDescent="0.25">
      <c r="A823" s="45" t="s">
        <v>261</v>
      </c>
      <c r="B823" s="20" t="s">
        <v>889</v>
      </c>
      <c r="C823" s="40" t="s">
        <v>264</v>
      </c>
      <c r="D823" s="40" t="s">
        <v>215</v>
      </c>
      <c r="E823" s="2">
        <v>240</v>
      </c>
      <c r="F823" s="2">
        <v>903</v>
      </c>
      <c r="G823" s="6">
        <f>'пр.4.1.ведом.22-23'!G336</f>
        <v>490.2</v>
      </c>
      <c r="H823" s="6">
        <f>'пр.4.1.ведом.22-23'!H336</f>
        <v>509.8</v>
      </c>
    </row>
    <row r="824" spans="1:8" ht="47.25" x14ac:dyDescent="0.25">
      <c r="A824" s="45" t="s">
        <v>780</v>
      </c>
      <c r="B824" s="20" t="s">
        <v>936</v>
      </c>
      <c r="C824" s="40" t="s">
        <v>264</v>
      </c>
      <c r="D824" s="40" t="s">
        <v>215</v>
      </c>
      <c r="E824" s="2"/>
      <c r="F824" s="2"/>
      <c r="G824" s="6">
        <f>G825</f>
        <v>302.7</v>
      </c>
      <c r="H824" s="6">
        <f>H825</f>
        <v>314.89999999999998</v>
      </c>
    </row>
    <row r="825" spans="1:8" ht="47.25" x14ac:dyDescent="0.25">
      <c r="A825" s="29" t="s">
        <v>272</v>
      </c>
      <c r="B825" s="20" t="s">
        <v>936</v>
      </c>
      <c r="C825" s="40" t="s">
        <v>264</v>
      </c>
      <c r="D825" s="40" t="s">
        <v>215</v>
      </c>
      <c r="E825" s="2">
        <v>600</v>
      </c>
      <c r="F825" s="2"/>
      <c r="G825" s="6">
        <f>G826</f>
        <v>302.7</v>
      </c>
      <c r="H825" s="6">
        <f>H826</f>
        <v>314.89999999999998</v>
      </c>
    </row>
    <row r="826" spans="1:8" ht="15.75" x14ac:dyDescent="0.25">
      <c r="A826" s="182" t="s">
        <v>274</v>
      </c>
      <c r="B826" s="20" t="s">
        <v>936</v>
      </c>
      <c r="C826" s="40" t="s">
        <v>264</v>
      </c>
      <c r="D826" s="40" t="s">
        <v>215</v>
      </c>
      <c r="E826" s="2">
        <v>610</v>
      </c>
      <c r="F826" s="2"/>
      <c r="G826" s="6">
        <f>'пр.4.1.ведом.22-23'!G719</f>
        <v>302.7</v>
      </c>
      <c r="H826" s="6">
        <f>'пр.4.1.ведом.22-23'!H719</f>
        <v>314.89999999999998</v>
      </c>
    </row>
    <row r="827" spans="1:8" ht="31.5" x14ac:dyDescent="0.25">
      <c r="A827" s="29" t="s">
        <v>403</v>
      </c>
      <c r="B827" s="20" t="s">
        <v>936</v>
      </c>
      <c r="C827" s="40" t="s">
        <v>264</v>
      </c>
      <c r="D827" s="40" t="s">
        <v>215</v>
      </c>
      <c r="E827" s="2">
        <v>610</v>
      </c>
      <c r="F827" s="2">
        <v>906</v>
      </c>
      <c r="G827" s="6">
        <f>G826</f>
        <v>302.7</v>
      </c>
      <c r="H827" s="6">
        <f>H826</f>
        <v>314.89999999999998</v>
      </c>
    </row>
    <row r="828" spans="1:8" ht="15.75" x14ac:dyDescent="0.25">
      <c r="A828" s="25" t="s">
        <v>298</v>
      </c>
      <c r="B828" s="20" t="s">
        <v>888</v>
      </c>
      <c r="C828" s="40" t="s">
        <v>299</v>
      </c>
      <c r="D828" s="40"/>
      <c r="E828" s="2"/>
      <c r="F828" s="2"/>
      <c r="G828" s="6">
        <f t="shared" ref="G828:H831" si="125">G829</f>
        <v>878.7</v>
      </c>
      <c r="H828" s="6">
        <f t="shared" si="125"/>
        <v>913.9</v>
      </c>
    </row>
    <row r="829" spans="1:8" ht="15.75" x14ac:dyDescent="0.25">
      <c r="A829" s="25" t="s">
        <v>300</v>
      </c>
      <c r="B829" s="20" t="s">
        <v>888</v>
      </c>
      <c r="C829" s="40" t="s">
        <v>299</v>
      </c>
      <c r="D829" s="40" t="s">
        <v>118</v>
      </c>
      <c r="E829" s="2"/>
      <c r="F829" s="2"/>
      <c r="G829" s="6">
        <f t="shared" si="125"/>
        <v>878.7</v>
      </c>
      <c r="H829" s="6">
        <f t="shared" si="125"/>
        <v>913.9</v>
      </c>
    </row>
    <row r="830" spans="1:8" ht="32.25" customHeight="1" x14ac:dyDescent="0.25">
      <c r="A830" s="45" t="s">
        <v>778</v>
      </c>
      <c r="B830" s="20" t="s">
        <v>889</v>
      </c>
      <c r="C830" s="40" t="s">
        <v>299</v>
      </c>
      <c r="D830" s="40" t="s">
        <v>118</v>
      </c>
      <c r="E830" s="2"/>
      <c r="F830" s="2"/>
      <c r="G830" s="6">
        <f t="shared" si="125"/>
        <v>878.7</v>
      </c>
      <c r="H830" s="6">
        <f t="shared" si="125"/>
        <v>913.9</v>
      </c>
    </row>
    <row r="831" spans="1:8" ht="31.5" x14ac:dyDescent="0.25">
      <c r="A831" s="25" t="s">
        <v>131</v>
      </c>
      <c r="B831" s="20" t="s">
        <v>889</v>
      </c>
      <c r="C831" s="40" t="s">
        <v>299</v>
      </c>
      <c r="D831" s="40" t="s">
        <v>118</v>
      </c>
      <c r="E831" s="2">
        <v>200</v>
      </c>
      <c r="F831" s="2"/>
      <c r="G831" s="6">
        <f t="shared" si="125"/>
        <v>878.7</v>
      </c>
      <c r="H831" s="6">
        <f t="shared" si="125"/>
        <v>913.9</v>
      </c>
    </row>
    <row r="832" spans="1:8" ht="47.25" x14ac:dyDescent="0.25">
      <c r="A832" s="25" t="s">
        <v>133</v>
      </c>
      <c r="B832" s="20" t="s">
        <v>889</v>
      </c>
      <c r="C832" s="40" t="s">
        <v>299</v>
      </c>
      <c r="D832" s="40" t="s">
        <v>118</v>
      </c>
      <c r="E832" s="2">
        <v>240</v>
      </c>
      <c r="F832" s="2"/>
      <c r="G832" s="6">
        <f>'пр.4.1.ведом.22-23'!G410</f>
        <v>878.7</v>
      </c>
      <c r="H832" s="6">
        <f>'пр.4.1.ведом.22-23'!H410</f>
        <v>913.9</v>
      </c>
    </row>
    <row r="833" spans="1:8" ht="47.25" x14ac:dyDescent="0.25">
      <c r="A833" s="45" t="s">
        <v>261</v>
      </c>
      <c r="B833" s="20" t="s">
        <v>889</v>
      </c>
      <c r="C833" s="40" t="s">
        <v>299</v>
      </c>
      <c r="D833" s="40" t="s">
        <v>118</v>
      </c>
      <c r="E833" s="2">
        <v>240</v>
      </c>
      <c r="F833" s="2">
        <v>903</v>
      </c>
      <c r="G833" s="6">
        <f>G832</f>
        <v>878.7</v>
      </c>
      <c r="H833" s="6">
        <f>H832</f>
        <v>913.9</v>
      </c>
    </row>
    <row r="834" spans="1:8" ht="15.75" x14ac:dyDescent="0.25">
      <c r="A834" s="25" t="s">
        <v>490</v>
      </c>
      <c r="B834" s="20" t="s">
        <v>888</v>
      </c>
      <c r="C834" s="40" t="s">
        <v>491</v>
      </c>
      <c r="D834" s="40"/>
      <c r="E834" s="2"/>
      <c r="F834" s="2"/>
      <c r="G834" s="6">
        <f t="shared" ref="G834:H837" si="126">G835</f>
        <v>579.1</v>
      </c>
      <c r="H834" s="6">
        <f t="shared" si="126"/>
        <v>602.29999999999995</v>
      </c>
    </row>
    <row r="835" spans="1:8" ht="15.75" x14ac:dyDescent="0.25">
      <c r="A835" s="25" t="s">
        <v>1081</v>
      </c>
      <c r="B835" s="20" t="s">
        <v>888</v>
      </c>
      <c r="C835" s="40" t="s">
        <v>491</v>
      </c>
      <c r="D835" s="40" t="s">
        <v>118</v>
      </c>
      <c r="E835" s="2"/>
      <c r="F835" s="2"/>
      <c r="G835" s="6">
        <f t="shared" si="126"/>
        <v>579.1</v>
      </c>
      <c r="H835" s="6">
        <f t="shared" si="126"/>
        <v>602.29999999999995</v>
      </c>
    </row>
    <row r="836" spans="1:8" ht="47.25" x14ac:dyDescent="0.25">
      <c r="A836" s="45" t="s">
        <v>780</v>
      </c>
      <c r="B836" s="20" t="s">
        <v>936</v>
      </c>
      <c r="C836" s="40" t="s">
        <v>491</v>
      </c>
      <c r="D836" s="40" t="s">
        <v>118</v>
      </c>
      <c r="E836" s="2"/>
      <c r="F836" s="2"/>
      <c r="G836" s="6">
        <f t="shared" si="126"/>
        <v>579.1</v>
      </c>
      <c r="H836" s="6">
        <f t="shared" si="126"/>
        <v>602.29999999999995</v>
      </c>
    </row>
    <row r="837" spans="1:8" ht="47.25" x14ac:dyDescent="0.25">
      <c r="A837" s="29" t="s">
        <v>272</v>
      </c>
      <c r="B837" s="20" t="s">
        <v>936</v>
      </c>
      <c r="C837" s="40" t="s">
        <v>491</v>
      </c>
      <c r="D837" s="40" t="s">
        <v>118</v>
      </c>
      <c r="E837" s="2">
        <v>600</v>
      </c>
      <c r="F837" s="2"/>
      <c r="G837" s="6">
        <f t="shared" si="126"/>
        <v>579.1</v>
      </c>
      <c r="H837" s="6">
        <f t="shared" si="126"/>
        <v>602.29999999999995</v>
      </c>
    </row>
    <row r="838" spans="1:8" ht="15.75" x14ac:dyDescent="0.25">
      <c r="A838" s="182" t="s">
        <v>274</v>
      </c>
      <c r="B838" s="20" t="s">
        <v>936</v>
      </c>
      <c r="C838" s="40" t="s">
        <v>491</v>
      </c>
      <c r="D838" s="40" t="s">
        <v>118</v>
      </c>
      <c r="E838" s="2">
        <v>610</v>
      </c>
      <c r="F838" s="2"/>
      <c r="G838" s="6">
        <f>'пр.4.1.ведом.22-23'!G802</f>
        <v>579.1</v>
      </c>
      <c r="H838" s="6">
        <f>'пр.4.1.ведом.22-23'!H802</f>
        <v>602.29999999999995</v>
      </c>
    </row>
    <row r="839" spans="1:8" ht="47.25" x14ac:dyDescent="0.25">
      <c r="A839" s="45" t="s">
        <v>480</v>
      </c>
      <c r="B839" s="20" t="s">
        <v>936</v>
      </c>
      <c r="C839" s="40" t="s">
        <v>491</v>
      </c>
      <c r="D839" s="40" t="s">
        <v>118</v>
      </c>
      <c r="E839" s="2">
        <v>610</v>
      </c>
      <c r="F839" s="2">
        <v>907</v>
      </c>
      <c r="G839" s="6">
        <f>G838</f>
        <v>579.1</v>
      </c>
      <c r="H839" s="6">
        <f>H838</f>
        <v>602.29999999999995</v>
      </c>
    </row>
    <row r="840" spans="1:8" ht="15.75" x14ac:dyDescent="0.25">
      <c r="A840" s="29" t="s">
        <v>582</v>
      </c>
      <c r="B840" s="20" t="s">
        <v>888</v>
      </c>
      <c r="C840" s="40" t="s">
        <v>238</v>
      </c>
      <c r="D840" s="40"/>
      <c r="E840" s="2"/>
      <c r="F840" s="2"/>
      <c r="G840" s="6">
        <f t="shared" ref="G840:H843" si="127">G841</f>
        <v>74.900000000000006</v>
      </c>
      <c r="H840" s="6">
        <f t="shared" si="127"/>
        <v>77.900000000000006</v>
      </c>
    </row>
    <row r="841" spans="1:8" ht="15.75" x14ac:dyDescent="0.25">
      <c r="A841" s="29" t="s">
        <v>583</v>
      </c>
      <c r="B841" s="20" t="s">
        <v>888</v>
      </c>
      <c r="C841" s="40" t="s">
        <v>238</v>
      </c>
      <c r="D841" s="40" t="s">
        <v>213</v>
      </c>
      <c r="E841" s="2"/>
      <c r="F841" s="2"/>
      <c r="G841" s="6">
        <f t="shared" si="127"/>
        <v>74.900000000000006</v>
      </c>
      <c r="H841" s="6">
        <f t="shared" si="127"/>
        <v>77.900000000000006</v>
      </c>
    </row>
    <row r="842" spans="1:8" ht="47.25" x14ac:dyDescent="0.25">
      <c r="A842" s="45" t="s">
        <v>778</v>
      </c>
      <c r="B842" s="20" t="s">
        <v>889</v>
      </c>
      <c r="C842" s="40" t="s">
        <v>238</v>
      </c>
      <c r="D842" s="40" t="s">
        <v>213</v>
      </c>
      <c r="E842" s="2"/>
      <c r="F842" s="2"/>
      <c r="G842" s="6">
        <f t="shared" si="127"/>
        <v>74.900000000000006</v>
      </c>
      <c r="H842" s="6">
        <f t="shared" si="127"/>
        <v>77.900000000000006</v>
      </c>
    </row>
    <row r="843" spans="1:8" ht="31.5" x14ac:dyDescent="0.25">
      <c r="A843" s="25" t="s">
        <v>131</v>
      </c>
      <c r="B843" s="20" t="s">
        <v>889</v>
      </c>
      <c r="C843" s="40" t="s">
        <v>238</v>
      </c>
      <c r="D843" s="40" t="s">
        <v>213</v>
      </c>
      <c r="E843" s="2">
        <v>200</v>
      </c>
      <c r="F843" s="2"/>
      <c r="G843" s="6">
        <f t="shared" si="127"/>
        <v>74.900000000000006</v>
      </c>
      <c r="H843" s="6">
        <f t="shared" si="127"/>
        <v>77.900000000000006</v>
      </c>
    </row>
    <row r="844" spans="1:8" ht="47.25" x14ac:dyDescent="0.25">
      <c r="A844" s="25" t="s">
        <v>133</v>
      </c>
      <c r="B844" s="20" t="s">
        <v>889</v>
      </c>
      <c r="C844" s="40" t="s">
        <v>238</v>
      </c>
      <c r="D844" s="40" t="s">
        <v>213</v>
      </c>
      <c r="E844" s="2">
        <v>240</v>
      </c>
      <c r="F844" s="2"/>
      <c r="G844" s="6">
        <f>'пр.4.1.ведом.22-23'!G487</f>
        <v>74.900000000000006</v>
      </c>
      <c r="H844" s="6">
        <f>'пр.4.1.ведом.22-23'!H487</f>
        <v>77.900000000000006</v>
      </c>
    </row>
    <row r="845" spans="1:8" ht="47.25" x14ac:dyDescent="0.25">
      <c r="A845" s="45" t="s">
        <v>261</v>
      </c>
      <c r="B845" s="20" t="s">
        <v>889</v>
      </c>
      <c r="C845" s="40" t="s">
        <v>238</v>
      </c>
      <c r="D845" s="40" t="s">
        <v>213</v>
      </c>
      <c r="E845" s="2">
        <v>240</v>
      </c>
      <c r="F845" s="2">
        <v>903</v>
      </c>
      <c r="G845" s="6">
        <f>G840</f>
        <v>74.900000000000006</v>
      </c>
      <c r="H845" s="6">
        <f>H840</f>
        <v>77.900000000000006</v>
      </c>
    </row>
    <row r="846" spans="1:8" ht="47.25" x14ac:dyDescent="0.25">
      <c r="A846" s="211" t="s">
        <v>1023</v>
      </c>
      <c r="B846" s="24" t="s">
        <v>853</v>
      </c>
      <c r="C846" s="7"/>
      <c r="D846" s="7"/>
      <c r="E846" s="3"/>
      <c r="F846" s="3"/>
      <c r="G846" s="4">
        <f t="shared" ref="G846:H848" si="128">G847</f>
        <v>15</v>
      </c>
      <c r="H846" s="4">
        <f t="shared" si="128"/>
        <v>15</v>
      </c>
    </row>
    <row r="847" spans="1:8" ht="15.75" x14ac:dyDescent="0.25">
      <c r="A847" s="223" t="s">
        <v>117</v>
      </c>
      <c r="B847" s="20" t="s">
        <v>853</v>
      </c>
      <c r="C847" s="40" t="s">
        <v>118</v>
      </c>
      <c r="D847" s="40"/>
      <c r="E847" s="2"/>
      <c r="F847" s="2"/>
      <c r="G847" s="6">
        <f t="shared" si="128"/>
        <v>15</v>
      </c>
      <c r="H847" s="6">
        <f t="shared" si="128"/>
        <v>15</v>
      </c>
    </row>
    <row r="848" spans="1:8" ht="15.75" x14ac:dyDescent="0.25">
      <c r="A848" s="223" t="s">
        <v>139</v>
      </c>
      <c r="B848" s="20" t="s">
        <v>853</v>
      </c>
      <c r="C848" s="40" t="s">
        <v>118</v>
      </c>
      <c r="D848" s="40" t="s">
        <v>140</v>
      </c>
      <c r="E848" s="2"/>
      <c r="F848" s="2"/>
      <c r="G848" s="6">
        <f t="shared" si="128"/>
        <v>15</v>
      </c>
      <c r="H848" s="6">
        <f t="shared" si="128"/>
        <v>15</v>
      </c>
    </row>
    <row r="849" spans="1:8" ht="56.25" customHeight="1" x14ac:dyDescent="0.25">
      <c r="A849" s="252" t="s">
        <v>1005</v>
      </c>
      <c r="B849" s="20" t="s">
        <v>848</v>
      </c>
      <c r="C849" s="40" t="s">
        <v>118</v>
      </c>
      <c r="D849" s="40" t="s">
        <v>140</v>
      </c>
      <c r="E849" s="2"/>
      <c r="F849" s="2"/>
      <c r="G849" s="6">
        <f t="shared" ref="G849:H850" si="129">G850</f>
        <v>15</v>
      </c>
      <c r="H849" s="6">
        <f t="shared" si="129"/>
        <v>15</v>
      </c>
    </row>
    <row r="850" spans="1:8" ht="31.5" x14ac:dyDescent="0.25">
      <c r="A850" s="25" t="s">
        <v>131</v>
      </c>
      <c r="B850" s="20" t="s">
        <v>848</v>
      </c>
      <c r="C850" s="40" t="s">
        <v>118</v>
      </c>
      <c r="D850" s="40" t="s">
        <v>140</v>
      </c>
      <c r="E850" s="2">
        <v>200</v>
      </c>
      <c r="F850" s="2"/>
      <c r="G850" s="6">
        <f t="shared" si="129"/>
        <v>15</v>
      </c>
      <c r="H850" s="6">
        <f t="shared" si="129"/>
        <v>15</v>
      </c>
    </row>
    <row r="851" spans="1:8" ht="47.25" x14ac:dyDescent="0.25">
      <c r="A851" s="25" t="s">
        <v>133</v>
      </c>
      <c r="B851" s="20" t="s">
        <v>848</v>
      </c>
      <c r="C851" s="40" t="s">
        <v>118</v>
      </c>
      <c r="D851" s="40" t="s">
        <v>140</v>
      </c>
      <c r="E851" s="2">
        <v>240</v>
      </c>
      <c r="F851" s="2"/>
      <c r="G851" s="6">
        <f>'пр.4.1.ведом.22-23'!G154</f>
        <v>15</v>
      </c>
      <c r="H851" s="6">
        <f>'пр.4.1.ведом.22-23'!H154</f>
        <v>15</v>
      </c>
    </row>
    <row r="852" spans="1:8" ht="31.5" x14ac:dyDescent="0.25">
      <c r="A852" s="29" t="s">
        <v>148</v>
      </c>
      <c r="B852" s="20" t="s">
        <v>848</v>
      </c>
      <c r="C852" s="40" t="s">
        <v>118</v>
      </c>
      <c r="D852" s="40" t="s">
        <v>140</v>
      </c>
      <c r="E852" s="2">
        <v>240</v>
      </c>
      <c r="F852" s="2">
        <v>902</v>
      </c>
      <c r="G852" s="6">
        <f>G851</f>
        <v>15</v>
      </c>
      <c r="H852" s="6">
        <f>H851</f>
        <v>15</v>
      </c>
    </row>
    <row r="853" spans="1:8" ht="78.75" x14ac:dyDescent="0.25">
      <c r="A853" s="23" t="s">
        <v>1547</v>
      </c>
      <c r="B853" s="24" t="s">
        <v>711</v>
      </c>
      <c r="C853" s="7"/>
      <c r="D853" s="7"/>
      <c r="E853" s="3"/>
      <c r="F853" s="3"/>
      <c r="G853" s="4">
        <f>G854</f>
        <v>500</v>
      </c>
      <c r="H853" s="4">
        <f>H854</f>
        <v>500</v>
      </c>
    </row>
    <row r="854" spans="1:8" ht="31.5" x14ac:dyDescent="0.25">
      <c r="A854" s="23" t="s">
        <v>1069</v>
      </c>
      <c r="B854" s="24" t="s">
        <v>1091</v>
      </c>
      <c r="C854" s="7"/>
      <c r="D854" s="7"/>
      <c r="E854" s="3"/>
      <c r="F854" s="3"/>
      <c r="G854" s="4">
        <f>G855</f>
        <v>500</v>
      </c>
      <c r="H854" s="4">
        <f>H855</f>
        <v>500</v>
      </c>
    </row>
    <row r="855" spans="1:8" ht="15.75" x14ac:dyDescent="0.25">
      <c r="A855" s="25" t="s">
        <v>390</v>
      </c>
      <c r="B855" s="20" t="s">
        <v>835</v>
      </c>
      <c r="C855" s="40" t="s">
        <v>234</v>
      </c>
      <c r="D855" s="40"/>
      <c r="E855" s="2"/>
      <c r="F855" s="2"/>
      <c r="G855" s="6">
        <f t="shared" ref="G855:H858" si="130">G856</f>
        <v>500</v>
      </c>
      <c r="H855" s="6">
        <f t="shared" si="130"/>
        <v>500</v>
      </c>
    </row>
    <row r="856" spans="1:8" ht="15.75" x14ac:dyDescent="0.25">
      <c r="A856" s="25" t="s">
        <v>541</v>
      </c>
      <c r="B856" s="20" t="s">
        <v>835</v>
      </c>
      <c r="C856" s="40" t="s">
        <v>234</v>
      </c>
      <c r="D856" s="40" t="s">
        <v>215</v>
      </c>
      <c r="E856" s="2"/>
      <c r="F856" s="2"/>
      <c r="G856" s="6">
        <f t="shared" si="130"/>
        <v>500</v>
      </c>
      <c r="H856" s="6">
        <f t="shared" si="130"/>
        <v>500</v>
      </c>
    </row>
    <row r="857" spans="1:8" ht="63" x14ac:dyDescent="0.25">
      <c r="A857" s="80" t="s">
        <v>693</v>
      </c>
      <c r="B857" s="20" t="s">
        <v>835</v>
      </c>
      <c r="C857" s="40" t="s">
        <v>234</v>
      </c>
      <c r="D857" s="40" t="s">
        <v>215</v>
      </c>
      <c r="E857" s="2"/>
      <c r="F857" s="2"/>
      <c r="G857" s="6">
        <f t="shared" si="130"/>
        <v>500</v>
      </c>
      <c r="H857" s="6">
        <f t="shared" si="130"/>
        <v>500</v>
      </c>
    </row>
    <row r="858" spans="1:8" ht="31.5" x14ac:dyDescent="0.25">
      <c r="A858" s="25" t="s">
        <v>131</v>
      </c>
      <c r="B858" s="20" t="s">
        <v>835</v>
      </c>
      <c r="C858" s="40" t="s">
        <v>234</v>
      </c>
      <c r="D858" s="40" t="s">
        <v>215</v>
      </c>
      <c r="E858" s="2">
        <v>200</v>
      </c>
      <c r="F858" s="2"/>
      <c r="G858" s="6">
        <f t="shared" si="130"/>
        <v>500</v>
      </c>
      <c r="H858" s="6">
        <f t="shared" si="130"/>
        <v>500</v>
      </c>
    </row>
    <row r="859" spans="1:8" ht="47.25" x14ac:dyDescent="0.25">
      <c r="A859" s="25" t="s">
        <v>133</v>
      </c>
      <c r="B859" s="20" t="s">
        <v>835</v>
      </c>
      <c r="C859" s="40" t="s">
        <v>234</v>
      </c>
      <c r="D859" s="40" t="s">
        <v>215</v>
      </c>
      <c r="E859" s="2">
        <v>240</v>
      </c>
      <c r="F859" s="2"/>
      <c r="G859" s="6">
        <f>'пр.4.1.ведом.22-23'!G1002</f>
        <v>500</v>
      </c>
      <c r="H859" s="6">
        <f>'пр.4.1.ведом.22-23'!H1002</f>
        <v>500</v>
      </c>
    </row>
    <row r="860" spans="1:8" ht="47.25" x14ac:dyDescent="0.25">
      <c r="A860" s="45" t="s">
        <v>623</v>
      </c>
      <c r="B860" s="20" t="s">
        <v>835</v>
      </c>
      <c r="C860" s="40" t="s">
        <v>234</v>
      </c>
      <c r="D860" s="40" t="s">
        <v>215</v>
      </c>
      <c r="E860" s="2">
        <v>240</v>
      </c>
      <c r="F860" s="2">
        <v>908</v>
      </c>
      <c r="G860" s="6">
        <f>G859</f>
        <v>500</v>
      </c>
      <c r="H860" s="6">
        <f>H859</f>
        <v>500</v>
      </c>
    </row>
    <row r="861" spans="1:8" ht="78.75" hidden="1" x14ac:dyDescent="0.25">
      <c r="A861" s="58" t="s">
        <v>1365</v>
      </c>
      <c r="B861" s="24" t="s">
        <v>782</v>
      </c>
      <c r="C861" s="7"/>
      <c r="D861" s="7"/>
      <c r="E861" s="3"/>
      <c r="F861" s="3"/>
      <c r="G861" s="4">
        <f>G863</f>
        <v>0</v>
      </c>
      <c r="H861" s="4">
        <f>H863</f>
        <v>0</v>
      </c>
    </row>
    <row r="862" spans="1:8" ht="31.5" hidden="1" x14ac:dyDescent="0.25">
      <c r="A862" s="23" t="s">
        <v>930</v>
      </c>
      <c r="B862" s="24" t="s">
        <v>1020</v>
      </c>
      <c r="C862" s="7"/>
      <c r="D862" s="7"/>
      <c r="E862" s="3"/>
      <c r="F862" s="3"/>
      <c r="G862" s="4">
        <f t="shared" ref="G862:H866" si="131">G863</f>
        <v>0</v>
      </c>
      <c r="H862" s="4">
        <f t="shared" si="131"/>
        <v>0</v>
      </c>
    </row>
    <row r="863" spans="1:8" ht="15.75" hidden="1" x14ac:dyDescent="0.25">
      <c r="A863" s="45" t="s">
        <v>117</v>
      </c>
      <c r="B863" s="20" t="s">
        <v>1020</v>
      </c>
      <c r="C863" s="40" t="s">
        <v>118</v>
      </c>
      <c r="D863" s="40"/>
      <c r="E863" s="2"/>
      <c r="F863" s="2"/>
      <c r="G863" s="6">
        <f t="shared" si="131"/>
        <v>0</v>
      </c>
      <c r="H863" s="6">
        <f t="shared" si="131"/>
        <v>0</v>
      </c>
    </row>
    <row r="864" spans="1:8" ht="15.75" hidden="1" x14ac:dyDescent="0.25">
      <c r="A864" s="45" t="s">
        <v>139</v>
      </c>
      <c r="B864" s="20" t="s">
        <v>1020</v>
      </c>
      <c r="C864" s="40" t="s">
        <v>118</v>
      </c>
      <c r="D864" s="40" t="s">
        <v>140</v>
      </c>
      <c r="E864" s="2"/>
      <c r="F864" s="2"/>
      <c r="G864" s="6">
        <f t="shared" si="131"/>
        <v>0</v>
      </c>
      <c r="H864" s="6">
        <f t="shared" si="131"/>
        <v>0</v>
      </c>
    </row>
    <row r="865" spans="1:10" ht="31.5" hidden="1" x14ac:dyDescent="0.25">
      <c r="A865" s="45" t="s">
        <v>790</v>
      </c>
      <c r="B865" s="20" t="s">
        <v>1021</v>
      </c>
      <c r="C865" s="40" t="s">
        <v>118</v>
      </c>
      <c r="D865" s="40" t="s">
        <v>140</v>
      </c>
      <c r="E865" s="2"/>
      <c r="F865" s="2"/>
      <c r="G865" s="6">
        <f t="shared" si="131"/>
        <v>0</v>
      </c>
      <c r="H865" s="6">
        <f t="shared" si="131"/>
        <v>0</v>
      </c>
    </row>
    <row r="866" spans="1:10" ht="31.5" hidden="1" x14ac:dyDescent="0.25">
      <c r="A866" s="45" t="s">
        <v>131</v>
      </c>
      <c r="B866" s="20" t="s">
        <v>1021</v>
      </c>
      <c r="C866" s="40" t="s">
        <v>118</v>
      </c>
      <c r="D866" s="40" t="s">
        <v>140</v>
      </c>
      <c r="E866" s="2">
        <v>200</v>
      </c>
      <c r="F866" s="2"/>
      <c r="G866" s="6">
        <f t="shared" si="131"/>
        <v>0</v>
      </c>
      <c r="H866" s="6">
        <f t="shared" si="131"/>
        <v>0</v>
      </c>
    </row>
    <row r="867" spans="1:10" ht="47.25" hidden="1" x14ac:dyDescent="0.25">
      <c r="A867" s="45" t="s">
        <v>133</v>
      </c>
      <c r="B867" s="20" t="s">
        <v>1021</v>
      </c>
      <c r="C867" s="40" t="s">
        <v>118</v>
      </c>
      <c r="D867" s="40" t="s">
        <v>140</v>
      </c>
      <c r="E867" s="2">
        <v>240</v>
      </c>
      <c r="F867" s="2"/>
      <c r="G867" s="6">
        <f>'пр.4.1.ведом.22-23'!G520</f>
        <v>0</v>
      </c>
      <c r="H867" s="6">
        <f>'пр.4.1.ведом.22-23'!H520</f>
        <v>0</v>
      </c>
    </row>
    <row r="868" spans="1:10" ht="47.25" hidden="1" x14ac:dyDescent="0.25">
      <c r="A868" s="45" t="s">
        <v>1396</v>
      </c>
      <c r="B868" s="20" t="s">
        <v>1021</v>
      </c>
      <c r="C868" s="40" t="s">
        <v>118</v>
      </c>
      <c r="D868" s="40" t="s">
        <v>140</v>
      </c>
      <c r="E868" s="2">
        <v>240</v>
      </c>
      <c r="F868" s="2">
        <v>905</v>
      </c>
      <c r="G868" s="6">
        <f>G867</f>
        <v>0</v>
      </c>
      <c r="H868" s="6">
        <f>H867</f>
        <v>0</v>
      </c>
    </row>
    <row r="869" spans="1:10" ht="94.5" x14ac:dyDescent="0.25">
      <c r="A869" s="41" t="s">
        <v>1376</v>
      </c>
      <c r="B869" s="24" t="s">
        <v>817</v>
      </c>
      <c r="C869" s="7"/>
      <c r="D869" s="7"/>
      <c r="E869" s="3"/>
      <c r="F869" s="3"/>
      <c r="G869" s="4">
        <f>G871</f>
        <v>45</v>
      </c>
      <c r="H869" s="4">
        <f>H871</f>
        <v>50</v>
      </c>
    </row>
    <row r="870" spans="1:10" ht="47.25" x14ac:dyDescent="0.25">
      <c r="A870" s="212" t="s">
        <v>854</v>
      </c>
      <c r="B870" s="24" t="s">
        <v>1078</v>
      </c>
      <c r="C870" s="7"/>
      <c r="D870" s="7"/>
      <c r="E870" s="3"/>
      <c r="F870" s="3"/>
      <c r="G870" s="4">
        <f t="shared" ref="G870:H874" si="132">G871</f>
        <v>45</v>
      </c>
      <c r="H870" s="4">
        <f t="shared" si="132"/>
        <v>50</v>
      </c>
    </row>
    <row r="871" spans="1:10" ht="15.75" x14ac:dyDescent="0.25">
      <c r="A871" s="45" t="s">
        <v>117</v>
      </c>
      <c r="B871" s="20" t="s">
        <v>1078</v>
      </c>
      <c r="C871" s="40" t="s">
        <v>118</v>
      </c>
      <c r="D871" s="40"/>
      <c r="E871" s="2"/>
      <c r="F871" s="2"/>
      <c r="G871" s="6">
        <f t="shared" si="132"/>
        <v>45</v>
      </c>
      <c r="H871" s="6">
        <f t="shared" si="132"/>
        <v>50</v>
      </c>
    </row>
    <row r="872" spans="1:10" ht="15.75" x14ac:dyDescent="0.25">
      <c r="A872" s="45" t="s">
        <v>139</v>
      </c>
      <c r="B872" s="20" t="s">
        <v>1078</v>
      </c>
      <c r="C872" s="40" t="s">
        <v>118</v>
      </c>
      <c r="D872" s="40" t="s">
        <v>140</v>
      </c>
      <c r="E872" s="2"/>
      <c r="F872" s="2"/>
      <c r="G872" s="6">
        <f t="shared" si="132"/>
        <v>45</v>
      </c>
      <c r="H872" s="6">
        <f t="shared" si="132"/>
        <v>50</v>
      </c>
    </row>
    <row r="873" spans="1:10" ht="47.25" x14ac:dyDescent="0.25">
      <c r="A873" s="97" t="s">
        <v>171</v>
      </c>
      <c r="B873" s="20" t="s">
        <v>855</v>
      </c>
      <c r="C873" s="40" t="s">
        <v>118</v>
      </c>
      <c r="D873" s="40" t="s">
        <v>140</v>
      </c>
      <c r="E873" s="2"/>
      <c r="F873" s="2"/>
      <c r="G873" s="6">
        <f t="shared" si="132"/>
        <v>45</v>
      </c>
      <c r="H873" s="6">
        <f t="shared" si="132"/>
        <v>50</v>
      </c>
    </row>
    <row r="874" spans="1:10" ht="31.5" x14ac:dyDescent="0.25">
      <c r="A874" s="45" t="s">
        <v>131</v>
      </c>
      <c r="B874" s="20" t="s">
        <v>855</v>
      </c>
      <c r="C874" s="40" t="s">
        <v>118</v>
      </c>
      <c r="D874" s="40" t="s">
        <v>140</v>
      </c>
      <c r="E874" s="2">
        <v>200</v>
      </c>
      <c r="F874" s="2"/>
      <c r="G874" s="6">
        <f t="shared" si="132"/>
        <v>45</v>
      </c>
      <c r="H874" s="6">
        <f t="shared" si="132"/>
        <v>50</v>
      </c>
    </row>
    <row r="875" spans="1:10" ht="47.25" x14ac:dyDescent="0.25">
      <c r="A875" s="45" t="s">
        <v>133</v>
      </c>
      <c r="B875" s="20" t="s">
        <v>855</v>
      </c>
      <c r="C875" s="40" t="s">
        <v>118</v>
      </c>
      <c r="D875" s="40" t="s">
        <v>140</v>
      </c>
      <c r="E875" s="2">
        <v>240</v>
      </c>
      <c r="F875" s="2"/>
      <c r="G875" s="6">
        <f>'пр.4.1.ведом.22-23'!G159</f>
        <v>45</v>
      </c>
      <c r="H875" s="6">
        <f>'пр.4.1.ведом.22-23'!H159</f>
        <v>50</v>
      </c>
    </row>
    <row r="876" spans="1:10" ht="31.5" x14ac:dyDescent="0.25">
      <c r="A876" s="29" t="s">
        <v>148</v>
      </c>
      <c r="B876" s="20" t="s">
        <v>855</v>
      </c>
      <c r="C876" s="40" t="s">
        <v>118</v>
      </c>
      <c r="D876" s="40" t="s">
        <v>140</v>
      </c>
      <c r="E876" s="2">
        <v>240</v>
      </c>
      <c r="F876" s="2">
        <v>902</v>
      </c>
      <c r="G876" s="6">
        <f>G869</f>
        <v>45</v>
      </c>
      <c r="H876" s="6">
        <f>H869</f>
        <v>50</v>
      </c>
      <c r="J876" s="22"/>
    </row>
    <row r="877" spans="1:10" ht="78.75" x14ac:dyDescent="0.25">
      <c r="A877" s="41" t="s">
        <v>1385</v>
      </c>
      <c r="B877" s="24" t="s">
        <v>818</v>
      </c>
      <c r="C877" s="7"/>
      <c r="D877" s="7"/>
      <c r="E877" s="3"/>
      <c r="F877" s="3"/>
      <c r="G877" s="4">
        <f>G879</f>
        <v>80</v>
      </c>
      <c r="H877" s="4">
        <f>H879</f>
        <v>90</v>
      </c>
    </row>
    <row r="878" spans="1:10" ht="31.5" x14ac:dyDescent="0.25">
      <c r="A878" s="58" t="s">
        <v>856</v>
      </c>
      <c r="B878" s="24" t="s">
        <v>864</v>
      </c>
      <c r="C878" s="7"/>
      <c r="D878" s="7"/>
      <c r="E878" s="3"/>
      <c r="F878" s="3"/>
      <c r="G878" s="4">
        <f t="shared" ref="G878:H882" si="133">G879</f>
        <v>80</v>
      </c>
      <c r="H878" s="4">
        <f t="shared" si="133"/>
        <v>90</v>
      </c>
    </row>
    <row r="879" spans="1:10" ht="15.75" x14ac:dyDescent="0.25">
      <c r="A879" s="45" t="s">
        <v>117</v>
      </c>
      <c r="B879" s="20" t="s">
        <v>864</v>
      </c>
      <c r="C879" s="40" t="s">
        <v>118</v>
      </c>
      <c r="D879" s="40"/>
      <c r="E879" s="2"/>
      <c r="F879" s="2"/>
      <c r="G879" s="6">
        <f t="shared" si="133"/>
        <v>80</v>
      </c>
      <c r="H879" s="6">
        <f t="shared" si="133"/>
        <v>90</v>
      </c>
    </row>
    <row r="880" spans="1:10" ht="15.75" x14ac:dyDescent="0.25">
      <c r="A880" s="45" t="s">
        <v>139</v>
      </c>
      <c r="B880" s="20" t="s">
        <v>864</v>
      </c>
      <c r="C880" s="40" t="s">
        <v>118</v>
      </c>
      <c r="D880" s="40" t="s">
        <v>140</v>
      </c>
      <c r="E880" s="2"/>
      <c r="F880" s="2"/>
      <c r="G880" s="6">
        <f t="shared" si="133"/>
        <v>80</v>
      </c>
      <c r="H880" s="6">
        <f t="shared" si="133"/>
        <v>90</v>
      </c>
    </row>
    <row r="881" spans="1:8" ht="31.5" x14ac:dyDescent="0.25">
      <c r="A881" s="45" t="s">
        <v>175</v>
      </c>
      <c r="B881" s="20" t="s">
        <v>857</v>
      </c>
      <c r="C881" s="40" t="s">
        <v>118</v>
      </c>
      <c r="D881" s="40" t="s">
        <v>140</v>
      </c>
      <c r="E881" s="2"/>
      <c r="F881" s="2"/>
      <c r="G881" s="6">
        <f t="shared" si="133"/>
        <v>80</v>
      </c>
      <c r="H881" s="6">
        <f t="shared" si="133"/>
        <v>90</v>
      </c>
    </row>
    <row r="882" spans="1:8" ht="31.5" x14ac:dyDescent="0.25">
      <c r="A882" s="45" t="s">
        <v>131</v>
      </c>
      <c r="B882" s="20" t="s">
        <v>857</v>
      </c>
      <c r="C882" s="40" t="s">
        <v>118</v>
      </c>
      <c r="D882" s="40" t="s">
        <v>140</v>
      </c>
      <c r="E882" s="2">
        <v>200</v>
      </c>
      <c r="F882" s="2"/>
      <c r="G882" s="6">
        <f t="shared" si="133"/>
        <v>80</v>
      </c>
      <c r="H882" s="6">
        <f t="shared" si="133"/>
        <v>90</v>
      </c>
    </row>
    <row r="883" spans="1:8" ht="47.25" x14ac:dyDescent="0.25">
      <c r="A883" s="45" t="s">
        <v>133</v>
      </c>
      <c r="B883" s="20" t="s">
        <v>857</v>
      </c>
      <c r="C883" s="40" t="s">
        <v>118</v>
      </c>
      <c r="D883" s="40" t="s">
        <v>140</v>
      </c>
      <c r="E883" s="2">
        <v>240</v>
      </c>
      <c r="F883" s="2"/>
      <c r="G883" s="6">
        <f>'пр.4.1.ведом.22-23'!G164</f>
        <v>80</v>
      </c>
      <c r="H883" s="6">
        <f>'пр.4.1.ведом.22-23'!H164</f>
        <v>90</v>
      </c>
    </row>
    <row r="884" spans="1:8" ht="31.5" x14ac:dyDescent="0.25">
      <c r="A884" s="29" t="s">
        <v>148</v>
      </c>
      <c r="B884" s="20" t="s">
        <v>857</v>
      </c>
      <c r="C884" s="40" t="s">
        <v>118</v>
      </c>
      <c r="D884" s="40" t="s">
        <v>140</v>
      </c>
      <c r="E884" s="2">
        <v>240</v>
      </c>
      <c r="F884" s="2">
        <v>902</v>
      </c>
      <c r="G884" s="6">
        <f>G877</f>
        <v>80</v>
      </c>
      <c r="H884" s="6">
        <f>H877</f>
        <v>90</v>
      </c>
    </row>
    <row r="885" spans="1:8" s="203" customFormat="1" ht="47.25" x14ac:dyDescent="0.25">
      <c r="A885" s="23" t="s">
        <v>1545</v>
      </c>
      <c r="B885" s="24" t="s">
        <v>1146</v>
      </c>
      <c r="C885" s="40"/>
      <c r="D885" s="40"/>
      <c r="E885" s="2"/>
      <c r="F885" s="2"/>
      <c r="G885" s="4">
        <f t="shared" ref="G885:H891" si="134">G886</f>
        <v>204</v>
      </c>
      <c r="H885" s="4">
        <f t="shared" si="134"/>
        <v>215</v>
      </c>
    </row>
    <row r="886" spans="1:8" s="203" customFormat="1" ht="31.5" x14ac:dyDescent="0.25">
      <c r="A886" s="23" t="s">
        <v>1549</v>
      </c>
      <c r="B886" s="24" t="s">
        <v>1148</v>
      </c>
      <c r="C886" s="40"/>
      <c r="D886" s="40"/>
      <c r="E886" s="2"/>
      <c r="F886" s="2"/>
      <c r="G886" s="4">
        <f t="shared" si="134"/>
        <v>204</v>
      </c>
      <c r="H886" s="4">
        <f t="shared" si="134"/>
        <v>215</v>
      </c>
    </row>
    <row r="887" spans="1:8" s="203" customFormat="1" ht="15.75" x14ac:dyDescent="0.25">
      <c r="A887" s="29" t="s">
        <v>390</v>
      </c>
      <c r="B887" s="20" t="s">
        <v>1148</v>
      </c>
      <c r="C887" s="40" t="s">
        <v>234</v>
      </c>
      <c r="D887" s="40"/>
      <c r="E887" s="2"/>
      <c r="F887" s="2"/>
      <c r="G887" s="6">
        <f t="shared" si="134"/>
        <v>204</v>
      </c>
      <c r="H887" s="6">
        <f t="shared" si="134"/>
        <v>215</v>
      </c>
    </row>
    <row r="888" spans="1:8" s="203" customFormat="1" ht="15.75" x14ac:dyDescent="0.25">
      <c r="A888" s="29" t="s">
        <v>517</v>
      </c>
      <c r="B888" s="20" t="s">
        <v>1148</v>
      </c>
      <c r="C888" s="40" t="s">
        <v>234</v>
      </c>
      <c r="D888" s="40" t="s">
        <v>213</v>
      </c>
      <c r="E888" s="2"/>
      <c r="F888" s="2"/>
      <c r="G888" s="6">
        <f t="shared" si="134"/>
        <v>204</v>
      </c>
      <c r="H888" s="6">
        <f t="shared" si="134"/>
        <v>215</v>
      </c>
    </row>
    <row r="889" spans="1:8" s="203" customFormat="1" ht="31.5" x14ac:dyDescent="0.25">
      <c r="A889" s="29" t="s">
        <v>1150</v>
      </c>
      <c r="B889" s="20" t="s">
        <v>1149</v>
      </c>
      <c r="C889" s="40" t="s">
        <v>234</v>
      </c>
      <c r="D889" s="40" t="s">
        <v>213</v>
      </c>
      <c r="E889" s="2"/>
      <c r="F889" s="2"/>
      <c r="G889" s="6">
        <f t="shared" si="134"/>
        <v>204</v>
      </c>
      <c r="H889" s="6">
        <f t="shared" si="134"/>
        <v>215</v>
      </c>
    </row>
    <row r="890" spans="1:8" s="203" customFormat="1" ht="31.5" x14ac:dyDescent="0.25">
      <c r="A890" s="45" t="s">
        <v>131</v>
      </c>
      <c r="B890" s="20" t="s">
        <v>1149</v>
      </c>
      <c r="C890" s="40" t="s">
        <v>234</v>
      </c>
      <c r="D890" s="40" t="s">
        <v>213</v>
      </c>
      <c r="E890" s="2">
        <v>200</v>
      </c>
      <c r="F890" s="2"/>
      <c r="G890" s="6">
        <f t="shared" si="134"/>
        <v>204</v>
      </c>
      <c r="H890" s="6">
        <f t="shared" si="134"/>
        <v>215</v>
      </c>
    </row>
    <row r="891" spans="1:8" s="203" customFormat="1" ht="47.25" x14ac:dyDescent="0.25">
      <c r="A891" s="45" t="s">
        <v>133</v>
      </c>
      <c r="B891" s="20" t="s">
        <v>1149</v>
      </c>
      <c r="C891" s="40" t="s">
        <v>234</v>
      </c>
      <c r="D891" s="40" t="s">
        <v>213</v>
      </c>
      <c r="E891" s="2">
        <v>240</v>
      </c>
      <c r="F891" s="2"/>
      <c r="G891" s="6">
        <f t="shared" si="134"/>
        <v>204</v>
      </c>
      <c r="H891" s="6">
        <f t="shared" si="134"/>
        <v>215</v>
      </c>
    </row>
    <row r="892" spans="1:8" s="203" customFormat="1" ht="47.25" x14ac:dyDescent="0.25">
      <c r="A892" s="45" t="s">
        <v>623</v>
      </c>
      <c r="B892" s="20" t="s">
        <v>1149</v>
      </c>
      <c r="C892" s="40" t="s">
        <v>234</v>
      </c>
      <c r="D892" s="40" t="s">
        <v>213</v>
      </c>
      <c r="E892" s="2">
        <v>240</v>
      </c>
      <c r="F892" s="2">
        <v>908</v>
      </c>
      <c r="G892" s="6">
        <f>'пр.4.1.ведом.22-23'!G952</f>
        <v>204</v>
      </c>
      <c r="H892" s="6">
        <f>'пр.4.1.ведом.22-23'!H952</f>
        <v>215</v>
      </c>
    </row>
    <row r="893" spans="1:8" ht="15.75" x14ac:dyDescent="0.25">
      <c r="A893" s="72" t="s">
        <v>657</v>
      </c>
      <c r="B893" s="72"/>
      <c r="C893" s="72"/>
      <c r="D893" s="72"/>
      <c r="E893" s="72"/>
      <c r="F893" s="72"/>
      <c r="G893" s="120">
        <f>G877+G869+G861+G853+G795+G761+G696+G644+G597+G464+G406+G398+G356+G344+G140+G30+G9+G711+G885</f>
        <v>472942.6399999999</v>
      </c>
      <c r="H893" s="120">
        <f>H877+H869+H861+H853+H795+H761+H696+H644+H597+H464+H406+H398+H356+H344+H140+H30+H9+H711+H885</f>
        <v>499362.44999999995</v>
      </c>
    </row>
    <row r="894" spans="1:8" hidden="1" x14ac:dyDescent="0.25"/>
    <row r="895" spans="1:8" hidden="1" x14ac:dyDescent="0.25">
      <c r="G895" s="22">
        <f>'пр.4.1.ведом.22-23'!G1151</f>
        <v>473181.49999999994</v>
      </c>
      <c r="H895" s="22">
        <f>'пр.4.1.ведом.22-23'!H1151</f>
        <v>499362.45000000007</v>
      </c>
    </row>
    <row r="896" spans="1:8" hidden="1" x14ac:dyDescent="0.25"/>
    <row r="897" spans="7:8" hidden="1" x14ac:dyDescent="0.25">
      <c r="G897" s="22">
        <f>G895-G893</f>
        <v>238.86000000004424</v>
      </c>
      <c r="H897" s="22">
        <f>H895-H893</f>
        <v>0</v>
      </c>
    </row>
    <row r="898" spans="7:8" hidden="1" x14ac:dyDescent="0.25"/>
    <row r="899" spans="7:8" hidden="1" x14ac:dyDescent="0.25"/>
    <row r="900" spans="7:8" hidden="1" x14ac:dyDescent="0.25"/>
  </sheetData>
  <mergeCells count="4"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16" zoomScaleNormal="100" zoomScaleSheetLayoutView="100" workbookViewId="0">
      <selection activeCell="F3" sqref="F3:G3"/>
    </sheetView>
  </sheetViews>
  <sheetFormatPr defaultRowHeight="15" x14ac:dyDescent="0.25"/>
  <cols>
    <col min="1" max="1" width="44.28515625" customWidth="1"/>
    <col min="2" max="2" width="15.5703125" style="203" customWidth="1"/>
    <col min="3" max="3" width="7.140625" customWidth="1"/>
    <col min="4" max="4" width="6.28515625" customWidth="1"/>
    <col min="5" max="5" width="7.28515625" style="203" customWidth="1"/>
    <col min="6" max="6" width="10.140625" customWidth="1"/>
    <col min="7" max="7" width="12.5703125" style="22" customWidth="1"/>
  </cols>
  <sheetData>
    <row r="1" spans="1:7" ht="18.75" customHeight="1" x14ac:dyDescent="0.25">
      <c r="A1" s="634"/>
      <c r="B1" s="634"/>
      <c r="C1" s="634"/>
      <c r="D1" s="62"/>
      <c r="E1" s="62"/>
      <c r="F1" s="635" t="s">
        <v>616</v>
      </c>
      <c r="G1" s="635"/>
    </row>
    <row r="2" spans="1:7" ht="18.75" customHeight="1" x14ac:dyDescent="0.25">
      <c r="A2" s="634"/>
      <c r="B2" s="634"/>
      <c r="C2" s="634"/>
      <c r="D2" s="62"/>
      <c r="E2" s="62"/>
      <c r="F2" s="635" t="s">
        <v>0</v>
      </c>
      <c r="G2" s="635"/>
    </row>
    <row r="3" spans="1:7" ht="15.75" x14ac:dyDescent="0.25">
      <c r="A3" s="62"/>
      <c r="B3" s="62"/>
      <c r="C3" s="62"/>
      <c r="D3" s="62"/>
      <c r="E3" s="62"/>
      <c r="F3" s="635" t="s">
        <v>1818</v>
      </c>
      <c r="G3" s="635"/>
    </row>
    <row r="4" spans="1:7" s="203" customFormat="1" ht="15.75" x14ac:dyDescent="0.25">
      <c r="A4" s="62"/>
      <c r="B4" s="62"/>
      <c r="C4" s="62"/>
      <c r="D4" s="62"/>
      <c r="E4" s="62"/>
      <c r="F4" s="62"/>
      <c r="G4" s="269"/>
    </row>
    <row r="5" spans="1:7" s="203" customFormat="1" ht="15.75" x14ac:dyDescent="0.25">
      <c r="A5" s="62"/>
      <c r="B5" s="62"/>
      <c r="C5" s="62"/>
      <c r="D5" s="62"/>
      <c r="E5" s="62"/>
      <c r="F5" s="62"/>
      <c r="G5" s="269"/>
    </row>
    <row r="6" spans="1:7" x14ac:dyDescent="0.25">
      <c r="A6" s="618" t="s">
        <v>1537</v>
      </c>
      <c r="B6" s="618"/>
      <c r="C6" s="618"/>
      <c r="D6" s="618"/>
      <c r="E6" s="618"/>
      <c r="F6" s="618"/>
      <c r="G6" s="618"/>
    </row>
    <row r="7" spans="1:7" x14ac:dyDescent="0.25">
      <c r="A7" s="618"/>
      <c r="B7" s="618"/>
      <c r="C7" s="618"/>
      <c r="D7" s="618"/>
      <c r="E7" s="618"/>
      <c r="F7" s="618"/>
      <c r="G7" s="618"/>
    </row>
    <row r="8" spans="1:7" ht="16.5" x14ac:dyDescent="0.25">
      <c r="A8" s="237"/>
      <c r="B8" s="237"/>
      <c r="C8" s="237"/>
      <c r="D8" s="237"/>
      <c r="E8" s="237"/>
      <c r="F8" s="237"/>
      <c r="G8" s="394"/>
    </row>
    <row r="9" spans="1:7" ht="15.75" x14ac:dyDescent="0.25">
      <c r="A9" s="62"/>
      <c r="B9" s="62"/>
      <c r="C9" s="62"/>
      <c r="D9" s="62"/>
      <c r="E9" s="62"/>
      <c r="F9" s="64"/>
      <c r="G9" s="360" t="s">
        <v>1</v>
      </c>
    </row>
    <row r="10" spans="1:7" ht="53.65" customHeight="1" x14ac:dyDescent="0.25">
      <c r="A10" s="66" t="s">
        <v>592</v>
      </c>
      <c r="B10" s="66" t="s">
        <v>1096</v>
      </c>
      <c r="C10" s="66" t="s">
        <v>1094</v>
      </c>
      <c r="D10" s="66" t="s">
        <v>113</v>
      </c>
      <c r="E10" s="66" t="s">
        <v>1095</v>
      </c>
      <c r="F10" s="66" t="s">
        <v>111</v>
      </c>
      <c r="G10" s="395" t="s">
        <v>1027</v>
      </c>
    </row>
    <row r="11" spans="1:7" s="203" customFormat="1" ht="33.4" customHeight="1" x14ac:dyDescent="0.25">
      <c r="A11" s="25" t="s">
        <v>246</v>
      </c>
      <c r="B11" s="20" t="s">
        <v>881</v>
      </c>
      <c r="C11" s="66"/>
      <c r="D11" s="66"/>
      <c r="E11" s="66"/>
      <c r="F11" s="66"/>
      <c r="G11" s="395">
        <f>G12</f>
        <v>11049.23</v>
      </c>
    </row>
    <row r="12" spans="1:7" s="203" customFormat="1" ht="18.399999999999999" customHeight="1" x14ac:dyDescent="0.25">
      <c r="A12" s="25" t="s">
        <v>243</v>
      </c>
      <c r="B12" s="20" t="s">
        <v>881</v>
      </c>
      <c r="C12" s="66">
        <v>10</v>
      </c>
      <c r="D12" s="66"/>
      <c r="E12" s="66"/>
      <c r="F12" s="66"/>
      <c r="G12" s="395">
        <f>G13</f>
        <v>11049.23</v>
      </c>
    </row>
    <row r="13" spans="1:7" s="203" customFormat="1" ht="18.399999999999999" customHeight="1" x14ac:dyDescent="0.25">
      <c r="A13" s="25" t="s">
        <v>245</v>
      </c>
      <c r="B13" s="20" t="s">
        <v>881</v>
      </c>
      <c r="C13" s="66">
        <v>10</v>
      </c>
      <c r="D13" s="40" t="s">
        <v>118</v>
      </c>
      <c r="E13" s="66"/>
      <c r="F13" s="66"/>
      <c r="G13" s="395">
        <f>G14</f>
        <v>11049.23</v>
      </c>
    </row>
    <row r="14" spans="1:7" s="203" customFormat="1" ht="28.15" customHeight="1" x14ac:dyDescent="0.25">
      <c r="A14" s="29" t="s">
        <v>248</v>
      </c>
      <c r="B14" s="20" t="s">
        <v>881</v>
      </c>
      <c r="C14" s="66">
        <v>10</v>
      </c>
      <c r="D14" s="40" t="s">
        <v>118</v>
      </c>
      <c r="E14" s="66">
        <v>300</v>
      </c>
      <c r="F14" s="66"/>
      <c r="G14" s="395">
        <f>G15</f>
        <v>11049.23</v>
      </c>
    </row>
    <row r="15" spans="1:7" s="203" customFormat="1" ht="34.700000000000003" customHeight="1" x14ac:dyDescent="0.25">
      <c r="A15" s="25" t="s">
        <v>348</v>
      </c>
      <c r="B15" s="20" t="s">
        <v>881</v>
      </c>
      <c r="C15" s="66">
        <v>10</v>
      </c>
      <c r="D15" s="40" t="s">
        <v>118</v>
      </c>
      <c r="E15" s="66">
        <v>310</v>
      </c>
      <c r="F15" s="66"/>
      <c r="G15" s="395">
        <f>'Пр.4 ведом.21'!G244</f>
        <v>11049.23</v>
      </c>
    </row>
    <row r="16" spans="1:7" s="203" customFormat="1" ht="37.35" customHeight="1" x14ac:dyDescent="0.25">
      <c r="A16" s="356" t="s">
        <v>148</v>
      </c>
      <c r="B16" s="20" t="s">
        <v>881</v>
      </c>
      <c r="C16" s="66">
        <v>10</v>
      </c>
      <c r="D16" s="40" t="s">
        <v>118</v>
      </c>
      <c r="E16" s="66">
        <v>310</v>
      </c>
      <c r="F16" s="66">
        <v>902</v>
      </c>
      <c r="G16" s="395">
        <f>G11</f>
        <v>11049.23</v>
      </c>
    </row>
    <row r="17" spans="1:7" s="203" customFormat="1" ht="63" hidden="1" x14ac:dyDescent="0.25">
      <c r="A17" s="230" t="s">
        <v>1036</v>
      </c>
      <c r="B17" s="20" t="s">
        <v>1050</v>
      </c>
      <c r="C17" s="40"/>
      <c r="D17" s="40"/>
      <c r="E17" s="40"/>
      <c r="F17" s="5"/>
      <c r="G17" s="6">
        <f>G18</f>
        <v>0</v>
      </c>
    </row>
    <row r="18" spans="1:7" s="203" customFormat="1" ht="15.75" hidden="1" x14ac:dyDescent="0.25">
      <c r="A18" s="45" t="s">
        <v>263</v>
      </c>
      <c r="B18" s="20" t="s">
        <v>1050</v>
      </c>
      <c r="C18" s="40" t="s">
        <v>264</v>
      </c>
      <c r="D18" s="40"/>
      <c r="E18" s="194"/>
      <c r="F18" s="5"/>
      <c r="G18" s="6">
        <f>G19</f>
        <v>0</v>
      </c>
    </row>
    <row r="19" spans="1:7" s="203" customFormat="1" ht="31.5" hidden="1" x14ac:dyDescent="0.25">
      <c r="A19" s="45" t="s">
        <v>466</v>
      </c>
      <c r="B19" s="20" t="s">
        <v>1050</v>
      </c>
      <c r="C19" s="40" t="s">
        <v>264</v>
      </c>
      <c r="D19" s="40" t="s">
        <v>264</v>
      </c>
      <c r="E19" s="194"/>
      <c r="F19" s="5"/>
      <c r="G19" s="6">
        <f>G20</f>
        <v>0</v>
      </c>
    </row>
    <row r="20" spans="1:7" ht="31.5" hidden="1" x14ac:dyDescent="0.25">
      <c r="A20" s="29" t="s">
        <v>248</v>
      </c>
      <c r="B20" s="20" t="s">
        <v>1050</v>
      </c>
      <c r="C20" s="40" t="s">
        <v>264</v>
      </c>
      <c r="D20" s="40" t="s">
        <v>264</v>
      </c>
      <c r="E20" s="40" t="s">
        <v>249</v>
      </c>
      <c r="F20" s="5"/>
      <c r="G20" s="6">
        <f>G21</f>
        <v>0</v>
      </c>
    </row>
    <row r="21" spans="1:7" ht="38.1" hidden="1" customHeight="1" x14ac:dyDescent="0.25">
      <c r="A21" s="29" t="s">
        <v>1201</v>
      </c>
      <c r="B21" s="20" t="s">
        <v>1050</v>
      </c>
      <c r="C21" s="40" t="s">
        <v>264</v>
      </c>
      <c r="D21" s="40" t="s">
        <v>264</v>
      </c>
      <c r="E21" s="40" t="s">
        <v>1200</v>
      </c>
      <c r="F21" s="5"/>
      <c r="G21" s="6">
        <f>G22</f>
        <v>0</v>
      </c>
    </row>
    <row r="22" spans="1:7" s="203" customFormat="1" ht="46.9" hidden="1" customHeight="1" x14ac:dyDescent="0.25">
      <c r="A22" s="45" t="s">
        <v>658</v>
      </c>
      <c r="B22" s="20" t="s">
        <v>1050</v>
      </c>
      <c r="C22" s="40" t="s">
        <v>264</v>
      </c>
      <c r="D22" s="40" t="s">
        <v>264</v>
      </c>
      <c r="E22" s="40" t="s">
        <v>1200</v>
      </c>
      <c r="F22" s="5">
        <v>903</v>
      </c>
      <c r="G22" s="6"/>
    </row>
    <row r="23" spans="1:7" s="203" customFormat="1" ht="18.399999999999999" customHeight="1" x14ac:dyDescent="0.25">
      <c r="A23" s="25" t="s">
        <v>1038</v>
      </c>
      <c r="B23" s="20" t="s">
        <v>908</v>
      </c>
      <c r="C23" s="40"/>
      <c r="D23" s="40"/>
      <c r="E23" s="40"/>
      <c r="F23" s="5"/>
      <c r="G23" s="6">
        <f>G24</f>
        <v>220</v>
      </c>
    </row>
    <row r="24" spans="1:7" s="203" customFormat="1" ht="20.25" customHeight="1" x14ac:dyDescent="0.25">
      <c r="A24" s="25" t="s">
        <v>1088</v>
      </c>
      <c r="B24" s="20" t="s">
        <v>908</v>
      </c>
      <c r="C24" s="40" t="s">
        <v>244</v>
      </c>
      <c r="D24" s="40"/>
      <c r="E24" s="40"/>
      <c r="F24" s="5"/>
      <c r="G24" s="6">
        <f>G25</f>
        <v>220</v>
      </c>
    </row>
    <row r="25" spans="1:7" s="203" customFormat="1" ht="19.7" customHeight="1" x14ac:dyDescent="0.25">
      <c r="A25" s="29" t="s">
        <v>252</v>
      </c>
      <c r="B25" s="20" t="s">
        <v>908</v>
      </c>
      <c r="C25" s="40" t="s">
        <v>244</v>
      </c>
      <c r="D25" s="40" t="s">
        <v>215</v>
      </c>
      <c r="E25" s="40"/>
      <c r="F25" s="5"/>
      <c r="G25" s="6">
        <f>G26</f>
        <v>220</v>
      </c>
    </row>
    <row r="26" spans="1:7" s="203" customFormat="1" ht="33.75" customHeight="1" x14ac:dyDescent="0.25">
      <c r="A26" s="25" t="s">
        <v>248</v>
      </c>
      <c r="B26" s="20" t="s">
        <v>908</v>
      </c>
      <c r="C26" s="40" t="s">
        <v>244</v>
      </c>
      <c r="D26" s="40" t="s">
        <v>215</v>
      </c>
      <c r="E26" s="40" t="s">
        <v>249</v>
      </c>
      <c r="F26" s="5"/>
      <c r="G26" s="6">
        <f>G27</f>
        <v>220</v>
      </c>
    </row>
    <row r="27" spans="1:7" s="203" customFormat="1" ht="31.9" customHeight="1" x14ac:dyDescent="0.25">
      <c r="A27" s="25" t="s">
        <v>348</v>
      </c>
      <c r="B27" s="20" t="s">
        <v>908</v>
      </c>
      <c r="C27" s="40" t="s">
        <v>244</v>
      </c>
      <c r="D27" s="40" t="s">
        <v>215</v>
      </c>
      <c r="E27" s="40" t="s">
        <v>349</v>
      </c>
      <c r="F27" s="5"/>
      <c r="G27" s="6">
        <f>G28</f>
        <v>220</v>
      </c>
    </row>
    <row r="28" spans="1:7" s="203" customFormat="1" ht="55.7" customHeight="1" x14ac:dyDescent="0.25">
      <c r="A28" s="45" t="s">
        <v>658</v>
      </c>
      <c r="B28" s="20" t="s">
        <v>908</v>
      </c>
      <c r="C28" s="40" t="s">
        <v>244</v>
      </c>
      <c r="D28" s="40" t="s">
        <v>215</v>
      </c>
      <c r="E28" s="40" t="s">
        <v>349</v>
      </c>
      <c r="F28" s="5">
        <v>903</v>
      </c>
      <c r="G28" s="6">
        <f>'Пр.4 ведом.21'!G527</f>
        <v>220</v>
      </c>
    </row>
    <row r="29" spans="1:7" s="203" customFormat="1" ht="61.15" customHeight="1" x14ac:dyDescent="0.25">
      <c r="A29" s="98" t="s">
        <v>1041</v>
      </c>
      <c r="B29" s="20" t="s">
        <v>910</v>
      </c>
      <c r="C29" s="40"/>
      <c r="D29" s="40"/>
      <c r="E29" s="40"/>
      <c r="F29" s="5"/>
      <c r="G29" s="6">
        <f>G30</f>
        <v>497.99999999999994</v>
      </c>
    </row>
    <row r="30" spans="1:7" ht="15.75" x14ac:dyDescent="0.25">
      <c r="A30" s="80" t="s">
        <v>243</v>
      </c>
      <c r="B30" s="20" t="s">
        <v>910</v>
      </c>
      <c r="C30" s="9" t="s">
        <v>244</v>
      </c>
      <c r="D30" s="9"/>
      <c r="E30" s="9"/>
      <c r="F30" s="9"/>
      <c r="G30" s="10">
        <f>G31</f>
        <v>497.99999999999994</v>
      </c>
    </row>
    <row r="31" spans="1:7" ht="19.149999999999999" customHeight="1" x14ac:dyDescent="0.25">
      <c r="A31" s="29" t="s">
        <v>252</v>
      </c>
      <c r="B31" s="20" t="s">
        <v>910</v>
      </c>
      <c r="C31" s="40" t="s">
        <v>244</v>
      </c>
      <c r="D31" s="40" t="s">
        <v>215</v>
      </c>
      <c r="E31" s="40"/>
      <c r="F31" s="5"/>
      <c r="G31" s="6">
        <f>G32</f>
        <v>497.99999999999994</v>
      </c>
    </row>
    <row r="32" spans="1:7" ht="31.5" x14ac:dyDescent="0.25">
      <c r="A32" s="29" t="s">
        <v>248</v>
      </c>
      <c r="B32" s="20" t="s">
        <v>910</v>
      </c>
      <c r="C32" s="40" t="s">
        <v>244</v>
      </c>
      <c r="D32" s="40" t="s">
        <v>215</v>
      </c>
      <c r="E32" s="40" t="s">
        <v>249</v>
      </c>
      <c r="F32" s="5"/>
      <c r="G32" s="6">
        <f>G33</f>
        <v>497.99999999999994</v>
      </c>
    </row>
    <row r="33" spans="1:7" ht="31.5" x14ac:dyDescent="0.25">
      <c r="A33" s="29" t="s">
        <v>348</v>
      </c>
      <c r="B33" s="20" t="s">
        <v>910</v>
      </c>
      <c r="C33" s="40" t="s">
        <v>244</v>
      </c>
      <c r="D33" s="40" t="s">
        <v>215</v>
      </c>
      <c r="E33" s="81" t="s">
        <v>349</v>
      </c>
      <c r="F33" s="5"/>
      <c r="G33" s="6">
        <f>G34</f>
        <v>497.99999999999994</v>
      </c>
    </row>
    <row r="34" spans="1:7" s="203" customFormat="1" ht="46.9" customHeight="1" x14ac:dyDescent="0.25">
      <c r="A34" s="45" t="s">
        <v>658</v>
      </c>
      <c r="B34" s="20" t="s">
        <v>910</v>
      </c>
      <c r="C34" s="40" t="s">
        <v>244</v>
      </c>
      <c r="D34" s="40" t="s">
        <v>215</v>
      </c>
      <c r="E34" s="81" t="s">
        <v>349</v>
      </c>
      <c r="F34" s="5">
        <v>903</v>
      </c>
      <c r="G34" s="6">
        <f>'Пр.4 ведом.21'!G517</f>
        <v>497.99999999999994</v>
      </c>
    </row>
    <row r="35" spans="1:7" ht="31.5" x14ac:dyDescent="0.25">
      <c r="A35" s="25" t="s">
        <v>998</v>
      </c>
      <c r="B35" s="20" t="s">
        <v>911</v>
      </c>
      <c r="C35" s="40"/>
      <c r="D35" s="40"/>
      <c r="E35" s="40"/>
      <c r="F35" s="5"/>
      <c r="G35" s="6">
        <f>G36</f>
        <v>205</v>
      </c>
    </row>
    <row r="36" spans="1:7" s="203" customFormat="1" ht="15.75" x14ac:dyDescent="0.25">
      <c r="A36" s="80" t="s">
        <v>243</v>
      </c>
      <c r="B36" s="20" t="s">
        <v>911</v>
      </c>
      <c r="C36" s="40" t="s">
        <v>244</v>
      </c>
      <c r="D36" s="40"/>
      <c r="E36" s="40"/>
      <c r="F36" s="5"/>
      <c r="G36" s="6">
        <f>G37</f>
        <v>205</v>
      </c>
    </row>
    <row r="37" spans="1:7" ht="17.649999999999999" customHeight="1" x14ac:dyDescent="0.25">
      <c r="A37" s="29" t="s">
        <v>252</v>
      </c>
      <c r="B37" s="20" t="s">
        <v>911</v>
      </c>
      <c r="C37" s="40" t="s">
        <v>244</v>
      </c>
      <c r="D37" s="40" t="s">
        <v>215</v>
      </c>
      <c r="E37" s="40"/>
      <c r="F37" s="5"/>
      <c r="G37" s="6">
        <f>G38</f>
        <v>205</v>
      </c>
    </row>
    <row r="38" spans="1:7" ht="31.5" x14ac:dyDescent="0.25">
      <c r="A38" s="29" t="s">
        <v>248</v>
      </c>
      <c r="B38" s="20" t="s">
        <v>911</v>
      </c>
      <c r="C38" s="40" t="s">
        <v>244</v>
      </c>
      <c r="D38" s="40" t="s">
        <v>215</v>
      </c>
      <c r="E38" s="40" t="s">
        <v>249</v>
      </c>
      <c r="F38" s="5"/>
      <c r="G38" s="6">
        <f>G39</f>
        <v>205</v>
      </c>
    </row>
    <row r="39" spans="1:7" ht="31.5" x14ac:dyDescent="0.25">
      <c r="A39" s="29" t="s">
        <v>348</v>
      </c>
      <c r="B39" s="20" t="s">
        <v>911</v>
      </c>
      <c r="C39" s="40" t="s">
        <v>244</v>
      </c>
      <c r="D39" s="40" t="s">
        <v>215</v>
      </c>
      <c r="E39" s="40" t="s">
        <v>349</v>
      </c>
      <c r="F39" s="5"/>
      <c r="G39" s="6">
        <f>G40</f>
        <v>205</v>
      </c>
    </row>
    <row r="40" spans="1:7" s="203" customFormat="1" ht="57.2" customHeight="1" x14ac:dyDescent="0.25">
      <c r="A40" s="45" t="s">
        <v>658</v>
      </c>
      <c r="B40" s="20" t="s">
        <v>911</v>
      </c>
      <c r="C40" s="40" t="s">
        <v>244</v>
      </c>
      <c r="D40" s="40" t="s">
        <v>215</v>
      </c>
      <c r="E40" s="40" t="s">
        <v>349</v>
      </c>
      <c r="F40" s="5">
        <v>903</v>
      </c>
      <c r="G40" s="6">
        <f>'Пр.4 ведом.21'!G523</f>
        <v>205</v>
      </c>
    </row>
    <row r="41" spans="1:7" s="203" customFormat="1" ht="63" hidden="1" x14ac:dyDescent="0.25">
      <c r="A41" s="25" t="s">
        <v>1042</v>
      </c>
      <c r="B41" s="20" t="s">
        <v>912</v>
      </c>
      <c r="C41" s="40"/>
      <c r="D41" s="40"/>
      <c r="E41" s="40"/>
      <c r="F41" s="5"/>
      <c r="G41" s="6">
        <f>G42</f>
        <v>0</v>
      </c>
    </row>
    <row r="42" spans="1:7" s="203" customFormat="1" ht="15.75" hidden="1" x14ac:dyDescent="0.25">
      <c r="A42" s="80" t="s">
        <v>243</v>
      </c>
      <c r="B42" s="20" t="s">
        <v>912</v>
      </c>
      <c r="C42" s="40" t="s">
        <v>244</v>
      </c>
      <c r="D42" s="40"/>
      <c r="E42" s="40"/>
      <c r="F42" s="5"/>
      <c r="G42" s="6">
        <f>G43</f>
        <v>0</v>
      </c>
    </row>
    <row r="43" spans="1:7" ht="15.75" hidden="1" x14ac:dyDescent="0.25">
      <c r="A43" s="29" t="s">
        <v>252</v>
      </c>
      <c r="B43" s="20" t="s">
        <v>912</v>
      </c>
      <c r="C43" s="40" t="s">
        <v>244</v>
      </c>
      <c r="D43" s="40" t="s">
        <v>215</v>
      </c>
      <c r="E43" s="40"/>
      <c r="F43" s="5">
        <v>903</v>
      </c>
      <c r="G43" s="6">
        <f>G44</f>
        <v>0</v>
      </c>
    </row>
    <row r="44" spans="1:7" ht="31.5" hidden="1" x14ac:dyDescent="0.25">
      <c r="A44" s="29" t="s">
        <v>248</v>
      </c>
      <c r="B44" s="20" t="s">
        <v>912</v>
      </c>
      <c r="C44" s="40" t="s">
        <v>244</v>
      </c>
      <c r="D44" s="40" t="s">
        <v>215</v>
      </c>
      <c r="E44" s="40" t="s">
        <v>249</v>
      </c>
      <c r="F44" s="5">
        <v>903</v>
      </c>
      <c r="G44" s="6">
        <f>G45</f>
        <v>0</v>
      </c>
    </row>
    <row r="45" spans="1:7" ht="31.5" hidden="1" x14ac:dyDescent="0.25">
      <c r="A45" s="29" t="s">
        <v>348</v>
      </c>
      <c r="B45" s="20" t="s">
        <v>912</v>
      </c>
      <c r="C45" s="40" t="s">
        <v>244</v>
      </c>
      <c r="D45" s="40" t="s">
        <v>215</v>
      </c>
      <c r="E45" s="40" t="s">
        <v>349</v>
      </c>
      <c r="F45" s="5">
        <v>903</v>
      </c>
      <c r="G45" s="6"/>
    </row>
    <row r="46" spans="1:7" s="203" customFormat="1" ht="47.25" hidden="1" x14ac:dyDescent="0.25">
      <c r="A46" s="45" t="s">
        <v>658</v>
      </c>
      <c r="B46" s="20" t="s">
        <v>912</v>
      </c>
      <c r="C46" s="40" t="s">
        <v>244</v>
      </c>
      <c r="D46" s="40" t="s">
        <v>215</v>
      </c>
      <c r="E46" s="40" t="s">
        <v>349</v>
      </c>
      <c r="F46" s="5">
        <v>903</v>
      </c>
      <c r="G46" s="6"/>
    </row>
    <row r="47" spans="1:7" ht="15.75" x14ac:dyDescent="0.25">
      <c r="A47" s="41" t="s">
        <v>657</v>
      </c>
      <c r="B47" s="238"/>
      <c r="C47" s="238"/>
      <c r="D47" s="238"/>
      <c r="E47" s="238"/>
      <c r="F47" s="41"/>
      <c r="G47" s="59">
        <f>G17+G23+G29+G35+G41+G11</f>
        <v>11972.23</v>
      </c>
    </row>
  </sheetData>
  <mergeCells count="5">
    <mergeCell ref="A6:G7"/>
    <mergeCell ref="A1:C2"/>
    <mergeCell ref="F2:G2"/>
    <mergeCell ref="F1:G1"/>
    <mergeCell ref="F3:G3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Normal="100" zoomScaleSheetLayoutView="100" workbookViewId="0">
      <selection activeCell="A5" sqref="A5:H5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634"/>
      <c r="B1" s="634"/>
      <c r="C1" s="634"/>
      <c r="D1" s="62"/>
      <c r="E1" s="62"/>
      <c r="F1" s="204"/>
      <c r="G1" s="637" t="s">
        <v>1808</v>
      </c>
      <c r="H1" s="637"/>
      <c r="I1" s="204"/>
    </row>
    <row r="2" spans="1:9" ht="15.75" x14ac:dyDescent="0.25">
      <c r="A2" s="634"/>
      <c r="B2" s="634"/>
      <c r="C2" s="634"/>
      <c r="D2" s="62"/>
      <c r="E2" s="62"/>
      <c r="F2" s="204"/>
      <c r="G2" s="637" t="s">
        <v>0</v>
      </c>
      <c r="H2" s="637"/>
      <c r="I2" s="204"/>
    </row>
    <row r="3" spans="1:9" ht="15.75" x14ac:dyDescent="0.25">
      <c r="A3" s="62"/>
      <c r="B3" s="62"/>
      <c r="C3" s="62"/>
      <c r="D3" s="62"/>
      <c r="E3" s="62"/>
      <c r="F3" s="62"/>
      <c r="G3" s="636" t="s">
        <v>1818</v>
      </c>
      <c r="H3" s="636"/>
      <c r="I3" s="204"/>
    </row>
    <row r="4" spans="1:9" s="203" customFormat="1" ht="15.75" x14ac:dyDescent="0.25">
      <c r="A4" s="62"/>
      <c r="B4" s="62"/>
      <c r="C4" s="62"/>
      <c r="D4" s="62"/>
      <c r="E4" s="62"/>
      <c r="F4" s="62"/>
      <c r="G4" s="62"/>
      <c r="H4" s="129"/>
      <c r="I4" s="204"/>
    </row>
    <row r="5" spans="1:9" ht="39.200000000000003" customHeight="1" x14ac:dyDescent="0.25">
      <c r="A5" s="618" t="s">
        <v>1461</v>
      </c>
      <c r="B5" s="618"/>
      <c r="C5" s="618"/>
      <c r="D5" s="618"/>
      <c r="E5" s="618"/>
      <c r="F5" s="618"/>
      <c r="G5" s="618"/>
      <c r="H5" s="618"/>
      <c r="I5" s="204"/>
    </row>
    <row r="6" spans="1:9" ht="16.5" x14ac:dyDescent="0.25">
      <c r="A6" s="237"/>
      <c r="B6" s="237"/>
      <c r="C6" s="237"/>
      <c r="D6" s="237"/>
      <c r="E6" s="237"/>
      <c r="F6" s="237"/>
      <c r="G6" s="237"/>
      <c r="H6" s="204"/>
      <c r="I6" s="204"/>
    </row>
    <row r="7" spans="1:9" ht="15.75" x14ac:dyDescent="0.25">
      <c r="A7" s="62"/>
      <c r="B7" s="62"/>
      <c r="C7" s="62"/>
      <c r="D7" s="62"/>
      <c r="E7" s="62"/>
      <c r="F7" s="64"/>
      <c r="G7" s="204"/>
      <c r="H7" s="65" t="s">
        <v>1</v>
      </c>
      <c r="I7" s="204"/>
    </row>
    <row r="8" spans="1:9" ht="47.25" x14ac:dyDescent="0.25">
      <c r="A8" s="66" t="s">
        <v>592</v>
      </c>
      <c r="B8" s="66" t="s">
        <v>1096</v>
      </c>
      <c r="C8" s="66" t="s">
        <v>1094</v>
      </c>
      <c r="D8" s="66" t="s">
        <v>113</v>
      </c>
      <c r="E8" s="66" t="s">
        <v>1095</v>
      </c>
      <c r="F8" s="66" t="s">
        <v>111</v>
      </c>
      <c r="G8" s="66" t="s">
        <v>1029</v>
      </c>
      <c r="H8" s="66" t="s">
        <v>1295</v>
      </c>
      <c r="I8" s="204"/>
    </row>
    <row r="9" spans="1:9" ht="68.25" hidden="1" customHeight="1" x14ac:dyDescent="0.25">
      <c r="A9" s="230" t="s">
        <v>1036</v>
      </c>
      <c r="B9" s="20" t="s">
        <v>1050</v>
      </c>
      <c r="C9" s="40"/>
      <c r="D9" s="40"/>
      <c r="E9" s="40"/>
      <c r="F9" s="5"/>
      <c r="G9" s="6">
        <f t="shared" ref="G9:H13" si="0">G10</f>
        <v>0</v>
      </c>
      <c r="H9" s="6">
        <f t="shared" si="0"/>
        <v>0</v>
      </c>
      <c r="I9" s="204"/>
    </row>
    <row r="10" spans="1:9" ht="15.75" hidden="1" x14ac:dyDescent="0.25">
      <c r="A10" s="45" t="s">
        <v>263</v>
      </c>
      <c r="B10" s="20" t="s">
        <v>1050</v>
      </c>
      <c r="C10" s="40" t="s">
        <v>264</v>
      </c>
      <c r="D10" s="40"/>
      <c r="E10" s="194"/>
      <c r="F10" s="5"/>
      <c r="G10" s="6">
        <f t="shared" si="0"/>
        <v>0</v>
      </c>
      <c r="H10" s="6">
        <f t="shared" si="0"/>
        <v>0</v>
      </c>
      <c r="I10" s="204"/>
    </row>
    <row r="11" spans="1:9" ht="31.5" hidden="1" x14ac:dyDescent="0.25">
      <c r="A11" s="45" t="s">
        <v>466</v>
      </c>
      <c r="B11" s="20" t="s">
        <v>1050</v>
      </c>
      <c r="C11" s="40" t="s">
        <v>264</v>
      </c>
      <c r="D11" s="40" t="s">
        <v>264</v>
      </c>
      <c r="E11" s="194"/>
      <c r="F11" s="5"/>
      <c r="G11" s="6">
        <f t="shared" si="0"/>
        <v>0</v>
      </c>
      <c r="H11" s="6">
        <f t="shared" si="0"/>
        <v>0</v>
      </c>
      <c r="I11" s="204"/>
    </row>
    <row r="12" spans="1:9" ht="31.5" hidden="1" x14ac:dyDescent="0.25">
      <c r="A12" s="29" t="s">
        <v>248</v>
      </c>
      <c r="B12" s="20" t="s">
        <v>1050</v>
      </c>
      <c r="C12" s="40" t="s">
        <v>264</v>
      </c>
      <c r="D12" s="40" t="s">
        <v>264</v>
      </c>
      <c r="E12" s="40" t="s">
        <v>249</v>
      </c>
      <c r="F12" s="5"/>
      <c r="G12" s="6">
        <f t="shared" si="0"/>
        <v>0</v>
      </c>
      <c r="H12" s="6">
        <f t="shared" si="0"/>
        <v>0</v>
      </c>
      <c r="I12" s="204"/>
    </row>
    <row r="13" spans="1:9" ht="31.5" hidden="1" x14ac:dyDescent="0.25">
      <c r="A13" s="29" t="s">
        <v>348</v>
      </c>
      <c r="B13" s="20" t="s">
        <v>1050</v>
      </c>
      <c r="C13" s="40" t="s">
        <v>264</v>
      </c>
      <c r="D13" s="40" t="s">
        <v>264</v>
      </c>
      <c r="E13" s="40" t="s">
        <v>349</v>
      </c>
      <c r="F13" s="5"/>
      <c r="G13" s="6">
        <f t="shared" si="0"/>
        <v>0</v>
      </c>
      <c r="H13" s="6">
        <f t="shared" si="0"/>
        <v>0</v>
      </c>
      <c r="I13" s="204"/>
    </row>
    <row r="14" spans="1:9" ht="47.25" hidden="1" x14ac:dyDescent="0.25">
      <c r="A14" s="45" t="s">
        <v>658</v>
      </c>
      <c r="B14" s="20" t="s">
        <v>1050</v>
      </c>
      <c r="C14" s="40" t="s">
        <v>264</v>
      </c>
      <c r="D14" s="40" t="s">
        <v>264</v>
      </c>
      <c r="E14" s="40" t="s">
        <v>349</v>
      </c>
      <c r="F14" s="5">
        <v>903</v>
      </c>
      <c r="G14" s="6"/>
      <c r="H14" s="6"/>
      <c r="I14" s="204"/>
    </row>
    <row r="15" spans="1:9" s="203" customFormat="1" ht="31.5" x14ac:dyDescent="0.25">
      <c r="A15" s="25" t="s">
        <v>246</v>
      </c>
      <c r="B15" s="20" t="s">
        <v>881</v>
      </c>
      <c r="C15" s="66"/>
      <c r="D15" s="66"/>
      <c r="E15" s="66"/>
      <c r="F15" s="66"/>
      <c r="G15" s="357">
        <f t="shared" ref="G15:H18" si="1">G16</f>
        <v>9815.2999999999993</v>
      </c>
      <c r="H15" s="357">
        <f t="shared" si="1"/>
        <v>9815.2999999999993</v>
      </c>
      <c r="I15" s="204"/>
    </row>
    <row r="16" spans="1:9" s="203" customFormat="1" ht="15.75" x14ac:dyDescent="0.25">
      <c r="A16" s="25" t="s">
        <v>243</v>
      </c>
      <c r="B16" s="20" t="s">
        <v>881</v>
      </c>
      <c r="C16" s="66">
        <v>10</v>
      </c>
      <c r="D16" s="66"/>
      <c r="E16" s="66"/>
      <c r="F16" s="66"/>
      <c r="G16" s="357">
        <f t="shared" si="1"/>
        <v>9815.2999999999993</v>
      </c>
      <c r="H16" s="357">
        <f t="shared" si="1"/>
        <v>9815.2999999999993</v>
      </c>
      <c r="I16" s="204"/>
    </row>
    <row r="17" spans="1:9" s="203" customFormat="1" ht="15.75" x14ac:dyDescent="0.25">
      <c r="A17" s="25" t="s">
        <v>245</v>
      </c>
      <c r="B17" s="20" t="s">
        <v>881</v>
      </c>
      <c r="C17" s="66">
        <v>10</v>
      </c>
      <c r="D17" s="40" t="s">
        <v>118</v>
      </c>
      <c r="E17" s="66"/>
      <c r="F17" s="66"/>
      <c r="G17" s="357">
        <f t="shared" si="1"/>
        <v>9815.2999999999993</v>
      </c>
      <c r="H17" s="357">
        <f t="shared" si="1"/>
        <v>9815.2999999999993</v>
      </c>
      <c r="I17" s="204"/>
    </row>
    <row r="18" spans="1:9" s="203" customFormat="1" ht="31.5" x14ac:dyDescent="0.25">
      <c r="A18" s="29" t="s">
        <v>248</v>
      </c>
      <c r="B18" s="20" t="s">
        <v>881</v>
      </c>
      <c r="C18" s="66">
        <v>10</v>
      </c>
      <c r="D18" s="40" t="s">
        <v>118</v>
      </c>
      <c r="E18" s="66">
        <v>300</v>
      </c>
      <c r="F18" s="66"/>
      <c r="G18" s="357">
        <f t="shared" si="1"/>
        <v>9815.2999999999993</v>
      </c>
      <c r="H18" s="357">
        <f t="shared" si="1"/>
        <v>9815.2999999999993</v>
      </c>
      <c r="I18" s="204"/>
    </row>
    <row r="19" spans="1:9" s="203" customFormat="1" ht="31.5" x14ac:dyDescent="0.25">
      <c r="A19" s="25" t="s">
        <v>348</v>
      </c>
      <c r="B19" s="20" t="s">
        <v>881</v>
      </c>
      <c r="C19" s="66">
        <v>10</v>
      </c>
      <c r="D19" s="40" t="s">
        <v>118</v>
      </c>
      <c r="E19" s="66">
        <v>310</v>
      </c>
      <c r="F19" s="66"/>
      <c r="G19" s="357">
        <f>'пр.4.1.ведом.22-23'!G224</f>
        <v>9815.2999999999993</v>
      </c>
      <c r="H19" s="357">
        <f>'пр.4.1.ведом.22-23'!H224</f>
        <v>9815.2999999999993</v>
      </c>
      <c r="I19" s="204"/>
    </row>
    <row r="20" spans="1:9" s="203" customFormat="1" ht="31.5" x14ac:dyDescent="0.25">
      <c r="A20" s="356" t="s">
        <v>148</v>
      </c>
      <c r="B20" s="20" t="s">
        <v>881</v>
      </c>
      <c r="C20" s="66">
        <v>10</v>
      </c>
      <c r="D20" s="40" t="s">
        <v>118</v>
      </c>
      <c r="E20" s="66">
        <v>310</v>
      </c>
      <c r="F20" s="66">
        <v>902</v>
      </c>
      <c r="G20" s="357">
        <f>G15</f>
        <v>9815.2999999999993</v>
      </c>
      <c r="H20" s="6">
        <f>'пр.4.1.ведом.22-23'!H224</f>
        <v>9815.2999999999993</v>
      </c>
      <c r="I20" s="204"/>
    </row>
    <row r="21" spans="1:9" ht="31.5" x14ac:dyDescent="0.25">
      <c r="A21" s="25" t="s">
        <v>1038</v>
      </c>
      <c r="B21" s="20" t="s">
        <v>908</v>
      </c>
      <c r="C21" s="40"/>
      <c r="D21" s="40"/>
      <c r="E21" s="40"/>
      <c r="F21" s="5"/>
      <c r="G21" s="6">
        <f t="shared" ref="G21:H25" si="2">G22</f>
        <v>420</v>
      </c>
      <c r="H21" s="6">
        <f t="shared" si="2"/>
        <v>450</v>
      </c>
      <c r="I21" s="204"/>
    </row>
    <row r="22" spans="1:9" ht="15.75" x14ac:dyDescent="0.25">
      <c r="A22" s="25" t="s">
        <v>1088</v>
      </c>
      <c r="B22" s="20" t="s">
        <v>908</v>
      </c>
      <c r="C22" s="40" t="s">
        <v>244</v>
      </c>
      <c r="D22" s="40"/>
      <c r="E22" s="40"/>
      <c r="F22" s="5"/>
      <c r="G22" s="6">
        <f t="shared" si="2"/>
        <v>420</v>
      </c>
      <c r="H22" s="6">
        <f t="shared" si="2"/>
        <v>450</v>
      </c>
      <c r="I22" s="204"/>
    </row>
    <row r="23" spans="1:9" ht="15.75" x14ac:dyDescent="0.25">
      <c r="A23" s="29" t="s">
        <v>252</v>
      </c>
      <c r="B23" s="20" t="s">
        <v>908</v>
      </c>
      <c r="C23" s="40" t="s">
        <v>244</v>
      </c>
      <c r="D23" s="40" t="s">
        <v>215</v>
      </c>
      <c r="E23" s="40"/>
      <c r="F23" s="5"/>
      <c r="G23" s="6">
        <f t="shared" si="2"/>
        <v>420</v>
      </c>
      <c r="H23" s="6">
        <f t="shared" si="2"/>
        <v>450</v>
      </c>
      <c r="I23" s="204"/>
    </row>
    <row r="24" spans="1:9" ht="31.5" x14ac:dyDescent="0.25">
      <c r="A24" s="25" t="s">
        <v>248</v>
      </c>
      <c r="B24" s="20" t="s">
        <v>908</v>
      </c>
      <c r="C24" s="40" t="s">
        <v>244</v>
      </c>
      <c r="D24" s="40" t="s">
        <v>215</v>
      </c>
      <c r="E24" s="40" t="s">
        <v>249</v>
      </c>
      <c r="F24" s="5"/>
      <c r="G24" s="6">
        <f t="shared" si="2"/>
        <v>420</v>
      </c>
      <c r="H24" s="6">
        <f t="shared" si="2"/>
        <v>450</v>
      </c>
      <c r="I24" s="204"/>
    </row>
    <row r="25" spans="1:9" ht="31.5" x14ac:dyDescent="0.25">
      <c r="A25" s="25" t="s">
        <v>348</v>
      </c>
      <c r="B25" s="20" t="s">
        <v>908</v>
      </c>
      <c r="C25" s="40" t="s">
        <v>244</v>
      </c>
      <c r="D25" s="40" t="s">
        <v>215</v>
      </c>
      <c r="E25" s="40" t="s">
        <v>349</v>
      </c>
      <c r="F25" s="5"/>
      <c r="G25" s="6">
        <f t="shared" si="2"/>
        <v>420</v>
      </c>
      <c r="H25" s="6">
        <f t="shared" si="2"/>
        <v>450</v>
      </c>
      <c r="I25" s="204"/>
    </row>
    <row r="26" spans="1:9" ht="47.25" x14ac:dyDescent="0.25">
      <c r="A26" s="45" t="s">
        <v>658</v>
      </c>
      <c r="B26" s="20" t="s">
        <v>908</v>
      </c>
      <c r="C26" s="40" t="s">
        <v>244</v>
      </c>
      <c r="D26" s="40" t="s">
        <v>215</v>
      </c>
      <c r="E26" s="40" t="s">
        <v>349</v>
      </c>
      <c r="F26" s="5">
        <v>903</v>
      </c>
      <c r="G26" s="6">
        <f>'пр.4.1.ведом.22-23'!G467</f>
        <v>420</v>
      </c>
      <c r="H26" s="6">
        <f>'пр.4.1.ведом.22-23'!H467</f>
        <v>450</v>
      </c>
      <c r="I26" s="204"/>
    </row>
    <row r="27" spans="1:9" ht="63" x14ac:dyDescent="0.25">
      <c r="A27" s="98" t="s">
        <v>1041</v>
      </c>
      <c r="B27" s="20" t="s">
        <v>910</v>
      </c>
      <c r="C27" s="40"/>
      <c r="D27" s="40"/>
      <c r="E27" s="40"/>
      <c r="F27" s="5"/>
      <c r="G27" s="6">
        <f t="shared" ref="G27:H31" si="3">G28</f>
        <v>630</v>
      </c>
      <c r="H27" s="6">
        <f t="shared" si="3"/>
        <v>630</v>
      </c>
      <c r="I27" s="204"/>
    </row>
    <row r="28" spans="1:9" ht="15.75" x14ac:dyDescent="0.25">
      <c r="A28" s="80" t="s">
        <v>243</v>
      </c>
      <c r="B28" s="20" t="s">
        <v>910</v>
      </c>
      <c r="C28" s="9" t="s">
        <v>244</v>
      </c>
      <c r="D28" s="9"/>
      <c r="E28" s="9"/>
      <c r="F28" s="9"/>
      <c r="G28" s="10">
        <f t="shared" si="3"/>
        <v>630</v>
      </c>
      <c r="H28" s="10">
        <f t="shared" si="3"/>
        <v>630</v>
      </c>
      <c r="I28" s="204"/>
    </row>
    <row r="29" spans="1:9" ht="15.75" x14ac:dyDescent="0.25">
      <c r="A29" s="29" t="s">
        <v>252</v>
      </c>
      <c r="B29" s="20" t="s">
        <v>910</v>
      </c>
      <c r="C29" s="40" t="s">
        <v>244</v>
      </c>
      <c r="D29" s="40" t="s">
        <v>215</v>
      </c>
      <c r="E29" s="40"/>
      <c r="F29" s="5"/>
      <c r="G29" s="6">
        <f t="shared" si="3"/>
        <v>630</v>
      </c>
      <c r="H29" s="6">
        <f t="shared" si="3"/>
        <v>630</v>
      </c>
      <c r="I29" s="204"/>
    </row>
    <row r="30" spans="1:9" ht="31.5" x14ac:dyDescent="0.25">
      <c r="A30" s="29" t="s">
        <v>248</v>
      </c>
      <c r="B30" s="20" t="s">
        <v>910</v>
      </c>
      <c r="C30" s="40" t="s">
        <v>244</v>
      </c>
      <c r="D30" s="40" t="s">
        <v>215</v>
      </c>
      <c r="E30" s="40" t="s">
        <v>249</v>
      </c>
      <c r="F30" s="5"/>
      <c r="G30" s="6">
        <f t="shared" si="3"/>
        <v>630</v>
      </c>
      <c r="H30" s="6">
        <f t="shared" si="3"/>
        <v>630</v>
      </c>
      <c r="I30" s="204"/>
    </row>
    <row r="31" spans="1:9" ht="31.5" x14ac:dyDescent="0.25">
      <c r="A31" s="29" t="s">
        <v>348</v>
      </c>
      <c r="B31" s="20" t="s">
        <v>910</v>
      </c>
      <c r="C31" s="40" t="s">
        <v>244</v>
      </c>
      <c r="D31" s="40" t="s">
        <v>215</v>
      </c>
      <c r="E31" s="81" t="s">
        <v>349</v>
      </c>
      <c r="F31" s="5"/>
      <c r="G31" s="6">
        <f t="shared" si="3"/>
        <v>630</v>
      </c>
      <c r="H31" s="6">
        <f t="shared" si="3"/>
        <v>630</v>
      </c>
      <c r="I31" s="204"/>
    </row>
    <row r="32" spans="1:9" ht="47.25" x14ac:dyDescent="0.25">
      <c r="A32" s="45" t="s">
        <v>658</v>
      </c>
      <c r="B32" s="20" t="s">
        <v>910</v>
      </c>
      <c r="C32" s="40" t="s">
        <v>244</v>
      </c>
      <c r="D32" s="40" t="s">
        <v>215</v>
      </c>
      <c r="E32" s="81" t="s">
        <v>349</v>
      </c>
      <c r="F32" s="5">
        <v>903</v>
      </c>
      <c r="G32" s="6">
        <f>'пр.4.1.ведом.22-23'!G457</f>
        <v>630</v>
      </c>
      <c r="H32" s="6">
        <f>'пр.4.1.ведом.22-23'!H457</f>
        <v>630</v>
      </c>
      <c r="I32" s="204"/>
    </row>
    <row r="33" spans="1:9" ht="31.5" x14ac:dyDescent="0.25">
      <c r="A33" s="25" t="s">
        <v>998</v>
      </c>
      <c r="B33" s="20" t="s">
        <v>911</v>
      </c>
      <c r="C33" s="40"/>
      <c r="D33" s="40"/>
      <c r="E33" s="40"/>
      <c r="F33" s="5"/>
      <c r="G33" s="6">
        <f t="shared" ref="G33:H37" si="4">G34</f>
        <v>257</v>
      </c>
      <c r="H33" s="6">
        <f t="shared" si="4"/>
        <v>257</v>
      </c>
      <c r="I33" s="204"/>
    </row>
    <row r="34" spans="1:9" ht="15.75" x14ac:dyDescent="0.25">
      <c r="A34" s="80" t="s">
        <v>243</v>
      </c>
      <c r="B34" s="20" t="s">
        <v>911</v>
      </c>
      <c r="C34" s="40" t="s">
        <v>244</v>
      </c>
      <c r="D34" s="40"/>
      <c r="E34" s="40"/>
      <c r="F34" s="5"/>
      <c r="G34" s="6">
        <f t="shared" si="4"/>
        <v>257</v>
      </c>
      <c r="H34" s="6">
        <f t="shared" si="4"/>
        <v>257</v>
      </c>
      <c r="I34" s="204"/>
    </row>
    <row r="35" spans="1:9" ht="15.75" x14ac:dyDescent="0.25">
      <c r="A35" s="29" t="s">
        <v>252</v>
      </c>
      <c r="B35" s="20" t="s">
        <v>911</v>
      </c>
      <c r="C35" s="40" t="s">
        <v>244</v>
      </c>
      <c r="D35" s="40" t="s">
        <v>215</v>
      </c>
      <c r="E35" s="40"/>
      <c r="F35" s="5"/>
      <c r="G35" s="6">
        <f t="shared" si="4"/>
        <v>257</v>
      </c>
      <c r="H35" s="6">
        <f t="shared" si="4"/>
        <v>257</v>
      </c>
      <c r="I35" s="204"/>
    </row>
    <row r="36" spans="1:9" ht="31.5" x14ac:dyDescent="0.25">
      <c r="A36" s="29" t="s">
        <v>248</v>
      </c>
      <c r="B36" s="20" t="s">
        <v>911</v>
      </c>
      <c r="C36" s="40" t="s">
        <v>244</v>
      </c>
      <c r="D36" s="40" t="s">
        <v>215</v>
      </c>
      <c r="E36" s="40" t="s">
        <v>249</v>
      </c>
      <c r="F36" s="5"/>
      <c r="G36" s="6">
        <f t="shared" si="4"/>
        <v>257</v>
      </c>
      <c r="H36" s="6">
        <f t="shared" si="4"/>
        <v>257</v>
      </c>
      <c r="I36" s="204"/>
    </row>
    <row r="37" spans="1:9" ht="31.5" x14ac:dyDescent="0.25">
      <c r="A37" s="29" t="s">
        <v>348</v>
      </c>
      <c r="B37" s="20" t="s">
        <v>911</v>
      </c>
      <c r="C37" s="40" t="s">
        <v>244</v>
      </c>
      <c r="D37" s="40" t="s">
        <v>215</v>
      </c>
      <c r="E37" s="40" t="s">
        <v>349</v>
      </c>
      <c r="F37" s="5"/>
      <c r="G37" s="6">
        <f t="shared" si="4"/>
        <v>257</v>
      </c>
      <c r="H37" s="6">
        <f t="shared" si="4"/>
        <v>257</v>
      </c>
      <c r="I37" s="204"/>
    </row>
    <row r="38" spans="1:9" ht="47.25" x14ac:dyDescent="0.25">
      <c r="A38" s="45" t="s">
        <v>658</v>
      </c>
      <c r="B38" s="20" t="s">
        <v>911</v>
      </c>
      <c r="C38" s="40" t="s">
        <v>244</v>
      </c>
      <c r="D38" s="40" t="s">
        <v>215</v>
      </c>
      <c r="E38" s="40" t="s">
        <v>349</v>
      </c>
      <c r="F38" s="5">
        <v>903</v>
      </c>
      <c r="G38" s="6">
        <f>'пр.4.1.ведом.22-23'!G463</f>
        <v>257</v>
      </c>
      <c r="H38" s="6">
        <f>'пр.4.1.ведом.22-23'!H463</f>
        <v>257</v>
      </c>
      <c r="I38" s="204"/>
    </row>
    <row r="39" spans="1:9" ht="63" hidden="1" x14ac:dyDescent="0.25">
      <c r="A39" s="25" t="s">
        <v>1042</v>
      </c>
      <c r="B39" s="20" t="s">
        <v>912</v>
      </c>
      <c r="C39" s="40"/>
      <c r="D39" s="40"/>
      <c r="E39" s="40"/>
      <c r="F39" s="5"/>
      <c r="G39" s="6">
        <f t="shared" ref="G39:H42" si="5">G40</f>
        <v>0</v>
      </c>
      <c r="H39" s="6">
        <f t="shared" si="5"/>
        <v>0</v>
      </c>
      <c r="I39" s="204"/>
    </row>
    <row r="40" spans="1:9" ht="15.75" hidden="1" x14ac:dyDescent="0.25">
      <c r="A40" s="80" t="s">
        <v>243</v>
      </c>
      <c r="B40" s="20" t="s">
        <v>912</v>
      </c>
      <c r="C40" s="40" t="s">
        <v>244</v>
      </c>
      <c r="D40" s="40"/>
      <c r="E40" s="40"/>
      <c r="F40" s="5"/>
      <c r="G40" s="6">
        <f t="shared" si="5"/>
        <v>0</v>
      </c>
      <c r="H40" s="6">
        <f t="shared" si="5"/>
        <v>0</v>
      </c>
      <c r="I40" s="204"/>
    </row>
    <row r="41" spans="1:9" ht="15.75" hidden="1" x14ac:dyDescent="0.25">
      <c r="A41" s="29" t="s">
        <v>252</v>
      </c>
      <c r="B41" s="20" t="s">
        <v>912</v>
      </c>
      <c r="C41" s="40" t="s">
        <v>244</v>
      </c>
      <c r="D41" s="40" t="s">
        <v>215</v>
      </c>
      <c r="E41" s="40"/>
      <c r="F41" s="5">
        <v>903</v>
      </c>
      <c r="G41" s="6">
        <f t="shared" si="5"/>
        <v>0</v>
      </c>
      <c r="H41" s="6">
        <f t="shared" si="5"/>
        <v>0</v>
      </c>
      <c r="I41" s="204"/>
    </row>
    <row r="42" spans="1:9" ht="31.5" hidden="1" x14ac:dyDescent="0.25">
      <c r="A42" s="29" t="s">
        <v>248</v>
      </c>
      <c r="B42" s="20" t="s">
        <v>912</v>
      </c>
      <c r="C42" s="40" t="s">
        <v>244</v>
      </c>
      <c r="D42" s="40" t="s">
        <v>215</v>
      </c>
      <c r="E42" s="40" t="s">
        <v>249</v>
      </c>
      <c r="F42" s="5">
        <v>903</v>
      </c>
      <c r="G42" s="6">
        <f t="shared" si="5"/>
        <v>0</v>
      </c>
      <c r="H42" s="6">
        <f t="shared" si="5"/>
        <v>0</v>
      </c>
      <c r="I42" s="204"/>
    </row>
    <row r="43" spans="1:9" ht="31.5" hidden="1" x14ac:dyDescent="0.25">
      <c r="A43" s="29" t="s">
        <v>348</v>
      </c>
      <c r="B43" s="20" t="s">
        <v>912</v>
      </c>
      <c r="C43" s="40" t="s">
        <v>244</v>
      </c>
      <c r="D43" s="40" t="s">
        <v>215</v>
      </c>
      <c r="E43" s="40" t="s">
        <v>349</v>
      </c>
      <c r="F43" s="5">
        <v>903</v>
      </c>
      <c r="G43" s="6"/>
      <c r="H43" s="6"/>
      <c r="I43" s="204"/>
    </row>
    <row r="44" spans="1:9" ht="47.25" hidden="1" x14ac:dyDescent="0.25">
      <c r="A44" s="45" t="s">
        <v>658</v>
      </c>
      <c r="B44" s="20" t="s">
        <v>912</v>
      </c>
      <c r="C44" s="40" t="s">
        <v>244</v>
      </c>
      <c r="D44" s="40" t="s">
        <v>215</v>
      </c>
      <c r="E44" s="40" t="s">
        <v>349</v>
      </c>
      <c r="F44" s="5">
        <v>903</v>
      </c>
      <c r="G44" s="6"/>
      <c r="H44" s="6"/>
      <c r="I44" s="204"/>
    </row>
    <row r="45" spans="1:9" ht="15.75" x14ac:dyDescent="0.25">
      <c r="A45" s="41" t="s">
        <v>657</v>
      </c>
      <c r="B45" s="238"/>
      <c r="C45" s="238"/>
      <c r="D45" s="238"/>
      <c r="E45" s="238"/>
      <c r="F45" s="41"/>
      <c r="G45" s="59">
        <f>G9+G21+G27+G33+G39+G15</f>
        <v>11122.3</v>
      </c>
      <c r="H45" s="59">
        <f>H9+H21+H27+H33+H39+H15</f>
        <v>11152.3</v>
      </c>
      <c r="I45" s="204"/>
    </row>
  </sheetData>
  <mergeCells count="5">
    <mergeCell ref="A1:C2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7"/>
  <sheetViews>
    <sheetView view="pageBreakPreview" topLeftCell="A887" zoomScaleNormal="100" zoomScaleSheetLayoutView="100" workbookViewId="0">
      <selection activeCell="C103" sqref="C103:D103"/>
    </sheetView>
  </sheetViews>
  <sheetFormatPr defaultColWidth="9.140625" defaultRowHeight="15" x14ac:dyDescent="0.25"/>
  <cols>
    <col min="1" max="1" width="45.140625" style="457" customWidth="1"/>
    <col min="2" max="2" width="15.28515625" style="457" customWidth="1"/>
    <col min="3" max="3" width="5.7109375" style="457" customWidth="1"/>
    <col min="4" max="4" width="6.7109375" style="457" customWidth="1"/>
    <col min="5" max="5" width="9.140625" style="457"/>
    <col min="6" max="6" width="8.140625" style="457" customWidth="1"/>
    <col min="7" max="7" width="13.42578125" style="22" customWidth="1"/>
    <col min="8" max="8" width="15.5703125" style="22" customWidth="1"/>
    <col min="9" max="16384" width="9.140625" style="457"/>
  </cols>
  <sheetData>
    <row r="1" spans="1:8" ht="15.75" x14ac:dyDescent="0.25">
      <c r="A1" s="204"/>
      <c r="B1" s="204"/>
      <c r="C1" s="204"/>
      <c r="D1" s="204"/>
      <c r="E1" s="204"/>
      <c r="F1" s="204"/>
      <c r="G1" s="633" t="s">
        <v>1536</v>
      </c>
      <c r="H1" s="633"/>
    </row>
    <row r="2" spans="1:8" ht="15.75" x14ac:dyDescent="0.25">
      <c r="A2" s="204"/>
      <c r="B2" s="204"/>
      <c r="C2" s="204"/>
      <c r="D2" s="204"/>
      <c r="E2" s="204"/>
      <c r="F2" s="204"/>
      <c r="G2" s="633" t="s">
        <v>1535</v>
      </c>
      <c r="H2" s="633"/>
    </row>
    <row r="3" spans="1:8" ht="15.75" x14ac:dyDescent="0.25">
      <c r="A3" s="204"/>
      <c r="B3" s="204"/>
      <c r="C3" s="204"/>
      <c r="D3" s="204"/>
      <c r="E3" s="204"/>
      <c r="F3" s="62"/>
      <c r="G3" s="613" t="s">
        <v>1529</v>
      </c>
      <c r="H3" s="613"/>
    </row>
    <row r="4" spans="1:8" ht="15.75" x14ac:dyDescent="0.25">
      <c r="A4" s="204"/>
      <c r="B4" s="204"/>
      <c r="C4" s="204"/>
      <c r="D4" s="204"/>
      <c r="E4" s="204"/>
      <c r="F4" s="62"/>
      <c r="G4" s="115"/>
      <c r="H4" s="530"/>
    </row>
    <row r="5" spans="1:8" ht="44.45" customHeight="1" x14ac:dyDescent="0.25">
      <c r="A5" s="632" t="s">
        <v>1335</v>
      </c>
      <c r="B5" s="632"/>
      <c r="C5" s="632"/>
      <c r="D5" s="632"/>
      <c r="E5" s="632"/>
      <c r="F5" s="632"/>
      <c r="G5" s="632"/>
      <c r="H5" s="632"/>
    </row>
    <row r="6" spans="1:8" ht="16.5" x14ac:dyDescent="0.25">
      <c r="A6" s="538"/>
      <c r="B6" s="538"/>
      <c r="C6" s="538"/>
      <c r="D6" s="538"/>
      <c r="E6" s="538"/>
      <c r="F6" s="538"/>
      <c r="G6" s="115"/>
      <c r="H6" s="115"/>
    </row>
    <row r="7" spans="1:8" ht="15.75" x14ac:dyDescent="0.25">
      <c r="A7" s="62"/>
      <c r="B7" s="62"/>
      <c r="C7" s="62"/>
      <c r="D7" s="62"/>
      <c r="E7" s="64"/>
      <c r="F7" s="64"/>
      <c r="G7" s="115"/>
      <c r="H7" s="270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393" t="s">
        <v>1029</v>
      </c>
      <c r="H8" s="383" t="s">
        <v>1295</v>
      </c>
    </row>
    <row r="9" spans="1:8" ht="47.25" x14ac:dyDescent="0.25">
      <c r="A9" s="58" t="s">
        <v>1381</v>
      </c>
      <c r="B9" s="7" t="s">
        <v>510</v>
      </c>
      <c r="C9" s="7"/>
      <c r="D9" s="7"/>
      <c r="E9" s="7"/>
      <c r="F9" s="7"/>
      <c r="G9" s="458">
        <f>G10+G17</f>
        <v>2319</v>
      </c>
      <c r="H9" s="458">
        <f>H10+H17</f>
        <v>2319</v>
      </c>
    </row>
    <row r="10" spans="1:8" ht="36" hidden="1" customHeight="1" x14ac:dyDescent="0.25">
      <c r="A10" s="34" t="s">
        <v>999</v>
      </c>
      <c r="B10" s="7" t="s">
        <v>958</v>
      </c>
      <c r="C10" s="469"/>
      <c r="D10" s="469"/>
      <c r="E10" s="469"/>
      <c r="F10" s="469"/>
      <c r="G10" s="459">
        <f>G13</f>
        <v>0</v>
      </c>
      <c r="H10" s="459">
        <f>H13</f>
        <v>0</v>
      </c>
    </row>
    <row r="11" spans="1:8" ht="15.75" hidden="1" x14ac:dyDescent="0.25">
      <c r="A11" s="29" t="s">
        <v>232</v>
      </c>
      <c r="B11" s="469" t="s">
        <v>958</v>
      </c>
      <c r="C11" s="469" t="s">
        <v>150</v>
      </c>
      <c r="D11" s="469"/>
      <c r="E11" s="469"/>
      <c r="F11" s="469"/>
      <c r="G11" s="459">
        <f t="shared" ref="G11:H14" si="0">G12</f>
        <v>0</v>
      </c>
      <c r="H11" s="459">
        <f t="shared" si="0"/>
        <v>0</v>
      </c>
    </row>
    <row r="12" spans="1:8" ht="15.75" hidden="1" x14ac:dyDescent="0.25">
      <c r="A12" s="29" t="s">
        <v>508</v>
      </c>
      <c r="B12" s="469" t="s">
        <v>958</v>
      </c>
      <c r="C12" s="469" t="s">
        <v>150</v>
      </c>
      <c r="D12" s="469" t="s">
        <v>219</v>
      </c>
      <c r="E12" s="469"/>
      <c r="F12" s="469"/>
      <c r="G12" s="459">
        <f t="shared" si="0"/>
        <v>0</v>
      </c>
      <c r="H12" s="459">
        <f t="shared" si="0"/>
        <v>0</v>
      </c>
    </row>
    <row r="13" spans="1:8" ht="31.5" hidden="1" x14ac:dyDescent="0.25">
      <c r="A13" s="29" t="s">
        <v>1001</v>
      </c>
      <c r="B13" s="469" t="s">
        <v>1000</v>
      </c>
      <c r="C13" s="469" t="s">
        <v>150</v>
      </c>
      <c r="D13" s="469" t="s">
        <v>219</v>
      </c>
      <c r="E13" s="469"/>
      <c r="F13" s="469"/>
      <c r="G13" s="459">
        <f t="shared" si="0"/>
        <v>0</v>
      </c>
      <c r="H13" s="459">
        <f t="shared" si="0"/>
        <v>0</v>
      </c>
    </row>
    <row r="14" spans="1:8" ht="31.5" hidden="1" x14ac:dyDescent="0.25">
      <c r="A14" s="466" t="s">
        <v>131</v>
      </c>
      <c r="B14" s="469" t="s">
        <v>1000</v>
      </c>
      <c r="C14" s="469" t="s">
        <v>150</v>
      </c>
      <c r="D14" s="469" t="s">
        <v>219</v>
      </c>
      <c r="E14" s="469" t="s">
        <v>132</v>
      </c>
      <c r="F14" s="469"/>
      <c r="G14" s="459">
        <f t="shared" si="0"/>
        <v>0</v>
      </c>
      <c r="H14" s="459">
        <f t="shared" si="0"/>
        <v>0</v>
      </c>
    </row>
    <row r="15" spans="1:8" ht="47.25" hidden="1" x14ac:dyDescent="0.25">
      <c r="A15" s="466" t="s">
        <v>133</v>
      </c>
      <c r="B15" s="469" t="s">
        <v>1000</v>
      </c>
      <c r="C15" s="469" t="s">
        <v>150</v>
      </c>
      <c r="D15" s="469" t="s">
        <v>219</v>
      </c>
      <c r="E15" s="469" t="s">
        <v>134</v>
      </c>
      <c r="F15" s="469"/>
      <c r="G15" s="459">
        <f>'пр.6.1.ведом.22-23 (2)'!G865</f>
        <v>0</v>
      </c>
      <c r="H15" s="459">
        <f>'пр.6.1.ведом.22-23 (2)'!H865</f>
        <v>0</v>
      </c>
    </row>
    <row r="16" spans="1:8" ht="47.25" hidden="1" x14ac:dyDescent="0.25">
      <c r="A16" s="45" t="s">
        <v>623</v>
      </c>
      <c r="B16" s="469" t="s">
        <v>1000</v>
      </c>
      <c r="C16" s="469" t="s">
        <v>150</v>
      </c>
      <c r="D16" s="469" t="s">
        <v>219</v>
      </c>
      <c r="E16" s="469" t="s">
        <v>134</v>
      </c>
      <c r="F16" s="469" t="s">
        <v>624</v>
      </c>
      <c r="G16" s="459">
        <f>G15</f>
        <v>0</v>
      </c>
      <c r="H16" s="459">
        <f>H15</f>
        <v>0</v>
      </c>
    </row>
    <row r="17" spans="1:8" ht="47.25" x14ac:dyDescent="0.25">
      <c r="A17" s="34" t="s">
        <v>1063</v>
      </c>
      <c r="B17" s="465" t="s">
        <v>959</v>
      </c>
      <c r="C17" s="469"/>
      <c r="D17" s="469"/>
      <c r="E17" s="469"/>
      <c r="F17" s="469"/>
      <c r="G17" s="458">
        <f t="shared" ref="G17:H19" si="1">G18</f>
        <v>2319</v>
      </c>
      <c r="H17" s="458">
        <f t="shared" si="1"/>
        <v>2319</v>
      </c>
    </row>
    <row r="18" spans="1:8" ht="15.75" x14ac:dyDescent="0.25">
      <c r="A18" s="29" t="s">
        <v>232</v>
      </c>
      <c r="B18" s="469" t="s">
        <v>959</v>
      </c>
      <c r="C18" s="469" t="s">
        <v>150</v>
      </c>
      <c r="D18" s="469"/>
      <c r="E18" s="469"/>
      <c r="F18" s="469"/>
      <c r="G18" s="459">
        <f t="shared" si="1"/>
        <v>2319</v>
      </c>
      <c r="H18" s="459">
        <f t="shared" si="1"/>
        <v>2319</v>
      </c>
    </row>
    <row r="19" spans="1:8" ht="15.75" x14ac:dyDescent="0.25">
      <c r="A19" s="29" t="s">
        <v>508</v>
      </c>
      <c r="B19" s="469" t="s">
        <v>959</v>
      </c>
      <c r="C19" s="469" t="s">
        <v>150</v>
      </c>
      <c r="D19" s="469" t="s">
        <v>219</v>
      </c>
      <c r="E19" s="469"/>
      <c r="F19" s="469"/>
      <c r="G19" s="459">
        <f t="shared" si="1"/>
        <v>2319</v>
      </c>
      <c r="H19" s="459">
        <f t="shared" si="1"/>
        <v>2319</v>
      </c>
    </row>
    <row r="20" spans="1:8" ht="15.75" x14ac:dyDescent="0.25">
      <c r="A20" s="29" t="s">
        <v>511</v>
      </c>
      <c r="B20" s="469" t="s">
        <v>1002</v>
      </c>
      <c r="C20" s="469" t="s">
        <v>150</v>
      </c>
      <c r="D20" s="469" t="s">
        <v>219</v>
      </c>
      <c r="E20" s="469"/>
      <c r="F20" s="469"/>
      <c r="G20" s="459">
        <f>G24+G27+G21</f>
        <v>2319</v>
      </c>
      <c r="H20" s="459">
        <f>H24+H27+H21</f>
        <v>2319</v>
      </c>
    </row>
    <row r="21" spans="1:8" ht="94.5" x14ac:dyDescent="0.25">
      <c r="A21" s="466" t="s">
        <v>127</v>
      </c>
      <c r="B21" s="469" t="s">
        <v>1002</v>
      </c>
      <c r="C21" s="469" t="s">
        <v>150</v>
      </c>
      <c r="D21" s="469" t="s">
        <v>219</v>
      </c>
      <c r="E21" s="469" t="s">
        <v>128</v>
      </c>
      <c r="F21" s="469"/>
      <c r="G21" s="459">
        <f>G22</f>
        <v>1807</v>
      </c>
      <c r="H21" s="459">
        <f>H22</f>
        <v>1807</v>
      </c>
    </row>
    <row r="22" spans="1:8" ht="31.5" x14ac:dyDescent="0.25">
      <c r="A22" s="466" t="s">
        <v>342</v>
      </c>
      <c r="B22" s="469" t="s">
        <v>1002</v>
      </c>
      <c r="C22" s="469" t="s">
        <v>150</v>
      </c>
      <c r="D22" s="469" t="s">
        <v>219</v>
      </c>
      <c r="E22" s="469" t="s">
        <v>209</v>
      </c>
      <c r="F22" s="469"/>
      <c r="G22" s="459">
        <f>'пр.6.1.ведом.22-23 (2)'!G869</f>
        <v>1807</v>
      </c>
      <c r="H22" s="459">
        <f>'пр.6.1.ведом.22-23 (2)'!H869</f>
        <v>1807</v>
      </c>
    </row>
    <row r="23" spans="1:8" ht="47.25" x14ac:dyDescent="0.25">
      <c r="A23" s="45" t="s">
        <v>623</v>
      </c>
      <c r="B23" s="469" t="s">
        <v>1002</v>
      </c>
      <c r="C23" s="469" t="s">
        <v>150</v>
      </c>
      <c r="D23" s="469" t="s">
        <v>219</v>
      </c>
      <c r="E23" s="469" t="s">
        <v>209</v>
      </c>
      <c r="F23" s="469" t="s">
        <v>624</v>
      </c>
      <c r="G23" s="459">
        <f>G22</f>
        <v>1807</v>
      </c>
      <c r="H23" s="459">
        <f>H22</f>
        <v>1807</v>
      </c>
    </row>
    <row r="24" spans="1:8" ht="31.5" x14ac:dyDescent="0.25">
      <c r="A24" s="29" t="s">
        <v>131</v>
      </c>
      <c r="B24" s="469" t="s">
        <v>1002</v>
      </c>
      <c r="C24" s="469" t="s">
        <v>150</v>
      </c>
      <c r="D24" s="469" t="s">
        <v>219</v>
      </c>
      <c r="E24" s="469" t="s">
        <v>132</v>
      </c>
      <c r="F24" s="469"/>
      <c r="G24" s="459">
        <f t="shared" ref="G24:H24" si="2">G25</f>
        <v>512</v>
      </c>
      <c r="H24" s="459">
        <f t="shared" si="2"/>
        <v>512</v>
      </c>
    </row>
    <row r="25" spans="1:8" ht="47.25" x14ac:dyDescent="0.25">
      <c r="A25" s="29" t="s">
        <v>133</v>
      </c>
      <c r="B25" s="469" t="s">
        <v>1002</v>
      </c>
      <c r="C25" s="469" t="s">
        <v>150</v>
      </c>
      <c r="D25" s="469" t="s">
        <v>219</v>
      </c>
      <c r="E25" s="469" t="s">
        <v>134</v>
      </c>
      <c r="F25" s="469"/>
      <c r="G25" s="459">
        <f>'пр.6.1.ведом.22-23 (2)'!G871</f>
        <v>512</v>
      </c>
      <c r="H25" s="459">
        <f>'пр.6.1.ведом.22-23 (2)'!H871</f>
        <v>512</v>
      </c>
    </row>
    <row r="26" spans="1:8" ht="47.25" x14ac:dyDescent="0.25">
      <c r="A26" s="45" t="s">
        <v>623</v>
      </c>
      <c r="B26" s="469" t="s">
        <v>1002</v>
      </c>
      <c r="C26" s="469" t="s">
        <v>150</v>
      </c>
      <c r="D26" s="469" t="s">
        <v>219</v>
      </c>
      <c r="E26" s="469" t="s">
        <v>134</v>
      </c>
      <c r="F26" s="469" t="s">
        <v>624</v>
      </c>
      <c r="G26" s="459">
        <f>G25</f>
        <v>512</v>
      </c>
      <c r="H26" s="459">
        <f>H25</f>
        <v>512</v>
      </c>
    </row>
    <row r="27" spans="1:8" ht="15.75" hidden="1" x14ac:dyDescent="0.25">
      <c r="A27" s="466" t="s">
        <v>135</v>
      </c>
      <c r="B27" s="469" t="s">
        <v>1002</v>
      </c>
      <c r="C27" s="469" t="s">
        <v>150</v>
      </c>
      <c r="D27" s="469" t="s">
        <v>219</v>
      </c>
      <c r="E27" s="469" t="s">
        <v>145</v>
      </c>
      <c r="F27" s="469"/>
      <c r="G27" s="459">
        <f t="shared" ref="G27:H27" si="3">G28</f>
        <v>0</v>
      </c>
      <c r="H27" s="459">
        <f t="shared" si="3"/>
        <v>0</v>
      </c>
    </row>
    <row r="28" spans="1:8" ht="15.75" hidden="1" x14ac:dyDescent="0.25">
      <c r="A28" s="466" t="s">
        <v>137</v>
      </c>
      <c r="B28" s="469" t="s">
        <v>1002</v>
      </c>
      <c r="C28" s="469" t="s">
        <v>150</v>
      </c>
      <c r="D28" s="469" t="s">
        <v>219</v>
      </c>
      <c r="E28" s="469" t="s">
        <v>138</v>
      </c>
      <c r="F28" s="469"/>
      <c r="G28" s="459">
        <f>'пр.6.1.ведом.22-23 (2)'!G873</f>
        <v>0</v>
      </c>
      <c r="H28" s="459">
        <f>'пр.6.1.ведом.22-23 (2)'!H873</f>
        <v>0</v>
      </c>
    </row>
    <row r="29" spans="1:8" ht="47.25" hidden="1" x14ac:dyDescent="0.25">
      <c r="A29" s="45" t="s">
        <v>623</v>
      </c>
      <c r="B29" s="469" t="s">
        <v>1002</v>
      </c>
      <c r="C29" s="469" t="s">
        <v>150</v>
      </c>
      <c r="D29" s="469" t="s">
        <v>219</v>
      </c>
      <c r="E29" s="469" t="s">
        <v>138</v>
      </c>
      <c r="F29" s="469" t="s">
        <v>624</v>
      </c>
      <c r="G29" s="459">
        <f>G28</f>
        <v>0</v>
      </c>
      <c r="H29" s="459">
        <f>H28</f>
        <v>0</v>
      </c>
    </row>
    <row r="30" spans="1:8" ht="63" x14ac:dyDescent="0.25">
      <c r="A30" s="58" t="s">
        <v>1393</v>
      </c>
      <c r="B30" s="7" t="s">
        <v>344</v>
      </c>
      <c r="C30" s="7"/>
      <c r="D30" s="7"/>
      <c r="E30" s="7"/>
      <c r="F30" s="7"/>
      <c r="G30" s="59">
        <f>G31+G60+G68+G97+G109</f>
        <v>3481.61</v>
      </c>
      <c r="H30" s="59">
        <f>H31+H60+H68+H97+H109</f>
        <v>3896.11</v>
      </c>
    </row>
    <row r="31" spans="1:8" ht="31.5" x14ac:dyDescent="0.25">
      <c r="A31" s="58" t="s">
        <v>625</v>
      </c>
      <c r="B31" s="7" t="s">
        <v>346</v>
      </c>
      <c r="C31" s="7"/>
      <c r="D31" s="7"/>
      <c r="E31" s="7"/>
      <c r="F31" s="7"/>
      <c r="G31" s="59">
        <f>G33+G43+G53</f>
        <v>760</v>
      </c>
      <c r="H31" s="59">
        <f>H33+H43+H53</f>
        <v>825</v>
      </c>
    </row>
    <row r="32" spans="1:8" ht="63" x14ac:dyDescent="0.25">
      <c r="A32" s="210" t="s">
        <v>1031</v>
      </c>
      <c r="B32" s="465" t="s">
        <v>892</v>
      </c>
      <c r="C32" s="7"/>
      <c r="D32" s="7"/>
      <c r="E32" s="469"/>
      <c r="F32" s="469"/>
      <c r="G32" s="59">
        <f>G33</f>
        <v>280</v>
      </c>
      <c r="H32" s="59">
        <f>H33</f>
        <v>280</v>
      </c>
    </row>
    <row r="33" spans="1:8" ht="15.75" x14ac:dyDescent="0.25">
      <c r="A33" s="45" t="s">
        <v>263</v>
      </c>
      <c r="B33" s="469" t="s">
        <v>892</v>
      </c>
      <c r="C33" s="469" t="s">
        <v>264</v>
      </c>
      <c r="D33" s="469"/>
      <c r="E33" s="469"/>
      <c r="F33" s="469"/>
      <c r="G33" s="10">
        <f t="shared" ref="G33:H33" si="4">G34</f>
        <v>280</v>
      </c>
      <c r="H33" s="10">
        <f t="shared" si="4"/>
        <v>280</v>
      </c>
    </row>
    <row r="34" spans="1:8" ht="17.45" customHeight="1" x14ac:dyDescent="0.25">
      <c r="A34" s="45" t="s">
        <v>466</v>
      </c>
      <c r="B34" s="469" t="s">
        <v>892</v>
      </c>
      <c r="C34" s="469" t="s">
        <v>264</v>
      </c>
      <c r="D34" s="469" t="s">
        <v>264</v>
      </c>
      <c r="E34" s="469"/>
      <c r="F34" s="469"/>
      <c r="G34" s="10">
        <f>G35+G39</f>
        <v>280</v>
      </c>
      <c r="H34" s="10">
        <f>H35+H39</f>
        <v>280</v>
      </c>
    </row>
    <row r="35" spans="1:8" ht="31.5" x14ac:dyDescent="0.25">
      <c r="A35" s="98" t="s">
        <v>1037</v>
      </c>
      <c r="B35" s="462" t="s">
        <v>893</v>
      </c>
      <c r="C35" s="469" t="s">
        <v>264</v>
      </c>
      <c r="D35" s="469" t="s">
        <v>264</v>
      </c>
      <c r="E35" s="469"/>
      <c r="F35" s="469"/>
      <c r="G35" s="10">
        <f>G36</f>
        <v>280</v>
      </c>
      <c r="H35" s="10">
        <f>H36</f>
        <v>280</v>
      </c>
    </row>
    <row r="36" spans="1:8" ht="94.5" x14ac:dyDescent="0.25">
      <c r="A36" s="466" t="s">
        <v>127</v>
      </c>
      <c r="B36" s="462" t="s">
        <v>893</v>
      </c>
      <c r="C36" s="469" t="s">
        <v>264</v>
      </c>
      <c r="D36" s="469" t="s">
        <v>264</v>
      </c>
      <c r="E36" s="469" t="s">
        <v>128</v>
      </c>
      <c r="F36" s="469"/>
      <c r="G36" s="10">
        <f>G37</f>
        <v>280</v>
      </c>
      <c r="H36" s="10">
        <f>H37</f>
        <v>280</v>
      </c>
    </row>
    <row r="37" spans="1:8" ht="31.5" x14ac:dyDescent="0.25">
      <c r="A37" s="466" t="s">
        <v>342</v>
      </c>
      <c r="B37" s="462" t="s">
        <v>893</v>
      </c>
      <c r="C37" s="469" t="s">
        <v>264</v>
      </c>
      <c r="D37" s="469" t="s">
        <v>264</v>
      </c>
      <c r="E37" s="469" t="s">
        <v>209</v>
      </c>
      <c r="F37" s="469"/>
      <c r="G37" s="10">
        <f>'пр.6.1.ведом.22-23 (2)'!G343</f>
        <v>280</v>
      </c>
      <c r="H37" s="10">
        <f>'пр.6.1.ведом.22-23 (2)'!H343</f>
        <v>280</v>
      </c>
    </row>
    <row r="38" spans="1:8" ht="47.25" x14ac:dyDescent="0.25">
      <c r="A38" s="45" t="s">
        <v>261</v>
      </c>
      <c r="B38" s="462" t="s">
        <v>893</v>
      </c>
      <c r="C38" s="469" t="s">
        <v>264</v>
      </c>
      <c r="D38" s="469" t="s">
        <v>264</v>
      </c>
      <c r="E38" s="469" t="s">
        <v>209</v>
      </c>
      <c r="F38" s="469" t="s">
        <v>627</v>
      </c>
      <c r="G38" s="459">
        <f>G37</f>
        <v>280</v>
      </c>
      <c r="H38" s="459">
        <f>H37</f>
        <v>280</v>
      </c>
    </row>
    <row r="39" spans="1:8" ht="31.5" hidden="1" x14ac:dyDescent="0.25">
      <c r="A39" s="466" t="s">
        <v>1032</v>
      </c>
      <c r="B39" s="462" t="s">
        <v>1049</v>
      </c>
      <c r="C39" s="469" t="s">
        <v>264</v>
      </c>
      <c r="D39" s="469" t="s">
        <v>264</v>
      </c>
      <c r="E39" s="469"/>
      <c r="F39" s="469"/>
      <c r="G39" s="10">
        <f>G40</f>
        <v>0</v>
      </c>
      <c r="H39" s="10">
        <f>H40</f>
        <v>0</v>
      </c>
    </row>
    <row r="40" spans="1:8" ht="31.5" hidden="1" x14ac:dyDescent="0.25">
      <c r="A40" s="466" t="s">
        <v>131</v>
      </c>
      <c r="B40" s="462" t="s">
        <v>1049</v>
      </c>
      <c r="C40" s="469" t="s">
        <v>264</v>
      </c>
      <c r="D40" s="469" t="s">
        <v>264</v>
      </c>
      <c r="E40" s="469" t="s">
        <v>132</v>
      </c>
      <c r="F40" s="469"/>
      <c r="G40" s="10">
        <f>G41</f>
        <v>0</v>
      </c>
      <c r="H40" s="10">
        <f>H41</f>
        <v>0</v>
      </c>
    </row>
    <row r="41" spans="1:8" ht="47.25" hidden="1" x14ac:dyDescent="0.25">
      <c r="A41" s="466" t="s">
        <v>133</v>
      </c>
      <c r="B41" s="462" t="s">
        <v>1049</v>
      </c>
      <c r="C41" s="469" t="s">
        <v>264</v>
      </c>
      <c r="D41" s="469" t="s">
        <v>264</v>
      </c>
      <c r="E41" s="469" t="s">
        <v>134</v>
      </c>
      <c r="F41" s="469"/>
      <c r="G41" s="10">
        <f>'пр.6.1.ведом.22-23 (2)'!G346</f>
        <v>0</v>
      </c>
      <c r="H41" s="10">
        <f>'пр.6.1.ведом.22-23 (2)'!H346</f>
        <v>0</v>
      </c>
    </row>
    <row r="42" spans="1:8" ht="47.25" hidden="1" x14ac:dyDescent="0.25">
      <c r="A42" s="45" t="s">
        <v>261</v>
      </c>
      <c r="B42" s="462" t="s">
        <v>1049</v>
      </c>
      <c r="C42" s="469" t="s">
        <v>264</v>
      </c>
      <c r="D42" s="469" t="s">
        <v>264</v>
      </c>
      <c r="E42" s="469" t="s">
        <v>134</v>
      </c>
      <c r="F42" s="469" t="s">
        <v>627</v>
      </c>
      <c r="G42" s="459">
        <f>G41</f>
        <v>0</v>
      </c>
      <c r="H42" s="459">
        <f>H41</f>
        <v>0</v>
      </c>
    </row>
    <row r="43" spans="1:8" ht="78.75" x14ac:dyDescent="0.25">
      <c r="A43" s="464" t="s">
        <v>1033</v>
      </c>
      <c r="B43" s="465" t="s">
        <v>894</v>
      </c>
      <c r="C43" s="469"/>
      <c r="D43" s="469"/>
      <c r="E43" s="469"/>
      <c r="F43" s="469"/>
      <c r="G43" s="59">
        <f>G44</f>
        <v>455</v>
      </c>
      <c r="H43" s="59">
        <f>H44</f>
        <v>520</v>
      </c>
    </row>
    <row r="44" spans="1:8" ht="15.75" x14ac:dyDescent="0.25">
      <c r="A44" s="45" t="s">
        <v>263</v>
      </c>
      <c r="B44" s="469" t="s">
        <v>894</v>
      </c>
      <c r="C44" s="469" t="s">
        <v>264</v>
      </c>
      <c r="D44" s="469"/>
      <c r="E44" s="469"/>
      <c r="F44" s="469"/>
      <c r="G44" s="10">
        <f>G45</f>
        <v>455</v>
      </c>
      <c r="H44" s="10">
        <f>H45</f>
        <v>520</v>
      </c>
    </row>
    <row r="45" spans="1:8" ht="21.75" customHeight="1" x14ac:dyDescent="0.25">
      <c r="A45" s="45" t="s">
        <v>466</v>
      </c>
      <c r="B45" s="469" t="s">
        <v>894</v>
      </c>
      <c r="C45" s="469" t="s">
        <v>264</v>
      </c>
      <c r="D45" s="469" t="s">
        <v>264</v>
      </c>
      <c r="E45" s="469"/>
      <c r="F45" s="469"/>
      <c r="G45" s="10">
        <f>G46+G50</f>
        <v>455</v>
      </c>
      <c r="H45" s="10">
        <f>H46+H50</f>
        <v>520</v>
      </c>
    </row>
    <row r="46" spans="1:8" ht="31.5" x14ac:dyDescent="0.25">
      <c r="A46" s="466" t="s">
        <v>1034</v>
      </c>
      <c r="B46" s="462" t="s">
        <v>901</v>
      </c>
      <c r="C46" s="469" t="s">
        <v>264</v>
      </c>
      <c r="D46" s="469" t="s">
        <v>264</v>
      </c>
      <c r="E46" s="469"/>
      <c r="F46" s="469"/>
      <c r="G46" s="10">
        <f>G47</f>
        <v>40</v>
      </c>
      <c r="H46" s="10">
        <f>H47</f>
        <v>40</v>
      </c>
    </row>
    <row r="47" spans="1:8" ht="94.5" x14ac:dyDescent="0.25">
      <c r="A47" s="466" t="s">
        <v>127</v>
      </c>
      <c r="B47" s="462" t="s">
        <v>901</v>
      </c>
      <c r="C47" s="469" t="s">
        <v>264</v>
      </c>
      <c r="D47" s="469" t="s">
        <v>264</v>
      </c>
      <c r="E47" s="469" t="s">
        <v>128</v>
      </c>
      <c r="F47" s="469"/>
      <c r="G47" s="10">
        <f t="shared" ref="G47:H47" si="5">G48</f>
        <v>40</v>
      </c>
      <c r="H47" s="10">
        <f t="shared" si="5"/>
        <v>40</v>
      </c>
    </row>
    <row r="48" spans="1:8" ht="31.5" x14ac:dyDescent="0.25">
      <c r="A48" s="466" t="s">
        <v>342</v>
      </c>
      <c r="B48" s="462" t="s">
        <v>901</v>
      </c>
      <c r="C48" s="469" t="s">
        <v>264</v>
      </c>
      <c r="D48" s="469" t="s">
        <v>264</v>
      </c>
      <c r="E48" s="469" t="s">
        <v>209</v>
      </c>
      <c r="F48" s="469"/>
      <c r="G48" s="10">
        <f>'пр.6.1.ведом.22-23 (2)'!G350</f>
        <v>40</v>
      </c>
      <c r="H48" s="10">
        <f>'пр.6.1.ведом.22-23 (2)'!H350</f>
        <v>40</v>
      </c>
    </row>
    <row r="49" spans="1:8" ht="47.25" x14ac:dyDescent="0.25">
      <c r="A49" s="45" t="s">
        <v>261</v>
      </c>
      <c r="B49" s="462" t="s">
        <v>901</v>
      </c>
      <c r="C49" s="469" t="s">
        <v>264</v>
      </c>
      <c r="D49" s="469" t="s">
        <v>264</v>
      </c>
      <c r="E49" s="469" t="s">
        <v>209</v>
      </c>
      <c r="F49" s="469" t="s">
        <v>627</v>
      </c>
      <c r="G49" s="459">
        <f>G48</f>
        <v>40</v>
      </c>
      <c r="H49" s="459">
        <f>H48</f>
        <v>40</v>
      </c>
    </row>
    <row r="50" spans="1:8" ht="31.5" x14ac:dyDescent="0.25">
      <c r="A50" s="466" t="s">
        <v>131</v>
      </c>
      <c r="B50" s="462" t="s">
        <v>901</v>
      </c>
      <c r="C50" s="469" t="s">
        <v>264</v>
      </c>
      <c r="D50" s="469" t="s">
        <v>264</v>
      </c>
      <c r="E50" s="469" t="s">
        <v>132</v>
      </c>
      <c r="F50" s="469"/>
      <c r="G50" s="10">
        <f t="shared" ref="G50:H50" si="6">G51</f>
        <v>415</v>
      </c>
      <c r="H50" s="10">
        <f t="shared" si="6"/>
        <v>480</v>
      </c>
    </row>
    <row r="51" spans="1:8" ht="47.25" x14ac:dyDescent="0.25">
      <c r="A51" s="466" t="s">
        <v>133</v>
      </c>
      <c r="B51" s="462" t="s">
        <v>901</v>
      </c>
      <c r="C51" s="469" t="s">
        <v>264</v>
      </c>
      <c r="D51" s="469" t="s">
        <v>264</v>
      </c>
      <c r="E51" s="469" t="s">
        <v>134</v>
      </c>
      <c r="F51" s="469"/>
      <c r="G51" s="459">
        <f>'пр.6.1.ведом.22-23 (2)'!G352</f>
        <v>415</v>
      </c>
      <c r="H51" s="459">
        <f>'пр.6.1.ведом.22-23 (2)'!H352</f>
        <v>480</v>
      </c>
    </row>
    <row r="52" spans="1:8" ht="47.25" x14ac:dyDescent="0.25">
      <c r="A52" s="45" t="s">
        <v>261</v>
      </c>
      <c r="B52" s="462" t="s">
        <v>901</v>
      </c>
      <c r="C52" s="469" t="s">
        <v>264</v>
      </c>
      <c r="D52" s="469" t="s">
        <v>264</v>
      </c>
      <c r="E52" s="469" t="s">
        <v>134</v>
      </c>
      <c r="F52" s="469" t="s">
        <v>627</v>
      </c>
      <c r="G52" s="459">
        <f>G51</f>
        <v>415</v>
      </c>
      <c r="H52" s="459">
        <f>H51</f>
        <v>480</v>
      </c>
    </row>
    <row r="53" spans="1:8" ht="47.25" x14ac:dyDescent="0.25">
      <c r="A53" s="464" t="s">
        <v>1039</v>
      </c>
      <c r="B53" s="465" t="s">
        <v>1035</v>
      </c>
      <c r="C53" s="469"/>
      <c r="D53" s="469"/>
      <c r="E53" s="469"/>
      <c r="F53" s="469"/>
      <c r="G53" s="458">
        <f>G56</f>
        <v>25</v>
      </c>
      <c r="H53" s="458">
        <f>H56</f>
        <v>25</v>
      </c>
    </row>
    <row r="54" spans="1:8" ht="15.75" x14ac:dyDescent="0.25">
      <c r="A54" s="45" t="s">
        <v>263</v>
      </c>
      <c r="B54" s="469" t="s">
        <v>1035</v>
      </c>
      <c r="C54" s="469" t="s">
        <v>264</v>
      </c>
      <c r="D54" s="469"/>
      <c r="E54" s="469"/>
      <c r="F54" s="469"/>
      <c r="G54" s="10">
        <f>G55</f>
        <v>25</v>
      </c>
      <c r="H54" s="10">
        <f>H55</f>
        <v>25</v>
      </c>
    </row>
    <row r="55" spans="1:8" ht="20.25" customHeight="1" x14ac:dyDescent="0.25">
      <c r="A55" s="45" t="s">
        <v>466</v>
      </c>
      <c r="B55" s="469" t="s">
        <v>1035</v>
      </c>
      <c r="C55" s="469" t="s">
        <v>264</v>
      </c>
      <c r="D55" s="469" t="s">
        <v>264</v>
      </c>
      <c r="E55" s="469"/>
      <c r="F55" s="469"/>
      <c r="G55" s="10">
        <f>G56</f>
        <v>25</v>
      </c>
      <c r="H55" s="10">
        <f>H56</f>
        <v>25</v>
      </c>
    </row>
    <row r="56" spans="1:8" ht="63" x14ac:dyDescent="0.25">
      <c r="A56" s="230" t="s">
        <v>1036</v>
      </c>
      <c r="B56" s="462" t="s">
        <v>1050</v>
      </c>
      <c r="C56" s="469" t="s">
        <v>264</v>
      </c>
      <c r="D56" s="469" t="s">
        <v>264</v>
      </c>
      <c r="E56" s="462"/>
      <c r="F56" s="469"/>
      <c r="G56" s="459">
        <f t="shared" ref="G56:H56" si="7">G57</f>
        <v>25</v>
      </c>
      <c r="H56" s="459">
        <f t="shared" si="7"/>
        <v>25</v>
      </c>
    </row>
    <row r="57" spans="1:8" ht="31.5" x14ac:dyDescent="0.25">
      <c r="A57" s="466" t="s">
        <v>248</v>
      </c>
      <c r="B57" s="462" t="s">
        <v>1050</v>
      </c>
      <c r="C57" s="469" t="s">
        <v>264</v>
      </c>
      <c r="D57" s="469" t="s">
        <v>264</v>
      </c>
      <c r="E57" s="462" t="s">
        <v>249</v>
      </c>
      <c r="F57" s="469"/>
      <c r="G57" s="459">
        <f>G58</f>
        <v>25</v>
      </c>
      <c r="H57" s="459">
        <f>H58</f>
        <v>25</v>
      </c>
    </row>
    <row r="58" spans="1:8" ht="31.5" x14ac:dyDescent="0.25">
      <c r="A58" s="466" t="s">
        <v>1201</v>
      </c>
      <c r="B58" s="462" t="s">
        <v>1050</v>
      </c>
      <c r="C58" s="469" t="s">
        <v>264</v>
      </c>
      <c r="D58" s="469" t="s">
        <v>264</v>
      </c>
      <c r="E58" s="462" t="s">
        <v>349</v>
      </c>
      <c r="F58" s="469"/>
      <c r="G58" s="10">
        <f>'пр.6.1.ведом.22-23 (2)'!G356</f>
        <v>25</v>
      </c>
      <c r="H58" s="10">
        <f>'пр.6.1.ведом.22-23 (2)'!H356</f>
        <v>25</v>
      </c>
    </row>
    <row r="59" spans="1:8" ht="47.25" x14ac:dyDescent="0.25">
      <c r="A59" s="45" t="s">
        <v>261</v>
      </c>
      <c r="B59" s="462" t="s">
        <v>1050</v>
      </c>
      <c r="C59" s="469" t="s">
        <v>264</v>
      </c>
      <c r="D59" s="469" t="s">
        <v>264</v>
      </c>
      <c r="E59" s="469" t="s">
        <v>349</v>
      </c>
      <c r="F59" s="469" t="s">
        <v>627</v>
      </c>
      <c r="G59" s="459">
        <f>G58</f>
        <v>25</v>
      </c>
      <c r="H59" s="459">
        <f>H58</f>
        <v>25</v>
      </c>
    </row>
    <row r="60" spans="1:8" ht="47.25" hidden="1" x14ac:dyDescent="0.25">
      <c r="A60" s="58" t="s">
        <v>1394</v>
      </c>
      <c r="B60" s="7" t="s">
        <v>353</v>
      </c>
      <c r="C60" s="7"/>
      <c r="D60" s="7"/>
      <c r="E60" s="7"/>
      <c r="F60" s="7"/>
      <c r="G60" s="59">
        <f>G61</f>
        <v>294.61</v>
      </c>
      <c r="H60" s="59">
        <f>H61</f>
        <v>289.11</v>
      </c>
    </row>
    <row r="61" spans="1:8" ht="31.5" hidden="1" x14ac:dyDescent="0.25">
      <c r="A61" s="464" t="s">
        <v>905</v>
      </c>
      <c r="B61" s="465" t="s">
        <v>904</v>
      </c>
      <c r="C61" s="7"/>
      <c r="D61" s="7"/>
      <c r="E61" s="7"/>
      <c r="F61" s="7"/>
      <c r="G61" s="59">
        <f>G62</f>
        <v>294.61</v>
      </c>
      <c r="H61" s="59">
        <f>H62</f>
        <v>289.11</v>
      </c>
    </row>
    <row r="62" spans="1:8" ht="15.75" hidden="1" x14ac:dyDescent="0.25">
      <c r="A62" s="45" t="s">
        <v>243</v>
      </c>
      <c r="B62" s="469" t="s">
        <v>904</v>
      </c>
      <c r="C62" s="469" t="s">
        <v>244</v>
      </c>
      <c r="D62" s="469"/>
      <c r="E62" s="469"/>
      <c r="F62" s="469"/>
      <c r="G62" s="10">
        <f t="shared" ref="G62:H65" si="8">G63</f>
        <v>294.61</v>
      </c>
      <c r="H62" s="10">
        <f t="shared" si="8"/>
        <v>289.11</v>
      </c>
    </row>
    <row r="63" spans="1:8" ht="15.75" hidden="1" x14ac:dyDescent="0.25">
      <c r="A63" s="45" t="s">
        <v>252</v>
      </c>
      <c r="B63" s="469" t="s">
        <v>904</v>
      </c>
      <c r="C63" s="469" t="s">
        <v>244</v>
      </c>
      <c r="D63" s="469" t="s">
        <v>215</v>
      </c>
      <c r="E63" s="469"/>
      <c r="F63" s="469"/>
      <c r="G63" s="10">
        <f>G64</f>
        <v>294.61</v>
      </c>
      <c r="H63" s="10">
        <f>H64</f>
        <v>289.11</v>
      </c>
    </row>
    <row r="64" spans="1:8" ht="31.5" hidden="1" x14ac:dyDescent="0.25">
      <c r="A64" s="466" t="s">
        <v>824</v>
      </c>
      <c r="B64" s="462" t="s">
        <v>906</v>
      </c>
      <c r="C64" s="469" t="s">
        <v>244</v>
      </c>
      <c r="D64" s="469" t="s">
        <v>215</v>
      </c>
      <c r="E64" s="469"/>
      <c r="F64" s="469"/>
      <c r="G64" s="10">
        <f t="shared" si="8"/>
        <v>294.61</v>
      </c>
      <c r="H64" s="10">
        <f t="shared" si="8"/>
        <v>289.11</v>
      </c>
    </row>
    <row r="65" spans="1:8" ht="31.5" hidden="1" x14ac:dyDescent="0.25">
      <c r="A65" s="29" t="s">
        <v>248</v>
      </c>
      <c r="B65" s="462" t="s">
        <v>906</v>
      </c>
      <c r="C65" s="469" t="s">
        <v>244</v>
      </c>
      <c r="D65" s="469" t="s">
        <v>215</v>
      </c>
      <c r="E65" s="469" t="s">
        <v>249</v>
      </c>
      <c r="F65" s="469"/>
      <c r="G65" s="10">
        <f t="shared" si="8"/>
        <v>294.61</v>
      </c>
      <c r="H65" s="10">
        <f t="shared" si="8"/>
        <v>289.11</v>
      </c>
    </row>
    <row r="66" spans="1:8" ht="47.25" hidden="1" x14ac:dyDescent="0.25">
      <c r="A66" s="29" t="s">
        <v>250</v>
      </c>
      <c r="B66" s="462" t="s">
        <v>906</v>
      </c>
      <c r="C66" s="469" t="s">
        <v>244</v>
      </c>
      <c r="D66" s="469" t="s">
        <v>215</v>
      </c>
      <c r="E66" s="469" t="s">
        <v>251</v>
      </c>
      <c r="F66" s="469"/>
      <c r="G66" s="10">
        <f>'пр.6.1.ведом.22-23 (2)'!G452</f>
        <v>294.61</v>
      </c>
      <c r="H66" s="10">
        <f>'пр.6.1.ведом.22-23 (2)'!H452</f>
        <v>289.11</v>
      </c>
    </row>
    <row r="67" spans="1:8" ht="47.25" hidden="1" x14ac:dyDescent="0.25">
      <c r="A67" s="45" t="s">
        <v>261</v>
      </c>
      <c r="B67" s="462" t="s">
        <v>906</v>
      </c>
      <c r="C67" s="469" t="s">
        <v>244</v>
      </c>
      <c r="D67" s="469" t="s">
        <v>215</v>
      </c>
      <c r="E67" s="469" t="s">
        <v>251</v>
      </c>
      <c r="F67" s="469" t="s">
        <v>627</v>
      </c>
      <c r="G67" s="10">
        <f>G66</f>
        <v>294.61</v>
      </c>
      <c r="H67" s="10">
        <f>H66</f>
        <v>289.11</v>
      </c>
    </row>
    <row r="68" spans="1:8" ht="63" x14ac:dyDescent="0.25">
      <c r="A68" s="470" t="s">
        <v>367</v>
      </c>
      <c r="B68" s="7" t="s">
        <v>356</v>
      </c>
      <c r="C68" s="7"/>
      <c r="D68" s="7"/>
      <c r="E68" s="7"/>
      <c r="F68" s="7"/>
      <c r="G68" s="59">
        <f>G69+G76+G83+G90</f>
        <v>260</v>
      </c>
      <c r="H68" s="59">
        <f>H69+H76+H83+H90</f>
        <v>260</v>
      </c>
    </row>
    <row r="69" spans="1:8" ht="47.25" hidden="1" x14ac:dyDescent="0.25">
      <c r="A69" s="214" t="s">
        <v>1045</v>
      </c>
      <c r="B69" s="465" t="s">
        <v>907</v>
      </c>
      <c r="C69" s="7"/>
      <c r="D69" s="7"/>
      <c r="E69" s="7"/>
      <c r="F69" s="7"/>
      <c r="G69" s="59">
        <f t="shared" ref="G69:H73" si="9">G70</f>
        <v>0</v>
      </c>
      <c r="H69" s="59">
        <f t="shared" si="9"/>
        <v>0</v>
      </c>
    </row>
    <row r="70" spans="1:8" ht="15.75" hidden="1" x14ac:dyDescent="0.25">
      <c r="A70" s="45" t="s">
        <v>232</v>
      </c>
      <c r="B70" s="469" t="s">
        <v>907</v>
      </c>
      <c r="C70" s="469" t="s">
        <v>150</v>
      </c>
      <c r="D70" s="469"/>
      <c r="E70" s="469"/>
      <c r="F70" s="469"/>
      <c r="G70" s="10">
        <f t="shared" si="9"/>
        <v>0</v>
      </c>
      <c r="H70" s="10">
        <f t="shared" si="9"/>
        <v>0</v>
      </c>
    </row>
    <row r="71" spans="1:8" ht="31.5" hidden="1" x14ac:dyDescent="0.25">
      <c r="A71" s="45" t="s">
        <v>237</v>
      </c>
      <c r="B71" s="469" t="s">
        <v>907</v>
      </c>
      <c r="C71" s="469" t="s">
        <v>150</v>
      </c>
      <c r="D71" s="469" t="s">
        <v>238</v>
      </c>
      <c r="E71" s="469"/>
      <c r="F71" s="469"/>
      <c r="G71" s="10">
        <f t="shared" si="9"/>
        <v>0</v>
      </c>
      <c r="H71" s="10">
        <f t="shared" si="9"/>
        <v>0</v>
      </c>
    </row>
    <row r="72" spans="1:8" ht="63" hidden="1" x14ac:dyDescent="0.25">
      <c r="A72" s="466" t="s">
        <v>375</v>
      </c>
      <c r="B72" s="462" t="s">
        <v>1323</v>
      </c>
      <c r="C72" s="469" t="s">
        <v>150</v>
      </c>
      <c r="D72" s="469" t="s">
        <v>238</v>
      </c>
      <c r="E72" s="469"/>
      <c r="F72" s="469"/>
      <c r="G72" s="10">
        <f t="shared" si="9"/>
        <v>0</v>
      </c>
      <c r="H72" s="10">
        <f t="shared" si="9"/>
        <v>0</v>
      </c>
    </row>
    <row r="73" spans="1:8" ht="31.5" hidden="1" x14ac:dyDescent="0.25">
      <c r="A73" s="466" t="s">
        <v>248</v>
      </c>
      <c r="B73" s="462" t="s">
        <v>1323</v>
      </c>
      <c r="C73" s="469" t="s">
        <v>150</v>
      </c>
      <c r="D73" s="469" t="s">
        <v>238</v>
      </c>
      <c r="E73" s="469" t="s">
        <v>249</v>
      </c>
      <c r="F73" s="469"/>
      <c r="G73" s="10">
        <f t="shared" si="9"/>
        <v>0</v>
      </c>
      <c r="H73" s="10">
        <f t="shared" si="9"/>
        <v>0</v>
      </c>
    </row>
    <row r="74" spans="1:8" ht="47.25" hidden="1" x14ac:dyDescent="0.25">
      <c r="A74" s="466" t="s">
        <v>250</v>
      </c>
      <c r="B74" s="462" t="s">
        <v>1323</v>
      </c>
      <c r="C74" s="469" t="s">
        <v>150</v>
      </c>
      <c r="D74" s="469" t="s">
        <v>238</v>
      </c>
      <c r="E74" s="469" t="s">
        <v>251</v>
      </c>
      <c r="F74" s="469"/>
      <c r="G74" s="10">
        <f>'пр.6.1.ведом.22-23 (2)'!G280</f>
        <v>0</v>
      </c>
      <c r="H74" s="10">
        <f>'пр.6.1.ведом.22-23 (2)'!H280</f>
        <v>0</v>
      </c>
    </row>
    <row r="75" spans="1:8" ht="47.25" hidden="1" x14ac:dyDescent="0.25">
      <c r="A75" s="45" t="s">
        <v>261</v>
      </c>
      <c r="B75" s="462" t="s">
        <v>1323</v>
      </c>
      <c r="C75" s="469" t="s">
        <v>150</v>
      </c>
      <c r="D75" s="469" t="s">
        <v>238</v>
      </c>
      <c r="E75" s="469" t="s">
        <v>251</v>
      </c>
      <c r="F75" s="469" t="s">
        <v>627</v>
      </c>
      <c r="G75" s="10">
        <f>G74</f>
        <v>0</v>
      </c>
      <c r="H75" s="10">
        <f>H74</f>
        <v>0</v>
      </c>
    </row>
    <row r="76" spans="1:8" ht="47.25" x14ac:dyDescent="0.25">
      <c r="A76" s="464" t="s">
        <v>1043</v>
      </c>
      <c r="B76" s="7" t="s">
        <v>1204</v>
      </c>
      <c r="C76" s="7"/>
      <c r="D76" s="7"/>
      <c r="E76" s="7"/>
      <c r="F76" s="7"/>
      <c r="G76" s="59">
        <f t="shared" ref="G76:H80" si="10">G77</f>
        <v>260</v>
      </c>
      <c r="H76" s="59">
        <f t="shared" si="10"/>
        <v>260</v>
      </c>
    </row>
    <row r="77" spans="1:8" ht="15.75" x14ac:dyDescent="0.25">
      <c r="A77" s="45" t="s">
        <v>232</v>
      </c>
      <c r="B77" s="469" t="s">
        <v>1204</v>
      </c>
      <c r="C77" s="469" t="s">
        <v>150</v>
      </c>
      <c r="D77" s="469"/>
      <c r="E77" s="469"/>
      <c r="F77" s="469"/>
      <c r="G77" s="10">
        <f t="shared" si="10"/>
        <v>260</v>
      </c>
      <c r="H77" s="10">
        <f t="shared" si="10"/>
        <v>260</v>
      </c>
    </row>
    <row r="78" spans="1:8" ht="31.5" x14ac:dyDescent="0.25">
      <c r="A78" s="45" t="s">
        <v>237</v>
      </c>
      <c r="B78" s="469" t="s">
        <v>1204</v>
      </c>
      <c r="C78" s="469" t="s">
        <v>150</v>
      </c>
      <c r="D78" s="469" t="s">
        <v>238</v>
      </c>
      <c r="E78" s="469"/>
      <c r="F78" s="469"/>
      <c r="G78" s="10">
        <f t="shared" si="10"/>
        <v>260</v>
      </c>
      <c r="H78" s="10">
        <f t="shared" si="10"/>
        <v>260</v>
      </c>
    </row>
    <row r="79" spans="1:8" ht="126" x14ac:dyDescent="0.25">
      <c r="A79" s="466" t="s">
        <v>1517</v>
      </c>
      <c r="B79" s="462" t="s">
        <v>1205</v>
      </c>
      <c r="C79" s="469" t="s">
        <v>150</v>
      </c>
      <c r="D79" s="469" t="s">
        <v>238</v>
      </c>
      <c r="E79" s="469"/>
      <c r="F79" s="469"/>
      <c r="G79" s="10">
        <f t="shared" si="10"/>
        <v>260</v>
      </c>
      <c r="H79" s="10">
        <f t="shared" si="10"/>
        <v>260</v>
      </c>
    </row>
    <row r="80" spans="1:8" ht="47.25" x14ac:dyDescent="0.25">
      <c r="A80" s="466" t="s">
        <v>272</v>
      </c>
      <c r="B80" s="462" t="s">
        <v>1205</v>
      </c>
      <c r="C80" s="469" t="s">
        <v>150</v>
      </c>
      <c r="D80" s="469" t="s">
        <v>238</v>
      </c>
      <c r="E80" s="469" t="s">
        <v>273</v>
      </c>
      <c r="F80" s="469"/>
      <c r="G80" s="10">
        <f t="shared" si="10"/>
        <v>260</v>
      </c>
      <c r="H80" s="10">
        <f t="shared" si="10"/>
        <v>260</v>
      </c>
    </row>
    <row r="81" spans="1:8" ht="78.75" x14ac:dyDescent="0.25">
      <c r="A81" s="466" t="s">
        <v>1093</v>
      </c>
      <c r="B81" s="462" t="s">
        <v>1205</v>
      </c>
      <c r="C81" s="469" t="s">
        <v>150</v>
      </c>
      <c r="D81" s="469" t="s">
        <v>238</v>
      </c>
      <c r="E81" s="469" t="s">
        <v>372</v>
      </c>
      <c r="F81" s="469"/>
      <c r="G81" s="10">
        <f>'пр.6.1.ведом.22-23 (2)'!G284</f>
        <v>260</v>
      </c>
      <c r="H81" s="10">
        <f>'пр.6.1.ведом.22-23 (2)'!H284</f>
        <v>260</v>
      </c>
    </row>
    <row r="82" spans="1:8" ht="47.25" x14ac:dyDescent="0.25">
      <c r="A82" s="45" t="s">
        <v>261</v>
      </c>
      <c r="B82" s="462" t="s">
        <v>1205</v>
      </c>
      <c r="C82" s="469" t="s">
        <v>150</v>
      </c>
      <c r="D82" s="469" t="s">
        <v>238</v>
      </c>
      <c r="E82" s="469" t="s">
        <v>372</v>
      </c>
      <c r="F82" s="469" t="s">
        <v>627</v>
      </c>
      <c r="G82" s="10">
        <f>G81</f>
        <v>260</v>
      </c>
      <c r="H82" s="10">
        <f>H81</f>
        <v>260</v>
      </c>
    </row>
    <row r="83" spans="1:8" ht="31.5" hidden="1" x14ac:dyDescent="0.25">
      <c r="A83" s="464" t="s">
        <v>995</v>
      </c>
      <c r="B83" s="465" t="s">
        <v>1315</v>
      </c>
      <c r="C83" s="7"/>
      <c r="D83" s="7"/>
      <c r="E83" s="7"/>
      <c r="F83" s="7"/>
      <c r="G83" s="59">
        <f t="shared" ref="G83:H87" si="11">G84</f>
        <v>0</v>
      </c>
      <c r="H83" s="59">
        <f t="shared" si="11"/>
        <v>0</v>
      </c>
    </row>
    <row r="84" spans="1:8" ht="15.75" hidden="1" x14ac:dyDescent="0.25">
      <c r="A84" s="45" t="s">
        <v>232</v>
      </c>
      <c r="B84" s="469" t="s">
        <v>1315</v>
      </c>
      <c r="C84" s="469" t="s">
        <v>150</v>
      </c>
      <c r="D84" s="469"/>
      <c r="E84" s="469"/>
      <c r="F84" s="469"/>
      <c r="G84" s="10">
        <f t="shared" si="11"/>
        <v>0</v>
      </c>
      <c r="H84" s="10">
        <f t="shared" si="11"/>
        <v>0</v>
      </c>
    </row>
    <row r="85" spans="1:8" ht="31.5" hidden="1" x14ac:dyDescent="0.25">
      <c r="A85" s="45" t="s">
        <v>237</v>
      </c>
      <c r="B85" s="469" t="s">
        <v>1315</v>
      </c>
      <c r="C85" s="469" t="s">
        <v>150</v>
      </c>
      <c r="D85" s="469" t="s">
        <v>238</v>
      </c>
      <c r="E85" s="469"/>
      <c r="F85" s="469"/>
      <c r="G85" s="10">
        <f t="shared" si="11"/>
        <v>0</v>
      </c>
      <c r="H85" s="10">
        <f t="shared" si="11"/>
        <v>0</v>
      </c>
    </row>
    <row r="86" spans="1:8" ht="47.25" hidden="1" x14ac:dyDescent="0.25">
      <c r="A86" s="249" t="s">
        <v>1046</v>
      </c>
      <c r="B86" s="462" t="s">
        <v>1316</v>
      </c>
      <c r="C86" s="469" t="s">
        <v>150</v>
      </c>
      <c r="D86" s="469" t="s">
        <v>238</v>
      </c>
      <c r="E86" s="469"/>
      <c r="F86" s="469"/>
      <c r="G86" s="10">
        <f t="shared" si="11"/>
        <v>0</v>
      </c>
      <c r="H86" s="10">
        <f t="shared" si="11"/>
        <v>0</v>
      </c>
    </row>
    <row r="87" spans="1:8" ht="31.5" hidden="1" x14ac:dyDescent="0.25">
      <c r="A87" s="466" t="s">
        <v>131</v>
      </c>
      <c r="B87" s="462" t="s">
        <v>1316</v>
      </c>
      <c r="C87" s="469" t="s">
        <v>150</v>
      </c>
      <c r="D87" s="469" t="s">
        <v>238</v>
      </c>
      <c r="E87" s="469" t="s">
        <v>132</v>
      </c>
      <c r="F87" s="469"/>
      <c r="G87" s="10">
        <f t="shared" si="11"/>
        <v>0</v>
      </c>
      <c r="H87" s="10">
        <f t="shared" si="11"/>
        <v>0</v>
      </c>
    </row>
    <row r="88" spans="1:8" ht="47.25" hidden="1" x14ac:dyDescent="0.25">
      <c r="A88" s="466" t="s">
        <v>133</v>
      </c>
      <c r="B88" s="462" t="s">
        <v>1316</v>
      </c>
      <c r="C88" s="469" t="s">
        <v>150</v>
      </c>
      <c r="D88" s="469" t="s">
        <v>238</v>
      </c>
      <c r="E88" s="469" t="s">
        <v>134</v>
      </c>
      <c r="F88" s="469"/>
      <c r="G88" s="10">
        <f>'пр.6.1.ведом.22-23 (2)'!G288</f>
        <v>0</v>
      </c>
      <c r="H88" s="10">
        <f>'пр.6.1.ведом.22-23 (2)'!H288</f>
        <v>0</v>
      </c>
    </row>
    <row r="89" spans="1:8" ht="47.25" hidden="1" x14ac:dyDescent="0.25">
      <c r="A89" s="45" t="s">
        <v>261</v>
      </c>
      <c r="B89" s="462" t="s">
        <v>1316</v>
      </c>
      <c r="C89" s="469" t="s">
        <v>150</v>
      </c>
      <c r="D89" s="469" t="s">
        <v>238</v>
      </c>
      <c r="E89" s="469" t="s">
        <v>134</v>
      </c>
      <c r="F89" s="9" t="s">
        <v>627</v>
      </c>
      <c r="G89" s="10">
        <f>G88</f>
        <v>0</v>
      </c>
      <c r="H89" s="10">
        <f>H88</f>
        <v>0</v>
      </c>
    </row>
    <row r="90" spans="1:8" ht="47.25" hidden="1" x14ac:dyDescent="0.25">
      <c r="A90" s="473" t="s">
        <v>1106</v>
      </c>
      <c r="B90" s="465" t="s">
        <v>1206</v>
      </c>
      <c r="C90" s="7"/>
      <c r="D90" s="7"/>
      <c r="E90" s="7"/>
      <c r="F90" s="7"/>
      <c r="G90" s="59">
        <f t="shared" ref="G90:H94" si="12">G91</f>
        <v>0</v>
      </c>
      <c r="H90" s="59">
        <f t="shared" si="12"/>
        <v>0</v>
      </c>
    </row>
    <row r="91" spans="1:8" ht="15.75" hidden="1" x14ac:dyDescent="0.25">
      <c r="A91" s="45" t="s">
        <v>232</v>
      </c>
      <c r="B91" s="469" t="s">
        <v>1206</v>
      </c>
      <c r="C91" s="469" t="s">
        <v>150</v>
      </c>
      <c r="D91" s="469"/>
      <c r="E91" s="469"/>
      <c r="F91" s="469"/>
      <c r="G91" s="10">
        <f t="shared" si="12"/>
        <v>0</v>
      </c>
      <c r="H91" s="10">
        <f t="shared" si="12"/>
        <v>0</v>
      </c>
    </row>
    <row r="92" spans="1:8" ht="31.5" hidden="1" x14ac:dyDescent="0.25">
      <c r="A92" s="45" t="s">
        <v>237</v>
      </c>
      <c r="B92" s="469" t="s">
        <v>1206</v>
      </c>
      <c r="C92" s="469" t="s">
        <v>150</v>
      </c>
      <c r="D92" s="469" t="s">
        <v>238</v>
      </c>
      <c r="E92" s="469"/>
      <c r="F92" s="469"/>
      <c r="G92" s="10">
        <f t="shared" si="12"/>
        <v>0</v>
      </c>
      <c r="H92" s="10">
        <f t="shared" si="12"/>
        <v>0</v>
      </c>
    </row>
    <row r="93" spans="1:8" ht="31.5" hidden="1" x14ac:dyDescent="0.25">
      <c r="A93" s="230" t="s">
        <v>1107</v>
      </c>
      <c r="B93" s="462" t="s">
        <v>1207</v>
      </c>
      <c r="C93" s="469" t="s">
        <v>150</v>
      </c>
      <c r="D93" s="469" t="s">
        <v>238</v>
      </c>
      <c r="E93" s="469"/>
      <c r="F93" s="469"/>
      <c r="G93" s="10">
        <f t="shared" si="12"/>
        <v>0</v>
      </c>
      <c r="H93" s="10">
        <f t="shared" si="12"/>
        <v>0</v>
      </c>
    </row>
    <row r="94" spans="1:8" ht="31.5" hidden="1" x14ac:dyDescent="0.25">
      <c r="A94" s="466" t="s">
        <v>131</v>
      </c>
      <c r="B94" s="462" t="s">
        <v>1207</v>
      </c>
      <c r="C94" s="469" t="s">
        <v>150</v>
      </c>
      <c r="D94" s="469" t="s">
        <v>238</v>
      </c>
      <c r="E94" s="469" t="s">
        <v>132</v>
      </c>
      <c r="F94" s="469"/>
      <c r="G94" s="10">
        <f t="shared" si="12"/>
        <v>0</v>
      </c>
      <c r="H94" s="10">
        <f t="shared" si="12"/>
        <v>0</v>
      </c>
    </row>
    <row r="95" spans="1:8" ht="47.25" hidden="1" x14ac:dyDescent="0.25">
      <c r="A95" s="466" t="s">
        <v>133</v>
      </c>
      <c r="B95" s="462" t="s">
        <v>1207</v>
      </c>
      <c r="C95" s="469" t="s">
        <v>150</v>
      </c>
      <c r="D95" s="469" t="s">
        <v>238</v>
      </c>
      <c r="E95" s="469" t="s">
        <v>134</v>
      </c>
      <c r="F95" s="469"/>
      <c r="G95" s="10">
        <f>'пр.6.1.ведом.22-23 (2)'!G292</f>
        <v>0</v>
      </c>
      <c r="H95" s="10">
        <f>'пр.6.1.ведом.22-23 (2)'!H292</f>
        <v>0</v>
      </c>
    </row>
    <row r="96" spans="1:8" ht="47.25" hidden="1" x14ac:dyDescent="0.25">
      <c r="A96" s="45" t="s">
        <v>261</v>
      </c>
      <c r="B96" s="462" t="s">
        <v>1207</v>
      </c>
      <c r="C96" s="469" t="s">
        <v>150</v>
      </c>
      <c r="D96" s="469" t="s">
        <v>238</v>
      </c>
      <c r="E96" s="469" t="s">
        <v>134</v>
      </c>
      <c r="F96" s="9" t="s">
        <v>627</v>
      </c>
      <c r="G96" s="10">
        <f>G95</f>
        <v>0</v>
      </c>
      <c r="H96" s="10">
        <f>H95</f>
        <v>0</v>
      </c>
    </row>
    <row r="97" spans="1:8" ht="94.5" x14ac:dyDescent="0.25">
      <c r="A97" s="470" t="s">
        <v>1359</v>
      </c>
      <c r="B97" s="7" t="s">
        <v>359</v>
      </c>
      <c r="C97" s="7"/>
      <c r="D97" s="7"/>
      <c r="E97" s="7"/>
      <c r="F97" s="8"/>
      <c r="G97" s="59">
        <f>G98</f>
        <v>200</v>
      </c>
      <c r="H97" s="59">
        <f>H98</f>
        <v>500</v>
      </c>
    </row>
    <row r="98" spans="1:8" ht="63" x14ac:dyDescent="0.25">
      <c r="A98" s="247" t="s">
        <v>1047</v>
      </c>
      <c r="B98" s="7" t="s">
        <v>909</v>
      </c>
      <c r="C98" s="7"/>
      <c r="D98" s="7"/>
      <c r="E98" s="7"/>
      <c r="F98" s="8"/>
      <c r="G98" s="59">
        <f>G99</f>
        <v>200</v>
      </c>
      <c r="H98" s="59">
        <f>H99</f>
        <v>500</v>
      </c>
    </row>
    <row r="99" spans="1:8" ht="15.75" x14ac:dyDescent="0.25">
      <c r="A99" s="45" t="s">
        <v>117</v>
      </c>
      <c r="B99" s="469" t="s">
        <v>909</v>
      </c>
      <c r="C99" s="469" t="s">
        <v>118</v>
      </c>
      <c r="D99" s="469"/>
      <c r="E99" s="469"/>
      <c r="F99" s="9"/>
      <c r="G99" s="10">
        <f t="shared" ref="G99:H102" si="13">G100</f>
        <v>200</v>
      </c>
      <c r="H99" s="10">
        <f t="shared" si="13"/>
        <v>500</v>
      </c>
    </row>
    <row r="100" spans="1:8" ht="15.75" x14ac:dyDescent="0.25">
      <c r="A100" s="45" t="s">
        <v>139</v>
      </c>
      <c r="B100" s="469" t="s">
        <v>909</v>
      </c>
      <c r="C100" s="469" t="s">
        <v>118</v>
      </c>
      <c r="D100" s="469" t="s">
        <v>140</v>
      </c>
      <c r="E100" s="469"/>
      <c r="F100" s="9"/>
      <c r="G100" s="10">
        <f>G101</f>
        <v>200</v>
      </c>
      <c r="H100" s="10">
        <f>H101</f>
        <v>500</v>
      </c>
    </row>
    <row r="101" spans="1:8" ht="47.25" x14ac:dyDescent="0.25">
      <c r="A101" s="98" t="s">
        <v>1048</v>
      </c>
      <c r="B101" s="469" t="s">
        <v>1203</v>
      </c>
      <c r="C101" s="469" t="s">
        <v>118</v>
      </c>
      <c r="D101" s="469" t="s">
        <v>140</v>
      </c>
      <c r="E101" s="469"/>
      <c r="F101" s="9"/>
      <c r="G101" s="10">
        <f t="shared" si="13"/>
        <v>200</v>
      </c>
      <c r="H101" s="10">
        <f t="shared" si="13"/>
        <v>500</v>
      </c>
    </row>
    <row r="102" spans="1:8" ht="31.5" x14ac:dyDescent="0.25">
      <c r="A102" s="29" t="s">
        <v>131</v>
      </c>
      <c r="B102" s="469" t="s">
        <v>1203</v>
      </c>
      <c r="C102" s="469" t="s">
        <v>118</v>
      </c>
      <c r="D102" s="469" t="s">
        <v>140</v>
      </c>
      <c r="E102" s="469" t="s">
        <v>132</v>
      </c>
      <c r="F102" s="9"/>
      <c r="G102" s="10">
        <f t="shared" si="13"/>
        <v>200</v>
      </c>
      <c r="H102" s="10">
        <f t="shared" si="13"/>
        <v>500</v>
      </c>
    </row>
    <row r="103" spans="1:8" ht="47.25" x14ac:dyDescent="0.25">
      <c r="A103" s="29" t="s">
        <v>133</v>
      </c>
      <c r="B103" s="469" t="s">
        <v>1203</v>
      </c>
      <c r="C103" s="469" t="s">
        <v>118</v>
      </c>
      <c r="D103" s="469" t="s">
        <v>140</v>
      </c>
      <c r="E103" s="469" t="s">
        <v>134</v>
      </c>
      <c r="F103" s="9"/>
      <c r="G103" s="10">
        <f>'пр.6.1.ведом.22-23 (2)'!G250</f>
        <v>200</v>
      </c>
      <c r="H103" s="10">
        <f>'пр.6.1.ведом.22-23 (2)'!H250</f>
        <v>500</v>
      </c>
    </row>
    <row r="104" spans="1:8" ht="47.25" x14ac:dyDescent="0.25">
      <c r="A104" s="45" t="s">
        <v>261</v>
      </c>
      <c r="B104" s="469" t="s">
        <v>1203</v>
      </c>
      <c r="C104" s="469" t="s">
        <v>118</v>
      </c>
      <c r="D104" s="469" t="s">
        <v>140</v>
      </c>
      <c r="E104" s="469" t="s">
        <v>134</v>
      </c>
      <c r="F104" s="9" t="s">
        <v>627</v>
      </c>
      <c r="G104" s="10">
        <f>G103</f>
        <v>200</v>
      </c>
      <c r="H104" s="10">
        <f>H103</f>
        <v>500</v>
      </c>
    </row>
    <row r="105" spans="1:8" ht="47.25" hidden="1" x14ac:dyDescent="0.25">
      <c r="A105" s="35" t="s">
        <v>886</v>
      </c>
      <c r="B105" s="462" t="s">
        <v>1302</v>
      </c>
      <c r="C105" s="469" t="s">
        <v>118</v>
      </c>
      <c r="D105" s="469" t="s">
        <v>140</v>
      </c>
      <c r="E105" s="469"/>
      <c r="F105" s="9"/>
      <c r="G105" s="10" t="e">
        <f>G106</f>
        <v>#REF!</v>
      </c>
      <c r="H105" s="10" t="e">
        <f>H106</f>
        <v>#REF!</v>
      </c>
    </row>
    <row r="106" spans="1:8" ht="31.5" hidden="1" x14ac:dyDescent="0.25">
      <c r="A106" s="466" t="s">
        <v>131</v>
      </c>
      <c r="B106" s="462" t="s">
        <v>1302</v>
      </c>
      <c r="C106" s="469" t="s">
        <v>118</v>
      </c>
      <c r="D106" s="469" t="s">
        <v>140</v>
      </c>
      <c r="E106" s="469" t="s">
        <v>132</v>
      </c>
      <c r="F106" s="9"/>
      <c r="G106" s="10" t="e">
        <f>G107</f>
        <v>#REF!</v>
      </c>
      <c r="H106" s="10" t="e">
        <f>H107</f>
        <v>#REF!</v>
      </c>
    </row>
    <row r="107" spans="1:8" ht="47.25" hidden="1" x14ac:dyDescent="0.25">
      <c r="A107" s="466" t="s">
        <v>133</v>
      </c>
      <c r="B107" s="462" t="s">
        <v>1302</v>
      </c>
      <c r="C107" s="469" t="s">
        <v>118</v>
      </c>
      <c r="D107" s="469" t="s">
        <v>140</v>
      </c>
      <c r="E107" s="469" t="s">
        <v>134</v>
      </c>
      <c r="F107" s="9"/>
      <c r="G107" s="10" t="e">
        <f>'пр.6.1.ведом.22-23 (2)'!#REF!</f>
        <v>#REF!</v>
      </c>
      <c r="H107" s="10" t="e">
        <f>'пр.6.1.ведом.22-23 (2)'!#REF!</f>
        <v>#REF!</v>
      </c>
    </row>
    <row r="108" spans="1:8" ht="47.25" hidden="1" x14ac:dyDescent="0.25">
      <c r="A108" s="45" t="s">
        <v>261</v>
      </c>
      <c r="B108" s="462" t="s">
        <v>1302</v>
      </c>
      <c r="C108" s="469" t="s">
        <v>118</v>
      </c>
      <c r="D108" s="469" t="s">
        <v>140</v>
      </c>
      <c r="E108" s="469" t="s">
        <v>134</v>
      </c>
      <c r="F108" s="9" t="s">
        <v>627</v>
      </c>
      <c r="G108" s="10" t="e">
        <f>G107</f>
        <v>#REF!</v>
      </c>
      <c r="H108" s="10" t="e">
        <f>H107</f>
        <v>#REF!</v>
      </c>
    </row>
    <row r="109" spans="1:8" ht="47.25" x14ac:dyDescent="0.25">
      <c r="A109" s="58" t="s">
        <v>629</v>
      </c>
      <c r="B109" s="7" t="s">
        <v>362</v>
      </c>
      <c r="C109" s="7"/>
      <c r="D109" s="7"/>
      <c r="E109" s="7"/>
      <c r="F109" s="7"/>
      <c r="G109" s="59">
        <f>G110+G117+G127</f>
        <v>1967</v>
      </c>
      <c r="H109" s="59">
        <f>H110+H117+H127</f>
        <v>2022</v>
      </c>
    </row>
    <row r="110" spans="1:8" ht="31.5" x14ac:dyDescent="0.25">
      <c r="A110" s="464" t="s">
        <v>1040</v>
      </c>
      <c r="B110" s="465" t="s">
        <v>913</v>
      </c>
      <c r="C110" s="469"/>
      <c r="D110" s="469"/>
      <c r="E110" s="469"/>
      <c r="F110" s="469"/>
      <c r="G110" s="59">
        <f>G111</f>
        <v>630</v>
      </c>
      <c r="H110" s="59">
        <f>H111</f>
        <v>630</v>
      </c>
    </row>
    <row r="111" spans="1:8" ht="15.75" x14ac:dyDescent="0.25">
      <c r="A111" s="45" t="s">
        <v>243</v>
      </c>
      <c r="B111" s="469" t="s">
        <v>913</v>
      </c>
      <c r="C111" s="469" t="s">
        <v>244</v>
      </c>
      <c r="D111" s="469"/>
      <c r="E111" s="469"/>
      <c r="F111" s="469"/>
      <c r="G111" s="10">
        <f t="shared" ref="G111:H114" si="14">G112</f>
        <v>630</v>
      </c>
      <c r="H111" s="10">
        <f t="shared" si="14"/>
        <v>630</v>
      </c>
    </row>
    <row r="112" spans="1:8" ht="15.75" x14ac:dyDescent="0.25">
      <c r="A112" s="45" t="s">
        <v>252</v>
      </c>
      <c r="B112" s="469" t="s">
        <v>913</v>
      </c>
      <c r="C112" s="469" t="s">
        <v>244</v>
      </c>
      <c r="D112" s="469" t="s">
        <v>215</v>
      </c>
      <c r="E112" s="469"/>
      <c r="F112" s="469"/>
      <c r="G112" s="10">
        <f>G113</f>
        <v>630</v>
      </c>
      <c r="H112" s="10">
        <f>H113</f>
        <v>630</v>
      </c>
    </row>
    <row r="113" spans="1:8" ht="63" x14ac:dyDescent="0.25">
      <c r="A113" s="98" t="s">
        <v>1041</v>
      </c>
      <c r="B113" s="462" t="s">
        <v>1229</v>
      </c>
      <c r="C113" s="469" t="s">
        <v>244</v>
      </c>
      <c r="D113" s="469" t="s">
        <v>215</v>
      </c>
      <c r="E113" s="469"/>
      <c r="F113" s="469"/>
      <c r="G113" s="10">
        <f t="shared" si="14"/>
        <v>630</v>
      </c>
      <c r="H113" s="10">
        <f t="shared" si="14"/>
        <v>630</v>
      </c>
    </row>
    <row r="114" spans="1:8" ht="31.5" x14ac:dyDescent="0.25">
      <c r="A114" s="466" t="s">
        <v>248</v>
      </c>
      <c r="B114" s="462" t="s">
        <v>1229</v>
      </c>
      <c r="C114" s="469" t="s">
        <v>244</v>
      </c>
      <c r="D114" s="469" t="s">
        <v>215</v>
      </c>
      <c r="E114" s="469" t="s">
        <v>249</v>
      </c>
      <c r="F114" s="469"/>
      <c r="G114" s="10">
        <f t="shared" si="14"/>
        <v>630</v>
      </c>
      <c r="H114" s="10">
        <f t="shared" si="14"/>
        <v>630</v>
      </c>
    </row>
    <row r="115" spans="1:8" ht="31.5" x14ac:dyDescent="0.25">
      <c r="A115" s="466" t="s">
        <v>348</v>
      </c>
      <c r="B115" s="462" t="s">
        <v>1229</v>
      </c>
      <c r="C115" s="469" t="s">
        <v>244</v>
      </c>
      <c r="D115" s="469" t="s">
        <v>215</v>
      </c>
      <c r="E115" s="469" t="s">
        <v>349</v>
      </c>
      <c r="F115" s="469"/>
      <c r="G115" s="10">
        <f>'пр.6.1.ведом.22-23 (2)'!G457</f>
        <v>630</v>
      </c>
      <c r="H115" s="10">
        <f>'пр.6.1.ведом.22-23 (2)'!H457</f>
        <v>630</v>
      </c>
    </row>
    <row r="116" spans="1:8" ht="47.25" x14ac:dyDescent="0.25">
      <c r="A116" s="45" t="s">
        <v>261</v>
      </c>
      <c r="B116" s="462" t="s">
        <v>1229</v>
      </c>
      <c r="C116" s="469" t="s">
        <v>244</v>
      </c>
      <c r="D116" s="469" t="s">
        <v>215</v>
      </c>
      <c r="E116" s="469" t="s">
        <v>349</v>
      </c>
      <c r="F116" s="469" t="s">
        <v>627</v>
      </c>
      <c r="G116" s="10">
        <f>G115</f>
        <v>630</v>
      </c>
      <c r="H116" s="10">
        <f>H115</f>
        <v>630</v>
      </c>
    </row>
    <row r="117" spans="1:8" ht="31.5" x14ac:dyDescent="0.25">
      <c r="A117" s="464" t="s">
        <v>1233</v>
      </c>
      <c r="B117" s="465" t="s">
        <v>1231</v>
      </c>
      <c r="C117" s="7"/>
      <c r="D117" s="7"/>
      <c r="E117" s="7"/>
      <c r="F117" s="7"/>
      <c r="G117" s="59">
        <f>G118</f>
        <v>657</v>
      </c>
      <c r="H117" s="59">
        <f>H118</f>
        <v>657</v>
      </c>
    </row>
    <row r="118" spans="1:8" ht="15.75" x14ac:dyDescent="0.25">
      <c r="A118" s="45" t="s">
        <v>243</v>
      </c>
      <c r="B118" s="469" t="s">
        <v>1231</v>
      </c>
      <c r="C118" s="469" t="s">
        <v>244</v>
      </c>
      <c r="D118" s="469"/>
      <c r="E118" s="469"/>
      <c r="F118" s="469"/>
      <c r="G118" s="10">
        <f t="shared" ref="G118:H118" si="15">G119</f>
        <v>657</v>
      </c>
      <c r="H118" s="10">
        <f t="shared" si="15"/>
        <v>657</v>
      </c>
    </row>
    <row r="119" spans="1:8" ht="15.75" x14ac:dyDescent="0.25">
      <c r="A119" s="45" t="s">
        <v>252</v>
      </c>
      <c r="B119" s="469" t="s">
        <v>1231</v>
      </c>
      <c r="C119" s="469" t="s">
        <v>244</v>
      </c>
      <c r="D119" s="469" t="s">
        <v>215</v>
      </c>
      <c r="E119" s="469"/>
      <c r="F119" s="469"/>
      <c r="G119" s="10">
        <f>G120</f>
        <v>657</v>
      </c>
      <c r="H119" s="10">
        <f>H120</f>
        <v>657</v>
      </c>
    </row>
    <row r="120" spans="1:8" ht="31.5" x14ac:dyDescent="0.25">
      <c r="A120" s="466" t="s">
        <v>1230</v>
      </c>
      <c r="B120" s="462" t="s">
        <v>1232</v>
      </c>
      <c r="C120" s="469" t="s">
        <v>244</v>
      </c>
      <c r="D120" s="469" t="s">
        <v>215</v>
      </c>
      <c r="E120" s="469"/>
      <c r="F120" s="469"/>
      <c r="G120" s="10">
        <f>G121+G124</f>
        <v>657</v>
      </c>
      <c r="H120" s="10">
        <f>H121+H124</f>
        <v>657</v>
      </c>
    </row>
    <row r="121" spans="1:8" ht="31.5" x14ac:dyDescent="0.25">
      <c r="A121" s="466" t="s">
        <v>131</v>
      </c>
      <c r="B121" s="462" t="s">
        <v>1232</v>
      </c>
      <c r="C121" s="469" t="s">
        <v>244</v>
      </c>
      <c r="D121" s="469" t="s">
        <v>215</v>
      </c>
      <c r="E121" s="469" t="s">
        <v>132</v>
      </c>
      <c r="F121" s="469"/>
      <c r="G121" s="10">
        <f>G122</f>
        <v>400</v>
      </c>
      <c r="H121" s="10">
        <f>H122</f>
        <v>400</v>
      </c>
    </row>
    <row r="122" spans="1:8" ht="47.25" x14ac:dyDescent="0.25">
      <c r="A122" s="466" t="s">
        <v>133</v>
      </c>
      <c r="B122" s="462" t="s">
        <v>1232</v>
      </c>
      <c r="C122" s="469" t="s">
        <v>244</v>
      </c>
      <c r="D122" s="469" t="s">
        <v>215</v>
      </c>
      <c r="E122" s="469" t="s">
        <v>134</v>
      </c>
      <c r="F122" s="469"/>
      <c r="G122" s="10">
        <f>'пр.6.1.ведом.22-23 (2)'!G461</f>
        <v>400</v>
      </c>
      <c r="H122" s="10">
        <f>'пр.6.1.ведом.22-23 (2)'!H461</f>
        <v>400</v>
      </c>
    </row>
    <row r="123" spans="1:8" ht="47.25" x14ac:dyDescent="0.25">
      <c r="A123" s="45" t="s">
        <v>261</v>
      </c>
      <c r="B123" s="462" t="s">
        <v>1232</v>
      </c>
      <c r="C123" s="469" t="s">
        <v>244</v>
      </c>
      <c r="D123" s="469" t="s">
        <v>215</v>
      </c>
      <c r="E123" s="469" t="s">
        <v>134</v>
      </c>
      <c r="F123" s="469" t="s">
        <v>627</v>
      </c>
      <c r="G123" s="10">
        <f>G122</f>
        <v>400</v>
      </c>
      <c r="H123" s="10">
        <f>H122</f>
        <v>400</v>
      </c>
    </row>
    <row r="124" spans="1:8" ht="31.5" x14ac:dyDescent="0.25">
      <c r="A124" s="466" t="s">
        <v>248</v>
      </c>
      <c r="B124" s="462" t="s">
        <v>1232</v>
      </c>
      <c r="C124" s="469" t="s">
        <v>244</v>
      </c>
      <c r="D124" s="469" t="s">
        <v>215</v>
      </c>
      <c r="E124" s="469" t="s">
        <v>249</v>
      </c>
      <c r="F124" s="469"/>
      <c r="G124" s="10">
        <f>G125</f>
        <v>257</v>
      </c>
      <c r="H124" s="10">
        <f>H125</f>
        <v>257</v>
      </c>
    </row>
    <row r="125" spans="1:8" ht="31.5" x14ac:dyDescent="0.25">
      <c r="A125" s="466" t="s">
        <v>348</v>
      </c>
      <c r="B125" s="462" t="s">
        <v>1232</v>
      </c>
      <c r="C125" s="469" t="s">
        <v>244</v>
      </c>
      <c r="D125" s="469" t="s">
        <v>215</v>
      </c>
      <c r="E125" s="469" t="s">
        <v>349</v>
      </c>
      <c r="F125" s="469"/>
      <c r="G125" s="10">
        <f>'пр.6.1.ведом.22-23 (2)'!G463</f>
        <v>257</v>
      </c>
      <c r="H125" s="10">
        <f>'пр.6.1.ведом.22-23 (2)'!H463</f>
        <v>257</v>
      </c>
    </row>
    <row r="126" spans="1:8" ht="47.25" x14ac:dyDescent="0.25">
      <c r="A126" s="45" t="s">
        <v>261</v>
      </c>
      <c r="B126" s="462" t="s">
        <v>1232</v>
      </c>
      <c r="C126" s="469" t="s">
        <v>244</v>
      </c>
      <c r="D126" s="469" t="s">
        <v>215</v>
      </c>
      <c r="E126" s="469" t="s">
        <v>349</v>
      </c>
      <c r="F126" s="469" t="s">
        <v>627</v>
      </c>
      <c r="G126" s="10">
        <f>G125</f>
        <v>257</v>
      </c>
      <c r="H126" s="10">
        <f>H125</f>
        <v>257</v>
      </c>
    </row>
    <row r="127" spans="1:8" ht="31.5" x14ac:dyDescent="0.25">
      <c r="A127" s="464" t="s">
        <v>997</v>
      </c>
      <c r="B127" s="465" t="s">
        <v>1226</v>
      </c>
      <c r="C127" s="7"/>
      <c r="D127" s="7"/>
      <c r="E127" s="7"/>
      <c r="F127" s="7"/>
      <c r="G127" s="59">
        <f>G134+G128</f>
        <v>680</v>
      </c>
      <c r="H127" s="59">
        <f>H134+H128</f>
        <v>735</v>
      </c>
    </row>
    <row r="128" spans="1:8" ht="15.75" x14ac:dyDescent="0.25">
      <c r="A128" s="466" t="s">
        <v>298</v>
      </c>
      <c r="B128" s="462" t="s">
        <v>1226</v>
      </c>
      <c r="C128" s="469" t="s">
        <v>299</v>
      </c>
      <c r="D128" s="469"/>
      <c r="E128" s="7"/>
      <c r="F128" s="7"/>
      <c r="G128" s="10">
        <f t="shared" ref="G128:H131" si="16">G129</f>
        <v>260</v>
      </c>
      <c r="H128" s="10">
        <f t="shared" si="16"/>
        <v>285</v>
      </c>
    </row>
    <row r="129" spans="1:8" ht="15.75" x14ac:dyDescent="0.25">
      <c r="A129" s="466" t="s">
        <v>300</v>
      </c>
      <c r="B129" s="462" t="s">
        <v>1226</v>
      </c>
      <c r="C129" s="469" t="s">
        <v>299</v>
      </c>
      <c r="D129" s="469" t="s">
        <v>150</v>
      </c>
      <c r="E129" s="7"/>
      <c r="F129" s="7"/>
      <c r="G129" s="10">
        <f t="shared" si="16"/>
        <v>260</v>
      </c>
      <c r="H129" s="10">
        <f t="shared" si="16"/>
        <v>285</v>
      </c>
    </row>
    <row r="130" spans="1:8" ht="31.5" x14ac:dyDescent="0.25">
      <c r="A130" s="466" t="s">
        <v>996</v>
      </c>
      <c r="B130" s="462" t="s">
        <v>1227</v>
      </c>
      <c r="C130" s="469" t="s">
        <v>299</v>
      </c>
      <c r="D130" s="469" t="s">
        <v>150</v>
      </c>
      <c r="E130" s="7"/>
      <c r="F130" s="7"/>
      <c r="G130" s="10">
        <f t="shared" si="16"/>
        <v>260</v>
      </c>
      <c r="H130" s="10">
        <f t="shared" si="16"/>
        <v>285</v>
      </c>
    </row>
    <row r="131" spans="1:8" ht="31.5" x14ac:dyDescent="0.25">
      <c r="A131" s="466" t="s">
        <v>131</v>
      </c>
      <c r="B131" s="462" t="s">
        <v>1227</v>
      </c>
      <c r="C131" s="469" t="s">
        <v>299</v>
      </c>
      <c r="D131" s="469" t="s">
        <v>150</v>
      </c>
      <c r="E131" s="469" t="s">
        <v>132</v>
      </c>
      <c r="F131" s="469"/>
      <c r="G131" s="10">
        <f t="shared" si="16"/>
        <v>260</v>
      </c>
      <c r="H131" s="10">
        <f t="shared" si="16"/>
        <v>285</v>
      </c>
    </row>
    <row r="132" spans="1:8" ht="47.25" x14ac:dyDescent="0.25">
      <c r="A132" s="466" t="s">
        <v>133</v>
      </c>
      <c r="B132" s="462" t="s">
        <v>1227</v>
      </c>
      <c r="C132" s="469" t="s">
        <v>299</v>
      </c>
      <c r="D132" s="469" t="s">
        <v>150</v>
      </c>
      <c r="E132" s="469" t="s">
        <v>134</v>
      </c>
      <c r="F132" s="469"/>
      <c r="G132" s="10">
        <f>'пр.6.1.ведом.22-23 (2)'!G439</f>
        <v>260</v>
      </c>
      <c r="H132" s="10">
        <f>'пр.6.1.ведом.22-23 (2)'!H439</f>
        <v>285</v>
      </c>
    </row>
    <row r="133" spans="1:8" ht="47.25" x14ac:dyDescent="0.25">
      <c r="A133" s="45" t="s">
        <v>261</v>
      </c>
      <c r="B133" s="462" t="s">
        <v>1227</v>
      </c>
      <c r="C133" s="469" t="s">
        <v>299</v>
      </c>
      <c r="D133" s="469" t="s">
        <v>150</v>
      </c>
      <c r="E133" s="469" t="s">
        <v>134</v>
      </c>
      <c r="F133" s="469" t="s">
        <v>627</v>
      </c>
      <c r="G133" s="10">
        <f>G132</f>
        <v>260</v>
      </c>
      <c r="H133" s="10">
        <f>H132</f>
        <v>285</v>
      </c>
    </row>
    <row r="134" spans="1:8" ht="15.75" x14ac:dyDescent="0.25">
      <c r="A134" s="45" t="s">
        <v>243</v>
      </c>
      <c r="B134" s="462" t="s">
        <v>1226</v>
      </c>
      <c r="C134" s="469" t="s">
        <v>244</v>
      </c>
      <c r="D134" s="469"/>
      <c r="E134" s="469"/>
      <c r="F134" s="469"/>
      <c r="G134" s="10">
        <f t="shared" ref="G134:H137" si="17">G135</f>
        <v>420</v>
      </c>
      <c r="H134" s="10">
        <f t="shared" si="17"/>
        <v>450</v>
      </c>
    </row>
    <row r="135" spans="1:8" ht="15.75" x14ac:dyDescent="0.25">
      <c r="A135" s="45" t="s">
        <v>252</v>
      </c>
      <c r="B135" s="462" t="s">
        <v>1226</v>
      </c>
      <c r="C135" s="469" t="s">
        <v>244</v>
      </c>
      <c r="D135" s="469" t="s">
        <v>215</v>
      </c>
      <c r="E135" s="469"/>
      <c r="F135" s="469"/>
      <c r="G135" s="10">
        <f t="shared" si="17"/>
        <v>420</v>
      </c>
      <c r="H135" s="10">
        <f t="shared" si="17"/>
        <v>450</v>
      </c>
    </row>
    <row r="136" spans="1:8" ht="15.75" x14ac:dyDescent="0.25">
      <c r="A136" s="466" t="s">
        <v>1038</v>
      </c>
      <c r="B136" s="462" t="s">
        <v>1228</v>
      </c>
      <c r="C136" s="469" t="s">
        <v>244</v>
      </c>
      <c r="D136" s="469" t="s">
        <v>215</v>
      </c>
      <c r="E136" s="469"/>
      <c r="F136" s="469"/>
      <c r="G136" s="10">
        <f t="shared" si="17"/>
        <v>420</v>
      </c>
      <c r="H136" s="10">
        <f t="shared" si="17"/>
        <v>450</v>
      </c>
    </row>
    <row r="137" spans="1:8" ht="31.5" x14ac:dyDescent="0.25">
      <c r="A137" s="466" t="s">
        <v>248</v>
      </c>
      <c r="B137" s="462" t="s">
        <v>1228</v>
      </c>
      <c r="C137" s="469" t="s">
        <v>244</v>
      </c>
      <c r="D137" s="469" t="s">
        <v>215</v>
      </c>
      <c r="E137" s="469" t="s">
        <v>249</v>
      </c>
      <c r="F137" s="469"/>
      <c r="G137" s="10">
        <f t="shared" si="17"/>
        <v>420</v>
      </c>
      <c r="H137" s="10">
        <f t="shared" si="17"/>
        <v>450</v>
      </c>
    </row>
    <row r="138" spans="1:8" ht="31.5" x14ac:dyDescent="0.25">
      <c r="A138" s="466" t="s">
        <v>348</v>
      </c>
      <c r="B138" s="462" t="s">
        <v>1228</v>
      </c>
      <c r="C138" s="469" t="s">
        <v>244</v>
      </c>
      <c r="D138" s="469" t="s">
        <v>215</v>
      </c>
      <c r="E138" s="469" t="s">
        <v>349</v>
      </c>
      <c r="F138" s="469"/>
      <c r="G138" s="10">
        <f>'[1]Пр.5 ведом.21'!G456</f>
        <v>420</v>
      </c>
      <c r="H138" s="10">
        <f>'пр.6.1.ведом.22-23 (2)'!H467</f>
        <v>450</v>
      </c>
    </row>
    <row r="139" spans="1:8" ht="47.25" x14ac:dyDescent="0.25">
      <c r="A139" s="45" t="s">
        <v>261</v>
      </c>
      <c r="B139" s="462" t="s">
        <v>1228</v>
      </c>
      <c r="C139" s="469" t="s">
        <v>244</v>
      </c>
      <c r="D139" s="469" t="s">
        <v>215</v>
      </c>
      <c r="E139" s="469" t="s">
        <v>349</v>
      </c>
      <c r="F139" s="469" t="s">
        <v>627</v>
      </c>
      <c r="G139" s="10">
        <f>G138</f>
        <v>420</v>
      </c>
      <c r="H139" s="10">
        <f>H138</f>
        <v>450</v>
      </c>
    </row>
    <row r="140" spans="1:8" ht="47.25" x14ac:dyDescent="0.25">
      <c r="A140" s="58" t="s">
        <v>1369</v>
      </c>
      <c r="B140" s="7" t="s">
        <v>406</v>
      </c>
      <c r="C140" s="7"/>
      <c r="D140" s="7"/>
      <c r="E140" s="7"/>
      <c r="F140" s="7"/>
      <c r="G140" s="59">
        <f>G141+G158+G215+G248+G255+G284+G291+G298+G305+G312+G330+G323+G337</f>
        <v>324504.29999999993</v>
      </c>
      <c r="H140" s="59">
        <f>H141+H158+H215+H248+H255+H284+H291+H298+H305+H312+H330+H323+H337</f>
        <v>347534.15</v>
      </c>
    </row>
    <row r="141" spans="1:8" ht="47.25" x14ac:dyDescent="0.25">
      <c r="A141" s="464" t="s">
        <v>937</v>
      </c>
      <c r="B141" s="465" t="s">
        <v>1235</v>
      </c>
      <c r="C141" s="7"/>
      <c r="D141" s="7"/>
      <c r="E141" s="7"/>
      <c r="F141" s="7"/>
      <c r="G141" s="59">
        <f>G142</f>
        <v>80542.700000000012</v>
      </c>
      <c r="H141" s="59">
        <f>H142</f>
        <v>80542.700000000012</v>
      </c>
    </row>
    <row r="142" spans="1:8" ht="15.75" x14ac:dyDescent="0.25">
      <c r="A142" s="29" t="s">
        <v>263</v>
      </c>
      <c r="B142" s="469" t="s">
        <v>1235</v>
      </c>
      <c r="C142" s="469" t="s">
        <v>264</v>
      </c>
      <c r="D142" s="469"/>
      <c r="E142" s="469"/>
      <c r="F142" s="469"/>
      <c r="G142" s="10">
        <f>G143+G148+G153</f>
        <v>80542.700000000012</v>
      </c>
      <c r="H142" s="10">
        <f>H143+H148+H153</f>
        <v>80542.700000000012</v>
      </c>
    </row>
    <row r="143" spans="1:8" ht="15.75" x14ac:dyDescent="0.25">
      <c r="A143" s="45" t="s">
        <v>404</v>
      </c>
      <c r="B143" s="469" t="s">
        <v>1235</v>
      </c>
      <c r="C143" s="469" t="s">
        <v>264</v>
      </c>
      <c r="D143" s="469" t="s">
        <v>118</v>
      </c>
      <c r="E143" s="469"/>
      <c r="F143" s="469"/>
      <c r="G143" s="10">
        <f>G144</f>
        <v>14795.6</v>
      </c>
      <c r="H143" s="10">
        <f>H144</f>
        <v>14795.6</v>
      </c>
    </row>
    <row r="144" spans="1:8" ht="47.25" x14ac:dyDescent="0.25">
      <c r="A144" s="466" t="s">
        <v>1234</v>
      </c>
      <c r="B144" s="462" t="s">
        <v>1236</v>
      </c>
      <c r="C144" s="469" t="s">
        <v>264</v>
      </c>
      <c r="D144" s="469" t="s">
        <v>118</v>
      </c>
      <c r="E144" s="469"/>
      <c r="F144" s="469"/>
      <c r="G144" s="10">
        <f t="shared" ref="G144:H145" si="18">G145</f>
        <v>14795.6</v>
      </c>
      <c r="H144" s="10">
        <f t="shared" si="18"/>
        <v>14795.6</v>
      </c>
    </row>
    <row r="145" spans="1:8" ht="47.25" x14ac:dyDescent="0.25">
      <c r="A145" s="466" t="s">
        <v>272</v>
      </c>
      <c r="B145" s="462" t="s">
        <v>1236</v>
      </c>
      <c r="C145" s="469" t="s">
        <v>264</v>
      </c>
      <c r="D145" s="469" t="s">
        <v>118</v>
      </c>
      <c r="E145" s="469" t="s">
        <v>273</v>
      </c>
      <c r="F145" s="469"/>
      <c r="G145" s="10">
        <f t="shared" si="18"/>
        <v>14795.6</v>
      </c>
      <c r="H145" s="10">
        <f t="shared" si="18"/>
        <v>14795.6</v>
      </c>
    </row>
    <row r="146" spans="1:8" ht="15.75" x14ac:dyDescent="0.25">
      <c r="A146" s="466" t="s">
        <v>274</v>
      </c>
      <c r="B146" s="462" t="s">
        <v>1236</v>
      </c>
      <c r="C146" s="469" t="s">
        <v>264</v>
      </c>
      <c r="D146" s="469" t="s">
        <v>118</v>
      </c>
      <c r="E146" s="469" t="s">
        <v>275</v>
      </c>
      <c r="F146" s="469"/>
      <c r="G146" s="459">
        <f>'пр.6.1.ведом.22-23 (2)'!G554</f>
        <v>14795.6</v>
      </c>
      <c r="H146" s="459">
        <f>'пр.6.1.ведом.22-23 (2)'!H554</f>
        <v>14795.6</v>
      </c>
    </row>
    <row r="147" spans="1:8" ht="31.5" x14ac:dyDescent="0.25">
      <c r="A147" s="29" t="s">
        <v>403</v>
      </c>
      <c r="B147" s="462" t="s">
        <v>1236</v>
      </c>
      <c r="C147" s="469" t="s">
        <v>264</v>
      </c>
      <c r="D147" s="469" t="s">
        <v>118</v>
      </c>
      <c r="E147" s="469" t="s">
        <v>275</v>
      </c>
      <c r="F147" s="469" t="s">
        <v>636</v>
      </c>
      <c r="G147" s="10">
        <f>G146</f>
        <v>14795.6</v>
      </c>
      <c r="H147" s="10">
        <f>H146</f>
        <v>14795.6</v>
      </c>
    </row>
    <row r="148" spans="1:8" ht="15.75" x14ac:dyDescent="0.25">
      <c r="A148" s="29" t="s">
        <v>425</v>
      </c>
      <c r="B148" s="469" t="s">
        <v>1235</v>
      </c>
      <c r="C148" s="469" t="s">
        <v>264</v>
      </c>
      <c r="D148" s="469" t="s">
        <v>213</v>
      </c>
      <c r="E148" s="469"/>
      <c r="F148" s="469"/>
      <c r="G148" s="10">
        <f>G149</f>
        <v>28690.799999999999</v>
      </c>
      <c r="H148" s="10">
        <f>H149</f>
        <v>28690.799999999999</v>
      </c>
    </row>
    <row r="149" spans="1:8" ht="47.25" x14ac:dyDescent="0.25">
      <c r="A149" s="466" t="s">
        <v>427</v>
      </c>
      <c r="B149" s="462" t="s">
        <v>1254</v>
      </c>
      <c r="C149" s="469" t="s">
        <v>264</v>
      </c>
      <c r="D149" s="469" t="s">
        <v>213</v>
      </c>
      <c r="E149" s="469"/>
      <c r="F149" s="469"/>
      <c r="G149" s="10">
        <f t="shared" ref="G149:H150" si="19">G150</f>
        <v>28690.799999999999</v>
      </c>
      <c r="H149" s="10">
        <f t="shared" si="19"/>
        <v>28690.799999999999</v>
      </c>
    </row>
    <row r="150" spans="1:8" ht="47.25" x14ac:dyDescent="0.25">
      <c r="A150" s="466" t="s">
        <v>272</v>
      </c>
      <c r="B150" s="462" t="s">
        <v>1254</v>
      </c>
      <c r="C150" s="469" t="s">
        <v>264</v>
      </c>
      <c r="D150" s="469" t="s">
        <v>213</v>
      </c>
      <c r="E150" s="469" t="s">
        <v>273</v>
      </c>
      <c r="F150" s="469"/>
      <c r="G150" s="10">
        <f t="shared" si="19"/>
        <v>28690.799999999999</v>
      </c>
      <c r="H150" s="10">
        <f t="shared" si="19"/>
        <v>28690.799999999999</v>
      </c>
    </row>
    <row r="151" spans="1:8" ht="15.75" x14ac:dyDescent="0.25">
      <c r="A151" s="466" t="s">
        <v>274</v>
      </c>
      <c r="B151" s="462" t="s">
        <v>1254</v>
      </c>
      <c r="C151" s="469" t="s">
        <v>264</v>
      </c>
      <c r="D151" s="469" t="s">
        <v>213</v>
      </c>
      <c r="E151" s="469" t="s">
        <v>275</v>
      </c>
      <c r="F151" s="469"/>
      <c r="G151" s="459">
        <f>'пр.6.1.ведом.22-23 (2)'!G614</f>
        <v>28690.799999999999</v>
      </c>
      <c r="H151" s="459">
        <f>'пр.6.1.ведом.22-23 (2)'!H614</f>
        <v>28690.799999999999</v>
      </c>
    </row>
    <row r="152" spans="1:8" ht="31.5" x14ac:dyDescent="0.25">
      <c r="A152" s="29" t="s">
        <v>403</v>
      </c>
      <c r="B152" s="462" t="s">
        <v>1254</v>
      </c>
      <c r="C152" s="469" t="s">
        <v>264</v>
      </c>
      <c r="D152" s="469" t="s">
        <v>213</v>
      </c>
      <c r="E152" s="469" t="s">
        <v>275</v>
      </c>
      <c r="F152" s="469" t="s">
        <v>636</v>
      </c>
      <c r="G152" s="10">
        <f>G151</f>
        <v>28690.799999999999</v>
      </c>
      <c r="H152" s="10">
        <f>H151</f>
        <v>28690.799999999999</v>
      </c>
    </row>
    <row r="153" spans="1:8" ht="15.75" x14ac:dyDescent="0.25">
      <c r="A153" s="29" t="s">
        <v>265</v>
      </c>
      <c r="B153" s="469" t="s">
        <v>1235</v>
      </c>
      <c r="C153" s="469" t="s">
        <v>264</v>
      </c>
      <c r="D153" s="469" t="s">
        <v>215</v>
      </c>
      <c r="E153" s="469"/>
      <c r="F153" s="469"/>
      <c r="G153" s="459">
        <f t="shared" ref="G153:H155" si="20">G154</f>
        <v>37056.300000000003</v>
      </c>
      <c r="H153" s="459">
        <f t="shared" si="20"/>
        <v>37056.300000000003</v>
      </c>
    </row>
    <row r="154" spans="1:8" ht="47.25" x14ac:dyDescent="0.25">
      <c r="A154" s="29" t="s">
        <v>270</v>
      </c>
      <c r="B154" s="462" t="s">
        <v>1265</v>
      </c>
      <c r="C154" s="469" t="s">
        <v>264</v>
      </c>
      <c r="D154" s="469" t="s">
        <v>215</v>
      </c>
      <c r="E154" s="7"/>
      <c r="F154" s="7"/>
      <c r="G154" s="10">
        <f t="shared" si="20"/>
        <v>37056.300000000003</v>
      </c>
      <c r="H154" s="10">
        <f t="shared" si="20"/>
        <v>37056.300000000003</v>
      </c>
    </row>
    <row r="155" spans="1:8" ht="47.25" x14ac:dyDescent="0.25">
      <c r="A155" s="29" t="s">
        <v>272</v>
      </c>
      <c r="B155" s="462" t="s">
        <v>1265</v>
      </c>
      <c r="C155" s="469" t="s">
        <v>264</v>
      </c>
      <c r="D155" s="469" t="s">
        <v>215</v>
      </c>
      <c r="E155" s="469" t="s">
        <v>273</v>
      </c>
      <c r="F155" s="469"/>
      <c r="G155" s="10">
        <f t="shared" si="20"/>
        <v>37056.300000000003</v>
      </c>
      <c r="H155" s="10">
        <f t="shared" si="20"/>
        <v>37056.300000000003</v>
      </c>
    </row>
    <row r="156" spans="1:8" ht="15.75" x14ac:dyDescent="0.25">
      <c r="A156" s="29" t="s">
        <v>274</v>
      </c>
      <c r="B156" s="462" t="s">
        <v>1265</v>
      </c>
      <c r="C156" s="469" t="s">
        <v>264</v>
      </c>
      <c r="D156" s="469" t="s">
        <v>215</v>
      </c>
      <c r="E156" s="469" t="s">
        <v>275</v>
      </c>
      <c r="F156" s="469"/>
      <c r="G156" s="459">
        <f>'пр.6.1.ведом.22-23 (2)'!G696</f>
        <v>37056.300000000003</v>
      </c>
      <c r="H156" s="459">
        <f>'пр.6.1.ведом.22-23 (2)'!H696</f>
        <v>37056.300000000003</v>
      </c>
    </row>
    <row r="157" spans="1:8" ht="31.5" x14ac:dyDescent="0.25">
      <c r="A157" s="29" t="s">
        <v>403</v>
      </c>
      <c r="B157" s="462" t="s">
        <v>1265</v>
      </c>
      <c r="C157" s="469" t="s">
        <v>264</v>
      </c>
      <c r="D157" s="469" t="s">
        <v>215</v>
      </c>
      <c r="E157" s="469" t="s">
        <v>275</v>
      </c>
      <c r="F157" s="469" t="s">
        <v>636</v>
      </c>
      <c r="G157" s="10">
        <f>G156</f>
        <v>37056.300000000003</v>
      </c>
      <c r="H157" s="10">
        <f>H156</f>
        <v>37056.300000000003</v>
      </c>
    </row>
    <row r="158" spans="1:8" ht="47.25" x14ac:dyDescent="0.25">
      <c r="A158" s="464" t="s">
        <v>900</v>
      </c>
      <c r="B158" s="465" t="s">
        <v>1237</v>
      </c>
      <c r="C158" s="7"/>
      <c r="D158" s="7"/>
      <c r="E158" s="7"/>
      <c r="F158" s="7"/>
      <c r="G158" s="458">
        <f>G159</f>
        <v>209060.9</v>
      </c>
      <c r="H158" s="458">
        <f>H159</f>
        <v>232587.40000000002</v>
      </c>
    </row>
    <row r="159" spans="1:8" ht="15.75" x14ac:dyDescent="0.25">
      <c r="A159" s="29" t="s">
        <v>263</v>
      </c>
      <c r="B159" s="469" t="s">
        <v>1237</v>
      </c>
      <c r="C159" s="469" t="s">
        <v>264</v>
      </c>
      <c r="D159" s="469"/>
      <c r="E159" s="469"/>
      <c r="F159" s="469"/>
      <c r="G159" s="10">
        <f>G160+G177+G202</f>
        <v>209060.9</v>
      </c>
      <c r="H159" s="10">
        <f>H160+H177+H202</f>
        <v>232587.40000000002</v>
      </c>
    </row>
    <row r="160" spans="1:8" ht="15.75" x14ac:dyDescent="0.25">
      <c r="A160" s="45" t="s">
        <v>404</v>
      </c>
      <c r="B160" s="469" t="s">
        <v>1237</v>
      </c>
      <c r="C160" s="469" t="s">
        <v>264</v>
      </c>
      <c r="D160" s="469" t="s">
        <v>118</v>
      </c>
      <c r="E160" s="469"/>
      <c r="F160" s="469"/>
      <c r="G160" s="10">
        <f>G165+G169+G173+G161</f>
        <v>75561.5</v>
      </c>
      <c r="H160" s="10">
        <f>H165+H169+H173+H161</f>
        <v>79924.100000000006</v>
      </c>
    </row>
    <row r="161" spans="1:8" ht="110.25" x14ac:dyDescent="0.25">
      <c r="A161" s="31" t="s">
        <v>293</v>
      </c>
      <c r="B161" s="462" t="s">
        <v>1401</v>
      </c>
      <c r="C161" s="469" t="s">
        <v>264</v>
      </c>
      <c r="D161" s="469" t="s">
        <v>118</v>
      </c>
      <c r="E161" s="469"/>
      <c r="F161" s="469"/>
      <c r="G161" s="459">
        <f>G162</f>
        <v>3230</v>
      </c>
      <c r="H161" s="459">
        <f>H162</f>
        <v>3230</v>
      </c>
    </row>
    <row r="162" spans="1:8" ht="47.25" x14ac:dyDescent="0.25">
      <c r="A162" s="466" t="s">
        <v>272</v>
      </c>
      <c r="B162" s="462" t="s">
        <v>1401</v>
      </c>
      <c r="C162" s="469" t="s">
        <v>264</v>
      </c>
      <c r="D162" s="469" t="s">
        <v>118</v>
      </c>
      <c r="E162" s="469" t="s">
        <v>273</v>
      </c>
      <c r="F162" s="469"/>
      <c r="G162" s="459">
        <f>G163</f>
        <v>3230</v>
      </c>
      <c r="H162" s="459">
        <f>H163</f>
        <v>3230</v>
      </c>
    </row>
    <row r="163" spans="1:8" ht="15.75" x14ac:dyDescent="0.25">
      <c r="A163" s="466" t="s">
        <v>274</v>
      </c>
      <c r="B163" s="462" t="s">
        <v>1401</v>
      </c>
      <c r="C163" s="469" t="s">
        <v>264</v>
      </c>
      <c r="D163" s="469" t="s">
        <v>118</v>
      </c>
      <c r="E163" s="469" t="s">
        <v>275</v>
      </c>
      <c r="F163" s="469"/>
      <c r="G163" s="459">
        <f>'пр.6.1.ведом.22-23 (2)'!G558</f>
        <v>3230</v>
      </c>
      <c r="H163" s="459">
        <f>'пр.6.1.ведом.22-23 (2)'!H558</f>
        <v>3230</v>
      </c>
    </row>
    <row r="164" spans="1:8" ht="31.5" x14ac:dyDescent="0.25">
      <c r="A164" s="29" t="s">
        <v>403</v>
      </c>
      <c r="B164" s="462" t="s">
        <v>1401</v>
      </c>
      <c r="C164" s="469" t="s">
        <v>264</v>
      </c>
      <c r="D164" s="469" t="s">
        <v>118</v>
      </c>
      <c r="E164" s="469" t="s">
        <v>275</v>
      </c>
      <c r="F164" s="469" t="s">
        <v>636</v>
      </c>
      <c r="G164" s="10">
        <f>G163</f>
        <v>3230</v>
      </c>
      <c r="H164" s="10">
        <f>H163</f>
        <v>3230</v>
      </c>
    </row>
    <row r="165" spans="1:8" ht="78.75" x14ac:dyDescent="0.25">
      <c r="A165" s="31" t="s">
        <v>289</v>
      </c>
      <c r="B165" s="462" t="s">
        <v>1238</v>
      </c>
      <c r="C165" s="469" t="s">
        <v>264</v>
      </c>
      <c r="D165" s="469" t="s">
        <v>118</v>
      </c>
      <c r="E165" s="469"/>
      <c r="F165" s="469"/>
      <c r="G165" s="459">
        <f>G166</f>
        <v>589</v>
      </c>
      <c r="H165" s="459">
        <f>H166</f>
        <v>589</v>
      </c>
    </row>
    <row r="166" spans="1:8" ht="47.25" x14ac:dyDescent="0.25">
      <c r="A166" s="466" t="s">
        <v>272</v>
      </c>
      <c r="B166" s="462" t="s">
        <v>1238</v>
      </c>
      <c r="C166" s="469" t="s">
        <v>264</v>
      </c>
      <c r="D166" s="469" t="s">
        <v>118</v>
      </c>
      <c r="E166" s="469" t="s">
        <v>273</v>
      </c>
      <c r="F166" s="469"/>
      <c r="G166" s="459">
        <f>G167</f>
        <v>589</v>
      </c>
      <c r="H166" s="459">
        <f>H167</f>
        <v>589</v>
      </c>
    </row>
    <row r="167" spans="1:8" ht="15.75" x14ac:dyDescent="0.25">
      <c r="A167" s="466" t="s">
        <v>274</v>
      </c>
      <c r="B167" s="462" t="s">
        <v>1238</v>
      </c>
      <c r="C167" s="469" t="s">
        <v>264</v>
      </c>
      <c r="D167" s="469" t="s">
        <v>118</v>
      </c>
      <c r="E167" s="469" t="s">
        <v>275</v>
      </c>
      <c r="F167" s="469"/>
      <c r="G167" s="459">
        <f>'пр.6.1.ведом.22-23 (2)'!G561</f>
        <v>589</v>
      </c>
      <c r="H167" s="459">
        <f>'пр.6.1.ведом.22-23 (2)'!H561</f>
        <v>589</v>
      </c>
    </row>
    <row r="168" spans="1:8" ht="31.5" x14ac:dyDescent="0.25">
      <c r="A168" s="29" t="s">
        <v>403</v>
      </c>
      <c r="B168" s="462" t="s">
        <v>1238</v>
      </c>
      <c r="C168" s="469" t="s">
        <v>264</v>
      </c>
      <c r="D168" s="469" t="s">
        <v>118</v>
      </c>
      <c r="E168" s="469" t="s">
        <v>275</v>
      </c>
      <c r="F168" s="469" t="s">
        <v>636</v>
      </c>
      <c r="G168" s="10">
        <f>G167</f>
        <v>589</v>
      </c>
      <c r="H168" s="10">
        <f>H167</f>
        <v>589</v>
      </c>
    </row>
    <row r="169" spans="1:8" ht="94.5" x14ac:dyDescent="0.25">
      <c r="A169" s="31" t="s">
        <v>291</v>
      </c>
      <c r="B169" s="462" t="s">
        <v>1239</v>
      </c>
      <c r="C169" s="469" t="s">
        <v>264</v>
      </c>
      <c r="D169" s="469" t="s">
        <v>118</v>
      </c>
      <c r="E169" s="469"/>
      <c r="F169" s="469"/>
      <c r="G169" s="459">
        <f>G170</f>
        <v>1629.3</v>
      </c>
      <c r="H169" s="459">
        <f>H170</f>
        <v>1629.3</v>
      </c>
    </row>
    <row r="170" spans="1:8" ht="47.25" x14ac:dyDescent="0.25">
      <c r="A170" s="466" t="s">
        <v>272</v>
      </c>
      <c r="B170" s="462" t="s">
        <v>1239</v>
      </c>
      <c r="C170" s="469" t="s">
        <v>264</v>
      </c>
      <c r="D170" s="469" t="s">
        <v>118</v>
      </c>
      <c r="E170" s="469" t="s">
        <v>273</v>
      </c>
      <c r="F170" s="469"/>
      <c r="G170" s="459">
        <f>G171</f>
        <v>1629.3</v>
      </c>
      <c r="H170" s="459">
        <f>H171</f>
        <v>1629.3</v>
      </c>
    </row>
    <row r="171" spans="1:8" ht="15.75" x14ac:dyDescent="0.25">
      <c r="A171" s="466" t="s">
        <v>274</v>
      </c>
      <c r="B171" s="462" t="s">
        <v>1239</v>
      </c>
      <c r="C171" s="469" t="s">
        <v>264</v>
      </c>
      <c r="D171" s="469" t="s">
        <v>118</v>
      </c>
      <c r="E171" s="469" t="s">
        <v>275</v>
      </c>
      <c r="F171" s="469"/>
      <c r="G171" s="459">
        <f>'пр.6.1.ведом.22-23 (2)'!G564</f>
        <v>1629.3</v>
      </c>
      <c r="H171" s="459">
        <f>'пр.6.1.ведом.22-23 (2)'!H564</f>
        <v>1629.3</v>
      </c>
    </row>
    <row r="172" spans="1:8" ht="31.5" x14ac:dyDescent="0.25">
      <c r="A172" s="29" t="s">
        <v>403</v>
      </c>
      <c r="B172" s="462" t="s">
        <v>1239</v>
      </c>
      <c r="C172" s="469" t="s">
        <v>264</v>
      </c>
      <c r="D172" s="469" t="s">
        <v>118</v>
      </c>
      <c r="E172" s="469" t="s">
        <v>275</v>
      </c>
      <c r="F172" s="469" t="s">
        <v>636</v>
      </c>
      <c r="G172" s="10">
        <f>G171</f>
        <v>1629.3</v>
      </c>
      <c r="H172" s="10">
        <f>H171</f>
        <v>1629.3</v>
      </c>
    </row>
    <row r="173" spans="1:8" ht="91.5" customHeight="1" x14ac:dyDescent="0.25">
      <c r="A173" s="31" t="s">
        <v>1188</v>
      </c>
      <c r="B173" s="462" t="s">
        <v>1240</v>
      </c>
      <c r="C173" s="469" t="s">
        <v>264</v>
      </c>
      <c r="D173" s="469" t="s">
        <v>118</v>
      </c>
      <c r="E173" s="469"/>
      <c r="F173" s="469"/>
      <c r="G173" s="459">
        <f>G174</f>
        <v>70113.2</v>
      </c>
      <c r="H173" s="459">
        <f>H174</f>
        <v>74475.8</v>
      </c>
    </row>
    <row r="174" spans="1:8" ht="47.25" x14ac:dyDescent="0.25">
      <c r="A174" s="466" t="s">
        <v>272</v>
      </c>
      <c r="B174" s="462" t="s">
        <v>1240</v>
      </c>
      <c r="C174" s="469" t="s">
        <v>264</v>
      </c>
      <c r="D174" s="469" t="s">
        <v>118</v>
      </c>
      <c r="E174" s="469" t="s">
        <v>273</v>
      </c>
      <c r="F174" s="469"/>
      <c r="G174" s="459">
        <f>G175</f>
        <v>70113.2</v>
      </c>
      <c r="H174" s="459">
        <f>H175</f>
        <v>74475.8</v>
      </c>
    </row>
    <row r="175" spans="1:8" ht="15.75" x14ac:dyDescent="0.25">
      <c r="A175" s="466" t="s">
        <v>274</v>
      </c>
      <c r="B175" s="462" t="s">
        <v>1240</v>
      </c>
      <c r="C175" s="469" t="s">
        <v>264</v>
      </c>
      <c r="D175" s="469" t="s">
        <v>118</v>
      </c>
      <c r="E175" s="469" t="s">
        <v>275</v>
      </c>
      <c r="F175" s="469"/>
      <c r="G175" s="459">
        <f>'пр.6.1.ведом.22-23 (2)'!G567</f>
        <v>70113.2</v>
      </c>
      <c r="H175" s="459">
        <f>'пр.6.1.ведом.22-23 (2)'!H567</f>
        <v>74475.8</v>
      </c>
    </row>
    <row r="176" spans="1:8" ht="31.5" x14ac:dyDescent="0.25">
      <c r="A176" s="29" t="s">
        <v>403</v>
      </c>
      <c r="B176" s="462" t="s">
        <v>1240</v>
      </c>
      <c r="C176" s="469" t="s">
        <v>264</v>
      </c>
      <c r="D176" s="469" t="s">
        <v>118</v>
      </c>
      <c r="E176" s="469" t="s">
        <v>275</v>
      </c>
      <c r="F176" s="469" t="s">
        <v>636</v>
      </c>
      <c r="G176" s="10">
        <f>G175</f>
        <v>70113.2</v>
      </c>
      <c r="H176" s="10">
        <f>H175</f>
        <v>74475.8</v>
      </c>
    </row>
    <row r="177" spans="1:8" ht="15.75" x14ac:dyDescent="0.25">
      <c r="A177" s="29" t="s">
        <v>425</v>
      </c>
      <c r="B177" s="469" t="s">
        <v>1237</v>
      </c>
      <c r="C177" s="469" t="s">
        <v>264</v>
      </c>
      <c r="D177" s="469" t="s">
        <v>213</v>
      </c>
      <c r="E177" s="469"/>
      <c r="F177" s="469"/>
      <c r="G177" s="10">
        <f>G186+G190+G194+G198+G182+G178</f>
        <v>131370.9</v>
      </c>
      <c r="H177" s="10">
        <f>H186+H190+H194+H198+H182+H178</f>
        <v>150534.80000000002</v>
      </c>
    </row>
    <row r="178" spans="1:8" ht="78.75" x14ac:dyDescent="0.25">
      <c r="A178" s="466" t="s">
        <v>1403</v>
      </c>
      <c r="B178" s="462" t="s">
        <v>1404</v>
      </c>
      <c r="C178" s="469" t="s">
        <v>264</v>
      </c>
      <c r="D178" s="469" t="s">
        <v>213</v>
      </c>
      <c r="E178" s="469"/>
      <c r="F178" s="469"/>
      <c r="G178" s="10">
        <f>G179</f>
        <v>7226.1</v>
      </c>
      <c r="H178" s="10">
        <f>H179</f>
        <v>7226.1</v>
      </c>
    </row>
    <row r="179" spans="1:8" ht="47.25" x14ac:dyDescent="0.25">
      <c r="A179" s="466" t="s">
        <v>272</v>
      </c>
      <c r="B179" s="462" t="s">
        <v>1404</v>
      </c>
      <c r="C179" s="469" t="s">
        <v>264</v>
      </c>
      <c r="D179" s="469" t="s">
        <v>213</v>
      </c>
      <c r="E179" s="469" t="s">
        <v>273</v>
      </c>
      <c r="F179" s="469"/>
      <c r="G179" s="10">
        <f>G180</f>
        <v>7226.1</v>
      </c>
      <c r="H179" s="10">
        <f>H180</f>
        <v>7226.1</v>
      </c>
    </row>
    <row r="180" spans="1:8" ht="15.75" x14ac:dyDescent="0.25">
      <c r="A180" s="466" t="s">
        <v>274</v>
      </c>
      <c r="B180" s="462" t="s">
        <v>1404</v>
      </c>
      <c r="C180" s="469" t="s">
        <v>264</v>
      </c>
      <c r="D180" s="469" t="s">
        <v>213</v>
      </c>
      <c r="E180" s="469" t="s">
        <v>275</v>
      </c>
      <c r="F180" s="469"/>
      <c r="G180" s="10">
        <f>'пр.6.1.ведом.22-23 (2)'!G618</f>
        <v>7226.1</v>
      </c>
      <c r="H180" s="10">
        <f>'пр.6.1.ведом.22-23 (2)'!H618</f>
        <v>7226.1</v>
      </c>
    </row>
    <row r="181" spans="1:8" ht="31.5" x14ac:dyDescent="0.25">
      <c r="A181" s="45" t="s">
        <v>403</v>
      </c>
      <c r="B181" s="462" t="s">
        <v>1404</v>
      </c>
      <c r="C181" s="469" t="s">
        <v>264</v>
      </c>
      <c r="D181" s="469" t="s">
        <v>213</v>
      </c>
      <c r="E181" s="469" t="s">
        <v>275</v>
      </c>
      <c r="F181" s="469" t="s">
        <v>636</v>
      </c>
      <c r="G181" s="10">
        <f>G178</f>
        <v>7226.1</v>
      </c>
      <c r="H181" s="10">
        <f>H178</f>
        <v>7226.1</v>
      </c>
    </row>
    <row r="182" spans="1:8" ht="110.25" x14ac:dyDescent="0.25">
      <c r="A182" s="31" t="s">
        <v>464</v>
      </c>
      <c r="B182" s="462" t="s">
        <v>1401</v>
      </c>
      <c r="C182" s="469" t="s">
        <v>264</v>
      </c>
      <c r="D182" s="469" t="s">
        <v>213</v>
      </c>
      <c r="E182" s="469"/>
      <c r="F182" s="469"/>
      <c r="G182" s="459">
        <f>G183</f>
        <v>4610</v>
      </c>
      <c r="H182" s="459">
        <f>H183</f>
        <v>4610</v>
      </c>
    </row>
    <row r="183" spans="1:8" ht="47.25" x14ac:dyDescent="0.25">
      <c r="A183" s="466" t="s">
        <v>272</v>
      </c>
      <c r="B183" s="462" t="s">
        <v>1401</v>
      </c>
      <c r="C183" s="469" t="s">
        <v>264</v>
      </c>
      <c r="D183" s="469" t="s">
        <v>213</v>
      </c>
      <c r="E183" s="469" t="s">
        <v>273</v>
      </c>
      <c r="F183" s="469"/>
      <c r="G183" s="459">
        <f>G184</f>
        <v>4610</v>
      </c>
      <c r="H183" s="459">
        <f>H184</f>
        <v>4610</v>
      </c>
    </row>
    <row r="184" spans="1:8" ht="15.75" x14ac:dyDescent="0.25">
      <c r="A184" s="466" t="s">
        <v>274</v>
      </c>
      <c r="B184" s="462" t="s">
        <v>1401</v>
      </c>
      <c r="C184" s="469" t="s">
        <v>264</v>
      </c>
      <c r="D184" s="469" t="s">
        <v>213</v>
      </c>
      <c r="E184" s="469" t="s">
        <v>275</v>
      </c>
      <c r="F184" s="469"/>
      <c r="G184" s="459">
        <f>'пр.6.1.ведом.22-23 (2)'!G621</f>
        <v>4610</v>
      </c>
      <c r="H184" s="459">
        <f>'пр.6.1.ведом.22-23 (2)'!H621</f>
        <v>4610</v>
      </c>
    </row>
    <row r="185" spans="1:8" ht="31.5" x14ac:dyDescent="0.25">
      <c r="A185" s="29" t="s">
        <v>403</v>
      </c>
      <c r="B185" s="462" t="s">
        <v>1401</v>
      </c>
      <c r="C185" s="469" t="s">
        <v>264</v>
      </c>
      <c r="D185" s="469" t="s">
        <v>213</v>
      </c>
      <c r="E185" s="469" t="s">
        <v>275</v>
      </c>
      <c r="F185" s="469" t="s">
        <v>636</v>
      </c>
      <c r="G185" s="10">
        <f>G184</f>
        <v>4610</v>
      </c>
      <c r="H185" s="10">
        <f>H184</f>
        <v>4610</v>
      </c>
    </row>
    <row r="186" spans="1:8" ht="94.5" x14ac:dyDescent="0.25">
      <c r="A186" s="31" t="s">
        <v>1189</v>
      </c>
      <c r="B186" s="462" t="s">
        <v>1255</v>
      </c>
      <c r="C186" s="469" t="s">
        <v>264</v>
      </c>
      <c r="D186" s="469" t="s">
        <v>213</v>
      </c>
      <c r="E186" s="469"/>
      <c r="F186" s="469"/>
      <c r="G186" s="459">
        <f>G187</f>
        <v>115047.8</v>
      </c>
      <c r="H186" s="459">
        <f>H187</f>
        <v>134211.70000000001</v>
      </c>
    </row>
    <row r="187" spans="1:8" ht="47.25" x14ac:dyDescent="0.25">
      <c r="A187" s="466" t="s">
        <v>272</v>
      </c>
      <c r="B187" s="462" t="s">
        <v>1255</v>
      </c>
      <c r="C187" s="469" t="s">
        <v>264</v>
      </c>
      <c r="D187" s="469" t="s">
        <v>213</v>
      </c>
      <c r="E187" s="469" t="s">
        <v>273</v>
      </c>
      <c r="F187" s="469"/>
      <c r="G187" s="459">
        <f>G188</f>
        <v>115047.8</v>
      </c>
      <c r="H187" s="459">
        <f>H188</f>
        <v>134211.70000000001</v>
      </c>
    </row>
    <row r="188" spans="1:8" ht="15.75" x14ac:dyDescent="0.25">
      <c r="A188" s="466" t="s">
        <v>274</v>
      </c>
      <c r="B188" s="462" t="s">
        <v>1255</v>
      </c>
      <c r="C188" s="469" t="s">
        <v>264</v>
      </c>
      <c r="D188" s="469" t="s">
        <v>213</v>
      </c>
      <c r="E188" s="469" t="s">
        <v>275</v>
      </c>
      <c r="F188" s="469"/>
      <c r="G188" s="459">
        <f>'пр.6.1.ведом.22-23 (2)'!G624</f>
        <v>115047.8</v>
      </c>
      <c r="H188" s="459">
        <f>'пр.6.1.ведом.22-23 (2)'!H624</f>
        <v>134211.70000000001</v>
      </c>
    </row>
    <row r="189" spans="1:8" ht="31.5" x14ac:dyDescent="0.25">
      <c r="A189" s="29" t="s">
        <v>403</v>
      </c>
      <c r="B189" s="462" t="s">
        <v>1255</v>
      </c>
      <c r="C189" s="469" t="s">
        <v>264</v>
      </c>
      <c r="D189" s="469" t="s">
        <v>213</v>
      </c>
      <c r="E189" s="469" t="s">
        <v>275</v>
      </c>
      <c r="F189" s="469" t="s">
        <v>636</v>
      </c>
      <c r="G189" s="10">
        <f>G188</f>
        <v>115047.8</v>
      </c>
      <c r="H189" s="10">
        <f>H188</f>
        <v>134211.70000000001</v>
      </c>
    </row>
    <row r="190" spans="1:8" ht="78.75" x14ac:dyDescent="0.25">
      <c r="A190" s="31" t="s">
        <v>289</v>
      </c>
      <c r="B190" s="462" t="s">
        <v>1238</v>
      </c>
      <c r="C190" s="469" t="s">
        <v>264</v>
      </c>
      <c r="D190" s="469" t="s">
        <v>213</v>
      </c>
      <c r="E190" s="469"/>
      <c r="F190" s="469"/>
      <c r="G190" s="459">
        <f>G191</f>
        <v>1311</v>
      </c>
      <c r="H190" s="459">
        <f>H191</f>
        <v>1311</v>
      </c>
    </row>
    <row r="191" spans="1:8" ht="47.25" x14ac:dyDescent="0.25">
      <c r="A191" s="466" t="s">
        <v>272</v>
      </c>
      <c r="B191" s="462" t="s">
        <v>1238</v>
      </c>
      <c r="C191" s="469" t="s">
        <v>264</v>
      </c>
      <c r="D191" s="469" t="s">
        <v>213</v>
      </c>
      <c r="E191" s="469" t="s">
        <v>273</v>
      </c>
      <c r="F191" s="469"/>
      <c r="G191" s="459">
        <f>G192</f>
        <v>1311</v>
      </c>
      <c r="H191" s="459">
        <f>H192</f>
        <v>1311</v>
      </c>
    </row>
    <row r="192" spans="1:8" ht="15.75" x14ac:dyDescent="0.25">
      <c r="A192" s="466" t="s">
        <v>274</v>
      </c>
      <c r="B192" s="462" t="s">
        <v>1238</v>
      </c>
      <c r="C192" s="469" t="s">
        <v>264</v>
      </c>
      <c r="D192" s="469" t="s">
        <v>213</v>
      </c>
      <c r="E192" s="469" t="s">
        <v>275</v>
      </c>
      <c r="F192" s="469"/>
      <c r="G192" s="459">
        <f>'пр.6.1.ведом.22-23 (2)'!G627</f>
        <v>1311</v>
      </c>
      <c r="H192" s="459">
        <f>'пр.6.1.ведом.22-23 (2)'!H627</f>
        <v>1311</v>
      </c>
    </row>
    <row r="193" spans="1:8" ht="31.5" x14ac:dyDescent="0.25">
      <c r="A193" s="29" t="s">
        <v>403</v>
      </c>
      <c r="B193" s="462" t="s">
        <v>1238</v>
      </c>
      <c r="C193" s="469" t="s">
        <v>264</v>
      </c>
      <c r="D193" s="469" t="s">
        <v>213</v>
      </c>
      <c r="E193" s="469" t="s">
        <v>275</v>
      </c>
      <c r="F193" s="469" t="s">
        <v>636</v>
      </c>
      <c r="G193" s="10">
        <f>G192</f>
        <v>1311</v>
      </c>
      <c r="H193" s="10">
        <f>H192</f>
        <v>1311</v>
      </c>
    </row>
    <row r="194" spans="1:8" ht="84.2" customHeight="1" x14ac:dyDescent="0.25">
      <c r="A194" s="31" t="s">
        <v>291</v>
      </c>
      <c r="B194" s="462" t="s">
        <v>1239</v>
      </c>
      <c r="C194" s="469" t="s">
        <v>264</v>
      </c>
      <c r="D194" s="469" t="s">
        <v>213</v>
      </c>
      <c r="E194" s="469"/>
      <c r="F194" s="469"/>
      <c r="G194" s="459">
        <f>G195</f>
        <v>2266.6999999999998</v>
      </c>
      <c r="H194" s="459">
        <f>H195</f>
        <v>2266.6999999999998</v>
      </c>
    </row>
    <row r="195" spans="1:8" ht="47.25" x14ac:dyDescent="0.25">
      <c r="A195" s="466" t="s">
        <v>272</v>
      </c>
      <c r="B195" s="462" t="s">
        <v>1239</v>
      </c>
      <c r="C195" s="469" t="s">
        <v>264</v>
      </c>
      <c r="D195" s="469" t="s">
        <v>213</v>
      </c>
      <c r="E195" s="469" t="s">
        <v>273</v>
      </c>
      <c r="F195" s="469"/>
      <c r="G195" s="459">
        <f>G196</f>
        <v>2266.6999999999998</v>
      </c>
      <c r="H195" s="459">
        <f>H196</f>
        <v>2266.6999999999998</v>
      </c>
    </row>
    <row r="196" spans="1:8" ht="15.75" x14ac:dyDescent="0.25">
      <c r="A196" s="466" t="s">
        <v>274</v>
      </c>
      <c r="B196" s="462" t="s">
        <v>1239</v>
      </c>
      <c r="C196" s="469" t="s">
        <v>264</v>
      </c>
      <c r="D196" s="469" t="s">
        <v>213</v>
      </c>
      <c r="E196" s="469" t="s">
        <v>275</v>
      </c>
      <c r="F196" s="469"/>
      <c r="G196" s="459">
        <f>'пр.6.1.ведом.22-23 (2)'!G630</f>
        <v>2266.6999999999998</v>
      </c>
      <c r="H196" s="459">
        <f>'пр.6.1.ведом.22-23 (2)'!H630</f>
        <v>2266.6999999999998</v>
      </c>
    </row>
    <row r="197" spans="1:8" ht="31.5" x14ac:dyDescent="0.25">
      <c r="A197" s="29" t="s">
        <v>403</v>
      </c>
      <c r="B197" s="462" t="s">
        <v>1239</v>
      </c>
      <c r="C197" s="469" t="s">
        <v>264</v>
      </c>
      <c r="D197" s="469" t="s">
        <v>213</v>
      </c>
      <c r="E197" s="469" t="s">
        <v>275</v>
      </c>
      <c r="F197" s="469" t="s">
        <v>636</v>
      </c>
      <c r="G197" s="10">
        <f>G196</f>
        <v>2266.6999999999998</v>
      </c>
      <c r="H197" s="10">
        <f>H196</f>
        <v>2266.6999999999998</v>
      </c>
    </row>
    <row r="198" spans="1:8" ht="47.25" x14ac:dyDescent="0.25">
      <c r="A198" s="31" t="s">
        <v>462</v>
      </c>
      <c r="B198" s="462" t="s">
        <v>1256</v>
      </c>
      <c r="C198" s="469" t="s">
        <v>264</v>
      </c>
      <c r="D198" s="469" t="s">
        <v>213</v>
      </c>
      <c r="E198" s="469"/>
      <c r="F198" s="469"/>
      <c r="G198" s="459">
        <f>G199</f>
        <v>909.3</v>
      </c>
      <c r="H198" s="459">
        <f>H199</f>
        <v>909.3</v>
      </c>
    </row>
    <row r="199" spans="1:8" ht="47.25" x14ac:dyDescent="0.25">
      <c r="A199" s="466" t="s">
        <v>272</v>
      </c>
      <c r="B199" s="462" t="s">
        <v>1256</v>
      </c>
      <c r="C199" s="469" t="s">
        <v>264</v>
      </c>
      <c r="D199" s="469" t="s">
        <v>213</v>
      </c>
      <c r="E199" s="469" t="s">
        <v>273</v>
      </c>
      <c r="F199" s="469"/>
      <c r="G199" s="459">
        <f>G200</f>
        <v>909.3</v>
      </c>
      <c r="H199" s="459">
        <f>H200</f>
        <v>909.3</v>
      </c>
    </row>
    <row r="200" spans="1:8" ht="15.75" x14ac:dyDescent="0.25">
      <c r="A200" s="466" t="s">
        <v>274</v>
      </c>
      <c r="B200" s="462" t="s">
        <v>1256</v>
      </c>
      <c r="C200" s="469" t="s">
        <v>264</v>
      </c>
      <c r="D200" s="469" t="s">
        <v>213</v>
      </c>
      <c r="E200" s="469" t="s">
        <v>275</v>
      </c>
      <c r="F200" s="469"/>
      <c r="G200" s="459">
        <f>'пр.6.1.ведом.22-23 (2)'!G633</f>
        <v>909.3</v>
      </c>
      <c r="H200" s="459">
        <f>'пр.6.1.ведом.22-23 (2)'!H633</f>
        <v>909.3</v>
      </c>
    </row>
    <row r="201" spans="1:8" ht="31.5" x14ac:dyDescent="0.25">
      <c r="A201" s="29" t="s">
        <v>403</v>
      </c>
      <c r="B201" s="462" t="s">
        <v>1256</v>
      </c>
      <c r="C201" s="469" t="s">
        <v>264</v>
      </c>
      <c r="D201" s="469" t="s">
        <v>213</v>
      </c>
      <c r="E201" s="469" t="s">
        <v>275</v>
      </c>
      <c r="F201" s="469" t="s">
        <v>636</v>
      </c>
      <c r="G201" s="10">
        <f>G200</f>
        <v>909.3</v>
      </c>
      <c r="H201" s="10">
        <f>H200</f>
        <v>909.3</v>
      </c>
    </row>
    <row r="202" spans="1:8" ht="15.75" x14ac:dyDescent="0.25">
      <c r="A202" s="29" t="s">
        <v>265</v>
      </c>
      <c r="B202" s="469" t="s">
        <v>1237</v>
      </c>
      <c r="C202" s="469" t="s">
        <v>264</v>
      </c>
      <c r="D202" s="469" t="s">
        <v>215</v>
      </c>
      <c r="E202" s="469"/>
      <c r="F202" s="469"/>
      <c r="G202" s="459">
        <f>G207+G211+G203</f>
        <v>2128.5</v>
      </c>
      <c r="H202" s="459">
        <f>H207+H211+H203</f>
        <v>2128.5</v>
      </c>
    </row>
    <row r="203" spans="1:8" ht="110.25" x14ac:dyDescent="0.25">
      <c r="A203" s="31" t="s">
        <v>293</v>
      </c>
      <c r="B203" s="462" t="s">
        <v>1401</v>
      </c>
      <c r="C203" s="469" t="s">
        <v>264</v>
      </c>
      <c r="D203" s="469" t="s">
        <v>215</v>
      </c>
      <c r="E203" s="469"/>
      <c r="F203" s="469"/>
      <c r="G203" s="459">
        <f>G204</f>
        <v>1400</v>
      </c>
      <c r="H203" s="459">
        <f>H204</f>
        <v>1400</v>
      </c>
    </row>
    <row r="204" spans="1:8" ht="47.25" x14ac:dyDescent="0.25">
      <c r="A204" s="466" t="s">
        <v>272</v>
      </c>
      <c r="B204" s="462" t="s">
        <v>1401</v>
      </c>
      <c r="C204" s="469" t="s">
        <v>264</v>
      </c>
      <c r="D204" s="469" t="s">
        <v>215</v>
      </c>
      <c r="E204" s="469" t="s">
        <v>273</v>
      </c>
      <c r="F204" s="469"/>
      <c r="G204" s="459">
        <f>G205</f>
        <v>1400</v>
      </c>
      <c r="H204" s="459">
        <f>H205</f>
        <v>1400</v>
      </c>
    </row>
    <row r="205" spans="1:8" ht="15.75" x14ac:dyDescent="0.25">
      <c r="A205" s="466" t="s">
        <v>274</v>
      </c>
      <c r="B205" s="462" t="s">
        <v>1401</v>
      </c>
      <c r="C205" s="469" t="s">
        <v>264</v>
      </c>
      <c r="D205" s="469" t="s">
        <v>215</v>
      </c>
      <c r="E205" s="469" t="s">
        <v>275</v>
      </c>
      <c r="F205" s="469"/>
      <c r="G205" s="459">
        <f>'пр.6.1.ведом.22-23 (2)'!G700</f>
        <v>1400</v>
      </c>
      <c r="H205" s="459">
        <f>'пр.6.1.ведом.22-23 (2)'!H700</f>
        <v>1400</v>
      </c>
    </row>
    <row r="206" spans="1:8" ht="31.5" x14ac:dyDescent="0.25">
      <c r="A206" s="29" t="s">
        <v>403</v>
      </c>
      <c r="B206" s="462" t="s">
        <v>1401</v>
      </c>
      <c r="C206" s="469" t="s">
        <v>264</v>
      </c>
      <c r="D206" s="469" t="s">
        <v>215</v>
      </c>
      <c r="E206" s="469" t="s">
        <v>275</v>
      </c>
      <c r="F206" s="469" t="s">
        <v>636</v>
      </c>
      <c r="G206" s="10">
        <f>G205</f>
        <v>1400</v>
      </c>
      <c r="H206" s="10">
        <f>H205</f>
        <v>1400</v>
      </c>
    </row>
    <row r="207" spans="1:8" ht="78.75" x14ac:dyDescent="0.25">
      <c r="A207" s="31" t="s">
        <v>289</v>
      </c>
      <c r="B207" s="462" t="s">
        <v>1238</v>
      </c>
      <c r="C207" s="469" t="s">
        <v>264</v>
      </c>
      <c r="D207" s="469" t="s">
        <v>215</v>
      </c>
      <c r="E207" s="469"/>
      <c r="F207" s="469"/>
      <c r="G207" s="459">
        <f>G208</f>
        <v>179</v>
      </c>
      <c r="H207" s="459">
        <f>H208</f>
        <v>179</v>
      </c>
    </row>
    <row r="208" spans="1:8" ht="47.25" x14ac:dyDescent="0.25">
      <c r="A208" s="466" t="s">
        <v>272</v>
      </c>
      <c r="B208" s="462" t="s">
        <v>1238</v>
      </c>
      <c r="C208" s="469" t="s">
        <v>264</v>
      </c>
      <c r="D208" s="469" t="s">
        <v>215</v>
      </c>
      <c r="E208" s="469" t="s">
        <v>273</v>
      </c>
      <c r="F208" s="469"/>
      <c r="G208" s="459">
        <f>G209</f>
        <v>179</v>
      </c>
      <c r="H208" s="459">
        <f>H209</f>
        <v>179</v>
      </c>
    </row>
    <row r="209" spans="1:8" ht="15.75" x14ac:dyDescent="0.25">
      <c r="A209" s="466" t="s">
        <v>274</v>
      </c>
      <c r="B209" s="462" t="s">
        <v>1238</v>
      </c>
      <c r="C209" s="469" t="s">
        <v>264</v>
      </c>
      <c r="D209" s="469" t="s">
        <v>215</v>
      </c>
      <c r="E209" s="469" t="s">
        <v>275</v>
      </c>
      <c r="F209" s="469"/>
      <c r="G209" s="459">
        <f>'пр.6.1.ведом.22-23 (2)'!G703</f>
        <v>179</v>
      </c>
      <c r="H209" s="459">
        <f>'пр.6.1.ведом.22-23 (2)'!H703</f>
        <v>179</v>
      </c>
    </row>
    <row r="210" spans="1:8" ht="31.5" x14ac:dyDescent="0.25">
      <c r="A210" s="29" t="s">
        <v>403</v>
      </c>
      <c r="B210" s="462" t="s">
        <v>1238</v>
      </c>
      <c r="C210" s="469" t="s">
        <v>264</v>
      </c>
      <c r="D210" s="469" t="s">
        <v>215</v>
      </c>
      <c r="E210" s="469" t="s">
        <v>275</v>
      </c>
      <c r="F210" s="469" t="s">
        <v>636</v>
      </c>
      <c r="G210" s="10">
        <f>G209</f>
        <v>179</v>
      </c>
      <c r="H210" s="10">
        <f>H209</f>
        <v>179</v>
      </c>
    </row>
    <row r="211" spans="1:8" ht="85.7" customHeight="1" x14ac:dyDescent="0.25">
      <c r="A211" s="31" t="s">
        <v>291</v>
      </c>
      <c r="B211" s="462" t="s">
        <v>1239</v>
      </c>
      <c r="C211" s="469" t="s">
        <v>264</v>
      </c>
      <c r="D211" s="469" t="s">
        <v>215</v>
      </c>
      <c r="E211" s="469"/>
      <c r="F211" s="469"/>
      <c r="G211" s="459">
        <f>G212</f>
        <v>549.5</v>
      </c>
      <c r="H211" s="459">
        <f>H212</f>
        <v>549.5</v>
      </c>
    </row>
    <row r="212" spans="1:8" ht="47.25" x14ac:dyDescent="0.25">
      <c r="A212" s="466" t="s">
        <v>272</v>
      </c>
      <c r="B212" s="462" t="s">
        <v>1239</v>
      </c>
      <c r="C212" s="469" t="s">
        <v>264</v>
      </c>
      <c r="D212" s="469" t="s">
        <v>215</v>
      </c>
      <c r="E212" s="469" t="s">
        <v>273</v>
      </c>
      <c r="F212" s="469"/>
      <c r="G212" s="459">
        <f>G213</f>
        <v>549.5</v>
      </c>
      <c r="H212" s="459">
        <f>H213</f>
        <v>549.5</v>
      </c>
    </row>
    <row r="213" spans="1:8" ht="15.75" x14ac:dyDescent="0.25">
      <c r="A213" s="466" t="s">
        <v>274</v>
      </c>
      <c r="B213" s="462" t="s">
        <v>1239</v>
      </c>
      <c r="C213" s="469" t="s">
        <v>264</v>
      </c>
      <c r="D213" s="469" t="s">
        <v>215</v>
      </c>
      <c r="E213" s="469" t="s">
        <v>275</v>
      </c>
      <c r="F213" s="469"/>
      <c r="G213" s="459">
        <f>'пр.6.1.ведом.22-23 (2)'!G706</f>
        <v>549.5</v>
      </c>
      <c r="H213" s="459">
        <f>'пр.6.1.ведом.22-23 (2)'!H706</f>
        <v>549.5</v>
      </c>
    </row>
    <row r="214" spans="1:8" ht="31.5" x14ac:dyDescent="0.25">
      <c r="A214" s="29" t="s">
        <v>403</v>
      </c>
      <c r="B214" s="462" t="s">
        <v>1239</v>
      </c>
      <c r="C214" s="469" t="s">
        <v>264</v>
      </c>
      <c r="D214" s="469" t="s">
        <v>215</v>
      </c>
      <c r="E214" s="469" t="s">
        <v>275</v>
      </c>
      <c r="F214" s="469" t="s">
        <v>636</v>
      </c>
      <c r="G214" s="10">
        <f>G213</f>
        <v>549.5</v>
      </c>
      <c r="H214" s="10">
        <f>H213</f>
        <v>549.5</v>
      </c>
    </row>
    <row r="215" spans="1:8" ht="31.5" x14ac:dyDescent="0.25">
      <c r="A215" s="464" t="s">
        <v>1297</v>
      </c>
      <c r="B215" s="465" t="s">
        <v>1242</v>
      </c>
      <c r="C215" s="7"/>
      <c r="D215" s="7"/>
      <c r="E215" s="7"/>
      <c r="F215" s="7"/>
      <c r="G215" s="59">
        <f>G216+G230</f>
        <v>4654</v>
      </c>
      <c r="H215" s="59">
        <f>H216+H230</f>
        <v>4654</v>
      </c>
    </row>
    <row r="216" spans="1:8" ht="15.75" x14ac:dyDescent="0.25">
      <c r="A216" s="29" t="s">
        <v>263</v>
      </c>
      <c r="B216" s="462" t="s">
        <v>1242</v>
      </c>
      <c r="C216" s="469" t="s">
        <v>264</v>
      </c>
      <c r="D216" s="469"/>
      <c r="E216" s="469"/>
      <c r="F216" s="469"/>
      <c r="G216" s="10">
        <f t="shared" ref="G216:H216" si="21">G217</f>
        <v>4430</v>
      </c>
      <c r="H216" s="10">
        <f t="shared" si="21"/>
        <v>4430</v>
      </c>
    </row>
    <row r="217" spans="1:8" ht="15.75" x14ac:dyDescent="0.25">
      <c r="A217" s="45" t="s">
        <v>404</v>
      </c>
      <c r="B217" s="462" t="s">
        <v>1242</v>
      </c>
      <c r="C217" s="469" t="s">
        <v>264</v>
      </c>
      <c r="D217" s="469" t="s">
        <v>118</v>
      </c>
      <c r="E217" s="469"/>
      <c r="F217" s="469"/>
      <c r="G217" s="10">
        <f>G218+G222+G226</f>
        <v>4430</v>
      </c>
      <c r="H217" s="10">
        <f>H218+H222+H226</f>
        <v>4430</v>
      </c>
    </row>
    <row r="218" spans="1:8" ht="47.25" hidden="1" x14ac:dyDescent="0.25">
      <c r="A218" s="29" t="s">
        <v>278</v>
      </c>
      <c r="B218" s="462" t="s">
        <v>1325</v>
      </c>
      <c r="C218" s="469" t="s">
        <v>264</v>
      </c>
      <c r="D218" s="469" t="s">
        <v>118</v>
      </c>
      <c r="E218" s="469"/>
      <c r="F218" s="469"/>
      <c r="G218" s="10">
        <f t="shared" ref="G218:H219" si="22">G219</f>
        <v>0</v>
      </c>
      <c r="H218" s="10">
        <f t="shared" si="22"/>
        <v>0</v>
      </c>
    </row>
    <row r="219" spans="1:8" ht="47.25" hidden="1" x14ac:dyDescent="0.25">
      <c r="A219" s="29" t="s">
        <v>272</v>
      </c>
      <c r="B219" s="462" t="s">
        <v>1325</v>
      </c>
      <c r="C219" s="469" t="s">
        <v>264</v>
      </c>
      <c r="D219" s="469" t="s">
        <v>118</v>
      </c>
      <c r="E219" s="469" t="s">
        <v>273</v>
      </c>
      <c r="F219" s="469"/>
      <c r="G219" s="10">
        <f t="shared" si="22"/>
        <v>0</v>
      </c>
      <c r="H219" s="10">
        <f t="shared" si="22"/>
        <v>0</v>
      </c>
    </row>
    <row r="220" spans="1:8" ht="15.75" hidden="1" x14ac:dyDescent="0.25">
      <c r="A220" s="29" t="s">
        <v>274</v>
      </c>
      <c r="B220" s="462" t="s">
        <v>1325</v>
      </c>
      <c r="C220" s="469" t="s">
        <v>264</v>
      </c>
      <c r="D220" s="469" t="s">
        <v>118</v>
      </c>
      <c r="E220" s="469" t="s">
        <v>275</v>
      </c>
      <c r="F220" s="469"/>
      <c r="G220" s="10">
        <f>'пр.6.1.ведом.22-23 (2)'!G571</f>
        <v>0</v>
      </c>
      <c r="H220" s="10">
        <f>'пр.6.1.ведом.22-23 (2)'!H571</f>
        <v>0</v>
      </c>
    </row>
    <row r="221" spans="1:8" ht="31.5" hidden="1" x14ac:dyDescent="0.25">
      <c r="A221" s="29" t="s">
        <v>403</v>
      </c>
      <c r="B221" s="462" t="s">
        <v>1325</v>
      </c>
      <c r="C221" s="469" t="s">
        <v>264</v>
      </c>
      <c r="D221" s="469" t="s">
        <v>118</v>
      </c>
      <c r="E221" s="469" t="s">
        <v>275</v>
      </c>
      <c r="F221" s="469" t="s">
        <v>636</v>
      </c>
      <c r="G221" s="10">
        <f>G220</f>
        <v>0</v>
      </c>
      <c r="H221" s="10">
        <f>H220</f>
        <v>0</v>
      </c>
    </row>
    <row r="222" spans="1:8" ht="31.5" hidden="1" x14ac:dyDescent="0.25">
      <c r="A222" s="29" t="s">
        <v>280</v>
      </c>
      <c r="B222" s="462" t="s">
        <v>1326</v>
      </c>
      <c r="C222" s="469" t="s">
        <v>264</v>
      </c>
      <c r="D222" s="469" t="s">
        <v>118</v>
      </c>
      <c r="E222" s="469"/>
      <c r="F222" s="469"/>
      <c r="G222" s="10">
        <f t="shared" ref="G222:H223" si="23">G223</f>
        <v>0</v>
      </c>
      <c r="H222" s="10">
        <f t="shared" si="23"/>
        <v>0</v>
      </c>
    </row>
    <row r="223" spans="1:8" ht="47.25" hidden="1" x14ac:dyDescent="0.25">
      <c r="A223" s="29" t="s">
        <v>272</v>
      </c>
      <c r="B223" s="462" t="s">
        <v>1326</v>
      </c>
      <c r="C223" s="469" t="s">
        <v>264</v>
      </c>
      <c r="D223" s="469" t="s">
        <v>118</v>
      </c>
      <c r="E223" s="469" t="s">
        <v>273</v>
      </c>
      <c r="F223" s="469"/>
      <c r="G223" s="10">
        <f t="shared" si="23"/>
        <v>0</v>
      </c>
      <c r="H223" s="10">
        <f t="shared" si="23"/>
        <v>0</v>
      </c>
    </row>
    <row r="224" spans="1:8" ht="15.75" hidden="1" x14ac:dyDescent="0.25">
      <c r="A224" s="29" t="s">
        <v>274</v>
      </c>
      <c r="B224" s="462" t="s">
        <v>1326</v>
      </c>
      <c r="C224" s="469" t="s">
        <v>264</v>
      </c>
      <c r="D224" s="469" t="s">
        <v>118</v>
      </c>
      <c r="E224" s="469" t="s">
        <v>275</v>
      </c>
      <c r="F224" s="469"/>
      <c r="G224" s="10">
        <f>'пр.6.1.ведом.22-23 (2)'!G574</f>
        <v>0</v>
      </c>
      <c r="H224" s="10">
        <f>'пр.6.1.ведом.22-23 (2)'!H574</f>
        <v>0</v>
      </c>
    </row>
    <row r="225" spans="1:8" ht="31.5" hidden="1" x14ac:dyDescent="0.25">
      <c r="A225" s="29" t="s">
        <v>403</v>
      </c>
      <c r="B225" s="462" t="s">
        <v>1326</v>
      </c>
      <c r="C225" s="469" t="s">
        <v>264</v>
      </c>
      <c r="D225" s="469" t="s">
        <v>118</v>
      </c>
      <c r="E225" s="469" t="s">
        <v>275</v>
      </c>
      <c r="F225" s="469" t="s">
        <v>636</v>
      </c>
      <c r="G225" s="10">
        <f>G224</f>
        <v>0</v>
      </c>
      <c r="H225" s="10">
        <f>H224</f>
        <v>0</v>
      </c>
    </row>
    <row r="226" spans="1:8" ht="47.25" x14ac:dyDescent="0.25">
      <c r="A226" s="29" t="s">
        <v>415</v>
      </c>
      <c r="B226" s="462" t="s">
        <v>1243</v>
      </c>
      <c r="C226" s="469" t="s">
        <v>264</v>
      </c>
      <c r="D226" s="469" t="s">
        <v>118</v>
      </c>
      <c r="E226" s="469"/>
      <c r="F226" s="469"/>
      <c r="G226" s="10">
        <f t="shared" ref="G226:H227" si="24">G227</f>
        <v>4430</v>
      </c>
      <c r="H226" s="10">
        <f t="shared" si="24"/>
        <v>4430</v>
      </c>
    </row>
    <row r="227" spans="1:8" ht="47.25" x14ac:dyDescent="0.25">
      <c r="A227" s="29" t="s">
        <v>272</v>
      </c>
      <c r="B227" s="462" t="s">
        <v>1243</v>
      </c>
      <c r="C227" s="469" t="s">
        <v>264</v>
      </c>
      <c r="D227" s="469" t="s">
        <v>118</v>
      </c>
      <c r="E227" s="469" t="s">
        <v>273</v>
      </c>
      <c r="F227" s="469"/>
      <c r="G227" s="10">
        <f t="shared" si="24"/>
        <v>4430</v>
      </c>
      <c r="H227" s="10">
        <f t="shared" si="24"/>
        <v>4430</v>
      </c>
    </row>
    <row r="228" spans="1:8" ht="15.75" x14ac:dyDescent="0.25">
      <c r="A228" s="29" t="s">
        <v>274</v>
      </c>
      <c r="B228" s="462" t="s">
        <v>1243</v>
      </c>
      <c r="C228" s="469" t="s">
        <v>264</v>
      </c>
      <c r="D228" s="469" t="s">
        <v>118</v>
      </c>
      <c r="E228" s="469" t="s">
        <v>275</v>
      </c>
      <c r="F228" s="469"/>
      <c r="G228" s="459">
        <f>'пр.6.1.ведом.22-23 (2)'!G577</f>
        <v>4430</v>
      </c>
      <c r="H228" s="459">
        <f>'пр.6.1.ведом.22-23 (2)'!H577</f>
        <v>4430</v>
      </c>
    </row>
    <row r="229" spans="1:8" ht="31.5" x14ac:dyDescent="0.25">
      <c r="A229" s="29" t="s">
        <v>403</v>
      </c>
      <c r="B229" s="462" t="s">
        <v>1243</v>
      </c>
      <c r="C229" s="469" t="s">
        <v>264</v>
      </c>
      <c r="D229" s="469" t="s">
        <v>118</v>
      </c>
      <c r="E229" s="469" t="s">
        <v>275</v>
      </c>
      <c r="F229" s="469" t="s">
        <v>636</v>
      </c>
      <c r="G229" s="10">
        <f>G228</f>
        <v>4430</v>
      </c>
      <c r="H229" s="10">
        <f>H228</f>
        <v>4430</v>
      </c>
    </row>
    <row r="230" spans="1:8" ht="15.75" x14ac:dyDescent="0.25">
      <c r="A230" s="29" t="s">
        <v>263</v>
      </c>
      <c r="B230" s="469" t="s">
        <v>1242</v>
      </c>
      <c r="C230" s="469" t="s">
        <v>264</v>
      </c>
      <c r="D230" s="469"/>
      <c r="E230" s="469"/>
      <c r="F230" s="469"/>
      <c r="G230" s="10">
        <f t="shared" ref="G230:H230" si="25">G231</f>
        <v>224</v>
      </c>
      <c r="H230" s="10">
        <f t="shared" si="25"/>
        <v>224</v>
      </c>
    </row>
    <row r="231" spans="1:8" ht="15.75" x14ac:dyDescent="0.25">
      <c r="A231" s="29" t="s">
        <v>425</v>
      </c>
      <c r="B231" s="469" t="s">
        <v>1242</v>
      </c>
      <c r="C231" s="469" t="s">
        <v>264</v>
      </c>
      <c r="D231" s="469" t="s">
        <v>213</v>
      </c>
      <c r="E231" s="469"/>
      <c r="F231" s="469"/>
      <c r="G231" s="10">
        <f>G232+G236+G240+G244</f>
        <v>224</v>
      </c>
      <c r="H231" s="10">
        <f>H232+H236+H240+H244</f>
        <v>224</v>
      </c>
    </row>
    <row r="232" spans="1:8" ht="47.25" hidden="1" x14ac:dyDescent="0.25">
      <c r="A232" s="466" t="s">
        <v>789</v>
      </c>
      <c r="B232" s="462" t="s">
        <v>1324</v>
      </c>
      <c r="C232" s="469" t="s">
        <v>264</v>
      </c>
      <c r="D232" s="469" t="s">
        <v>213</v>
      </c>
      <c r="E232" s="469"/>
      <c r="F232" s="469"/>
      <c r="G232" s="459">
        <f>G233</f>
        <v>0</v>
      </c>
      <c r="H232" s="459">
        <f>H233</f>
        <v>0</v>
      </c>
    </row>
    <row r="233" spans="1:8" ht="47.25" hidden="1" x14ac:dyDescent="0.25">
      <c r="A233" s="466" t="s">
        <v>272</v>
      </c>
      <c r="B233" s="462" t="s">
        <v>1324</v>
      </c>
      <c r="C233" s="469" t="s">
        <v>264</v>
      </c>
      <c r="D233" s="469" t="s">
        <v>213</v>
      </c>
      <c r="E233" s="469" t="s">
        <v>273</v>
      </c>
      <c r="F233" s="469"/>
      <c r="G233" s="459">
        <f>G234</f>
        <v>0</v>
      </c>
      <c r="H233" s="459">
        <f>H234</f>
        <v>0</v>
      </c>
    </row>
    <row r="234" spans="1:8" ht="15.75" hidden="1" x14ac:dyDescent="0.25">
      <c r="A234" s="466" t="s">
        <v>274</v>
      </c>
      <c r="B234" s="462" t="s">
        <v>1324</v>
      </c>
      <c r="C234" s="469" t="s">
        <v>264</v>
      </c>
      <c r="D234" s="469" t="s">
        <v>213</v>
      </c>
      <c r="E234" s="469" t="s">
        <v>275</v>
      </c>
      <c r="F234" s="469"/>
      <c r="G234" s="459">
        <f>'пр.6.1.ведом.22-23 (2)'!G637</f>
        <v>0</v>
      </c>
      <c r="H234" s="459">
        <f>'пр.6.1.ведом.22-23 (2)'!H637</f>
        <v>0</v>
      </c>
    </row>
    <row r="235" spans="1:8" ht="31.5" hidden="1" x14ac:dyDescent="0.25">
      <c r="A235" s="29" t="s">
        <v>403</v>
      </c>
      <c r="B235" s="462" t="s">
        <v>1324</v>
      </c>
      <c r="C235" s="469" t="s">
        <v>264</v>
      </c>
      <c r="D235" s="469" t="s">
        <v>213</v>
      </c>
      <c r="E235" s="469" t="s">
        <v>275</v>
      </c>
      <c r="F235" s="469" t="s">
        <v>636</v>
      </c>
      <c r="G235" s="10">
        <f>G234</f>
        <v>0</v>
      </c>
      <c r="H235" s="10">
        <f>H234</f>
        <v>0</v>
      </c>
    </row>
    <row r="236" spans="1:8" ht="47.25" hidden="1" x14ac:dyDescent="0.25">
      <c r="A236" s="466" t="s">
        <v>278</v>
      </c>
      <c r="B236" s="462" t="s">
        <v>1325</v>
      </c>
      <c r="C236" s="469" t="s">
        <v>264</v>
      </c>
      <c r="D236" s="469" t="s">
        <v>213</v>
      </c>
      <c r="E236" s="469"/>
      <c r="F236" s="469"/>
      <c r="G236" s="459">
        <f t="shared" ref="G236:H237" si="26">G237</f>
        <v>0</v>
      </c>
      <c r="H236" s="459">
        <f t="shared" si="26"/>
        <v>0</v>
      </c>
    </row>
    <row r="237" spans="1:8" ht="47.25" hidden="1" x14ac:dyDescent="0.25">
      <c r="A237" s="466" t="s">
        <v>272</v>
      </c>
      <c r="B237" s="462" t="s">
        <v>1325</v>
      </c>
      <c r="C237" s="469" t="s">
        <v>264</v>
      </c>
      <c r="D237" s="469" t="s">
        <v>213</v>
      </c>
      <c r="E237" s="469" t="s">
        <v>273</v>
      </c>
      <c r="F237" s="469"/>
      <c r="G237" s="459">
        <f t="shared" si="26"/>
        <v>0</v>
      </c>
      <c r="H237" s="459">
        <f t="shared" si="26"/>
        <v>0</v>
      </c>
    </row>
    <row r="238" spans="1:8" ht="15.75" hidden="1" x14ac:dyDescent="0.25">
      <c r="A238" s="466" t="s">
        <v>274</v>
      </c>
      <c r="B238" s="462" t="s">
        <v>1325</v>
      </c>
      <c r="C238" s="469" t="s">
        <v>264</v>
      </c>
      <c r="D238" s="469" t="s">
        <v>213</v>
      </c>
      <c r="E238" s="469" t="s">
        <v>275</v>
      </c>
      <c r="F238" s="469"/>
      <c r="G238" s="459">
        <f>'пр.6.1.ведом.22-23 (2)'!G640</f>
        <v>0</v>
      </c>
      <c r="H238" s="459">
        <f>'пр.6.1.ведом.22-23 (2)'!H640</f>
        <v>0</v>
      </c>
    </row>
    <row r="239" spans="1:8" ht="31.5" hidden="1" x14ac:dyDescent="0.25">
      <c r="A239" s="29" t="s">
        <v>403</v>
      </c>
      <c r="B239" s="462" t="s">
        <v>1325</v>
      </c>
      <c r="C239" s="469" t="s">
        <v>264</v>
      </c>
      <c r="D239" s="469" t="s">
        <v>213</v>
      </c>
      <c r="E239" s="469" t="s">
        <v>275</v>
      </c>
      <c r="F239" s="469" t="s">
        <v>636</v>
      </c>
      <c r="G239" s="10">
        <f>G238</f>
        <v>0</v>
      </c>
      <c r="H239" s="10">
        <f>H238</f>
        <v>0</v>
      </c>
    </row>
    <row r="240" spans="1:8" ht="31.5" hidden="1" x14ac:dyDescent="0.25">
      <c r="A240" s="466" t="s">
        <v>280</v>
      </c>
      <c r="B240" s="462" t="s">
        <v>1326</v>
      </c>
      <c r="C240" s="469" t="s">
        <v>264</v>
      </c>
      <c r="D240" s="469" t="s">
        <v>213</v>
      </c>
      <c r="E240" s="469"/>
      <c r="F240" s="469"/>
      <c r="G240" s="459">
        <f t="shared" ref="G240:H241" si="27">G241</f>
        <v>0</v>
      </c>
      <c r="H240" s="459">
        <f t="shared" si="27"/>
        <v>0</v>
      </c>
    </row>
    <row r="241" spans="1:8" ht="47.25" hidden="1" x14ac:dyDescent="0.25">
      <c r="A241" s="466" t="s">
        <v>272</v>
      </c>
      <c r="B241" s="462" t="s">
        <v>1326</v>
      </c>
      <c r="C241" s="469" t="s">
        <v>264</v>
      </c>
      <c r="D241" s="469" t="s">
        <v>213</v>
      </c>
      <c r="E241" s="469" t="s">
        <v>273</v>
      </c>
      <c r="F241" s="469"/>
      <c r="G241" s="459">
        <f t="shared" si="27"/>
        <v>0</v>
      </c>
      <c r="H241" s="459">
        <f t="shared" si="27"/>
        <v>0</v>
      </c>
    </row>
    <row r="242" spans="1:8" ht="15.75" hidden="1" x14ac:dyDescent="0.25">
      <c r="A242" s="466" t="s">
        <v>274</v>
      </c>
      <c r="B242" s="462" t="s">
        <v>1326</v>
      </c>
      <c r="C242" s="469" t="s">
        <v>264</v>
      </c>
      <c r="D242" s="469" t="s">
        <v>213</v>
      </c>
      <c r="E242" s="469" t="s">
        <v>275</v>
      </c>
      <c r="F242" s="469"/>
      <c r="G242" s="459">
        <f>'пр.6.1.ведом.22-23 (2)'!G643</f>
        <v>0</v>
      </c>
      <c r="H242" s="459">
        <f>'пр.6.1.ведом.22-23 (2)'!H643</f>
        <v>0</v>
      </c>
    </row>
    <row r="243" spans="1:8" ht="31.5" hidden="1" x14ac:dyDescent="0.25">
      <c r="A243" s="29" t="s">
        <v>403</v>
      </c>
      <c r="B243" s="462" t="s">
        <v>1326</v>
      </c>
      <c r="C243" s="469" t="s">
        <v>264</v>
      </c>
      <c r="D243" s="469" t="s">
        <v>213</v>
      </c>
      <c r="E243" s="469" t="s">
        <v>275</v>
      </c>
      <c r="F243" s="469" t="s">
        <v>636</v>
      </c>
      <c r="G243" s="10">
        <f>G242</f>
        <v>0</v>
      </c>
      <c r="H243" s="10">
        <f>H242</f>
        <v>0</v>
      </c>
    </row>
    <row r="244" spans="1:8" ht="47.25" x14ac:dyDescent="0.25">
      <c r="A244" s="29" t="s">
        <v>282</v>
      </c>
      <c r="B244" s="462" t="s">
        <v>1258</v>
      </c>
      <c r="C244" s="469" t="s">
        <v>264</v>
      </c>
      <c r="D244" s="469" t="s">
        <v>213</v>
      </c>
      <c r="E244" s="469"/>
      <c r="F244" s="469"/>
      <c r="G244" s="10">
        <f t="shared" ref="G244:H245" si="28">G245</f>
        <v>224</v>
      </c>
      <c r="H244" s="10">
        <f t="shared" si="28"/>
        <v>224</v>
      </c>
    </row>
    <row r="245" spans="1:8" ht="47.25" x14ac:dyDescent="0.25">
      <c r="A245" s="29" t="s">
        <v>272</v>
      </c>
      <c r="B245" s="462" t="s">
        <v>1258</v>
      </c>
      <c r="C245" s="469" t="s">
        <v>264</v>
      </c>
      <c r="D245" s="469" t="s">
        <v>213</v>
      </c>
      <c r="E245" s="469" t="s">
        <v>273</v>
      </c>
      <c r="F245" s="469"/>
      <c r="G245" s="10">
        <f t="shared" si="28"/>
        <v>224</v>
      </c>
      <c r="H245" s="10">
        <f t="shared" si="28"/>
        <v>224</v>
      </c>
    </row>
    <row r="246" spans="1:8" ht="15.75" x14ac:dyDescent="0.25">
      <c r="A246" s="29" t="s">
        <v>274</v>
      </c>
      <c r="B246" s="462" t="s">
        <v>1258</v>
      </c>
      <c r="C246" s="469" t="s">
        <v>264</v>
      </c>
      <c r="D246" s="469" t="s">
        <v>213</v>
      </c>
      <c r="E246" s="469" t="s">
        <v>275</v>
      </c>
      <c r="F246" s="469"/>
      <c r="G246" s="10">
        <f>'пр.6.1.ведом.22-23 (2)'!G646</f>
        <v>224</v>
      </c>
      <c r="H246" s="10">
        <f>'пр.6.1.ведом.22-23 (2)'!H646</f>
        <v>224</v>
      </c>
    </row>
    <row r="247" spans="1:8" ht="31.5" x14ac:dyDescent="0.25">
      <c r="A247" s="29" t="s">
        <v>403</v>
      </c>
      <c r="B247" s="462" t="s">
        <v>1258</v>
      </c>
      <c r="C247" s="469" t="s">
        <v>264</v>
      </c>
      <c r="D247" s="469" t="s">
        <v>213</v>
      </c>
      <c r="E247" s="469" t="s">
        <v>275</v>
      </c>
      <c r="F247" s="469" t="s">
        <v>636</v>
      </c>
      <c r="G247" s="10">
        <f>G246</f>
        <v>224</v>
      </c>
      <c r="H247" s="10">
        <f>H246</f>
        <v>224</v>
      </c>
    </row>
    <row r="248" spans="1:8" ht="31.5" x14ac:dyDescent="0.25">
      <c r="A248" s="464" t="s">
        <v>943</v>
      </c>
      <c r="B248" s="465" t="s">
        <v>1244</v>
      </c>
      <c r="C248" s="7"/>
      <c r="D248" s="7"/>
      <c r="E248" s="7"/>
      <c r="F248" s="7"/>
      <c r="G248" s="59">
        <f>G249</f>
        <v>5745.1</v>
      </c>
      <c r="H248" s="59">
        <f>H249</f>
        <v>5745.1</v>
      </c>
    </row>
    <row r="249" spans="1:8" ht="15.75" x14ac:dyDescent="0.25">
      <c r="A249" s="29" t="s">
        <v>263</v>
      </c>
      <c r="B249" s="462" t="s">
        <v>1244</v>
      </c>
      <c r="C249" s="469" t="s">
        <v>264</v>
      </c>
      <c r="D249" s="469"/>
      <c r="E249" s="469"/>
      <c r="F249" s="469"/>
      <c r="G249" s="10">
        <f t="shared" ref="G249:H252" si="29">G250</f>
        <v>5745.1</v>
      </c>
      <c r="H249" s="10">
        <f t="shared" si="29"/>
        <v>5745.1</v>
      </c>
    </row>
    <row r="250" spans="1:8" ht="22.7" customHeight="1" x14ac:dyDescent="0.25">
      <c r="A250" s="29" t="s">
        <v>466</v>
      </c>
      <c r="B250" s="462" t="s">
        <v>1244</v>
      </c>
      <c r="C250" s="469" t="s">
        <v>264</v>
      </c>
      <c r="D250" s="469" t="s">
        <v>264</v>
      </c>
      <c r="E250" s="469"/>
      <c r="F250" s="469"/>
      <c r="G250" s="10">
        <f>G251</f>
        <v>5745.1</v>
      </c>
      <c r="H250" s="10">
        <f>H251</f>
        <v>5745.1</v>
      </c>
    </row>
    <row r="251" spans="1:8" ht="47.25" x14ac:dyDescent="0.25">
      <c r="A251" s="31" t="s">
        <v>1062</v>
      </c>
      <c r="B251" s="462" t="s">
        <v>1266</v>
      </c>
      <c r="C251" s="469" t="s">
        <v>264</v>
      </c>
      <c r="D251" s="469" t="s">
        <v>264</v>
      </c>
      <c r="E251" s="469"/>
      <c r="F251" s="469"/>
      <c r="G251" s="10">
        <f t="shared" si="29"/>
        <v>5745.1</v>
      </c>
      <c r="H251" s="10">
        <f t="shared" si="29"/>
        <v>5745.1</v>
      </c>
    </row>
    <row r="252" spans="1:8" ht="47.25" x14ac:dyDescent="0.25">
      <c r="A252" s="466" t="s">
        <v>272</v>
      </c>
      <c r="B252" s="462" t="s">
        <v>1266</v>
      </c>
      <c r="C252" s="469" t="s">
        <v>264</v>
      </c>
      <c r="D252" s="469" t="s">
        <v>264</v>
      </c>
      <c r="E252" s="469" t="s">
        <v>273</v>
      </c>
      <c r="F252" s="469"/>
      <c r="G252" s="10">
        <f t="shared" si="29"/>
        <v>5745.1</v>
      </c>
      <c r="H252" s="10">
        <f t="shared" si="29"/>
        <v>5745.1</v>
      </c>
    </row>
    <row r="253" spans="1:8" ht="15.75" x14ac:dyDescent="0.25">
      <c r="A253" s="466" t="s">
        <v>274</v>
      </c>
      <c r="B253" s="462" t="s">
        <v>1266</v>
      </c>
      <c r="C253" s="469" t="s">
        <v>264</v>
      </c>
      <c r="D253" s="469" t="s">
        <v>264</v>
      </c>
      <c r="E253" s="469" t="s">
        <v>275</v>
      </c>
      <c r="F253" s="469"/>
      <c r="G253" s="10">
        <f>'пр.6.1.ведом.22-23 (2)'!G725</f>
        <v>5745.1</v>
      </c>
      <c r="H253" s="10">
        <f>'пр.6.1.ведом.22-23 (2)'!H725</f>
        <v>5745.1</v>
      </c>
    </row>
    <row r="254" spans="1:8" ht="31.5" x14ac:dyDescent="0.25">
      <c r="A254" s="29" t="s">
        <v>403</v>
      </c>
      <c r="B254" s="462" t="s">
        <v>1266</v>
      </c>
      <c r="C254" s="469" t="s">
        <v>264</v>
      </c>
      <c r="D254" s="469" t="s">
        <v>264</v>
      </c>
      <c r="E254" s="469" t="s">
        <v>275</v>
      </c>
      <c r="F254" s="469" t="s">
        <v>636</v>
      </c>
      <c r="G254" s="10">
        <f>G253</f>
        <v>5745.1</v>
      </c>
      <c r="H254" s="10">
        <f>H253</f>
        <v>5745.1</v>
      </c>
    </row>
    <row r="255" spans="1:8" ht="47.25" x14ac:dyDescent="0.25">
      <c r="A255" s="218" t="s">
        <v>948</v>
      </c>
      <c r="B255" s="465" t="s">
        <v>1245</v>
      </c>
      <c r="C255" s="7"/>
      <c r="D255" s="7"/>
      <c r="E255" s="7"/>
      <c r="F255" s="7"/>
      <c r="G255" s="458">
        <f>G256</f>
        <v>9300</v>
      </c>
      <c r="H255" s="458">
        <f>H256</f>
        <v>9300</v>
      </c>
    </row>
    <row r="256" spans="1:8" ht="15.75" x14ac:dyDescent="0.25">
      <c r="A256" s="29" t="s">
        <v>263</v>
      </c>
      <c r="B256" s="462" t="s">
        <v>1245</v>
      </c>
      <c r="C256" s="469" t="s">
        <v>264</v>
      </c>
      <c r="D256" s="469"/>
      <c r="E256" s="469"/>
      <c r="F256" s="469"/>
      <c r="G256" s="10">
        <f>G257+G270+G279</f>
        <v>9300</v>
      </c>
      <c r="H256" s="10">
        <f>H257+H270+H279</f>
        <v>9300</v>
      </c>
    </row>
    <row r="257" spans="1:8" ht="15.75" x14ac:dyDescent="0.25">
      <c r="A257" s="45" t="s">
        <v>404</v>
      </c>
      <c r="B257" s="462" t="s">
        <v>1245</v>
      </c>
      <c r="C257" s="469" t="s">
        <v>264</v>
      </c>
      <c r="D257" s="469" t="s">
        <v>118</v>
      </c>
      <c r="E257" s="469"/>
      <c r="F257" s="469"/>
      <c r="G257" s="10">
        <f>G258+G262+G266</f>
        <v>4848</v>
      </c>
      <c r="H257" s="10">
        <f>H258+H262+H266</f>
        <v>4848</v>
      </c>
    </row>
    <row r="258" spans="1:8" ht="31.5" hidden="1" x14ac:dyDescent="0.25">
      <c r="A258" s="29" t="s">
        <v>284</v>
      </c>
      <c r="B258" s="462" t="s">
        <v>1263</v>
      </c>
      <c r="C258" s="469" t="s">
        <v>264</v>
      </c>
      <c r="D258" s="469" t="s">
        <v>118</v>
      </c>
      <c r="E258" s="469"/>
      <c r="F258" s="469"/>
      <c r="G258" s="10">
        <f t="shared" ref="G258:H259" si="30">G259</f>
        <v>0</v>
      </c>
      <c r="H258" s="10">
        <f t="shared" si="30"/>
        <v>0</v>
      </c>
    </row>
    <row r="259" spans="1:8" ht="47.25" hidden="1" x14ac:dyDescent="0.25">
      <c r="A259" s="29" t="s">
        <v>272</v>
      </c>
      <c r="B259" s="462" t="s">
        <v>1263</v>
      </c>
      <c r="C259" s="469" t="s">
        <v>264</v>
      </c>
      <c r="D259" s="469" t="s">
        <v>118</v>
      </c>
      <c r="E259" s="469" t="s">
        <v>273</v>
      </c>
      <c r="F259" s="469"/>
      <c r="G259" s="10">
        <f t="shared" si="30"/>
        <v>0</v>
      </c>
      <c r="H259" s="10">
        <f t="shared" si="30"/>
        <v>0</v>
      </c>
    </row>
    <row r="260" spans="1:8" ht="15.75" hidden="1" x14ac:dyDescent="0.25">
      <c r="A260" s="29" t="s">
        <v>274</v>
      </c>
      <c r="B260" s="462" t="s">
        <v>1263</v>
      </c>
      <c r="C260" s="469" t="s">
        <v>264</v>
      </c>
      <c r="D260" s="469" t="s">
        <v>118</v>
      </c>
      <c r="E260" s="469" t="s">
        <v>275</v>
      </c>
      <c r="F260" s="469"/>
      <c r="G260" s="10">
        <f>'пр.6.1.ведом.22-23 (2)'!G581</f>
        <v>0</v>
      </c>
      <c r="H260" s="10">
        <f>'пр.6.1.ведом.22-23 (2)'!H581</f>
        <v>0</v>
      </c>
    </row>
    <row r="261" spans="1:8" ht="31.5" hidden="1" x14ac:dyDescent="0.25">
      <c r="A261" s="29" t="s">
        <v>403</v>
      </c>
      <c r="B261" s="462" t="s">
        <v>1263</v>
      </c>
      <c r="C261" s="469" t="s">
        <v>264</v>
      </c>
      <c r="D261" s="469" t="s">
        <v>118</v>
      </c>
      <c r="E261" s="469" t="s">
        <v>275</v>
      </c>
      <c r="F261" s="469" t="s">
        <v>636</v>
      </c>
      <c r="G261" s="10">
        <f>G260</f>
        <v>0</v>
      </c>
      <c r="H261" s="10">
        <f>H260</f>
        <v>0</v>
      </c>
    </row>
    <row r="262" spans="1:8" ht="47.25" x14ac:dyDescent="0.25">
      <c r="A262" s="60" t="s">
        <v>764</v>
      </c>
      <c r="B262" s="462" t="s">
        <v>1246</v>
      </c>
      <c r="C262" s="462" t="s">
        <v>264</v>
      </c>
      <c r="D262" s="462" t="s">
        <v>118</v>
      </c>
      <c r="E262" s="462"/>
      <c r="F262" s="462"/>
      <c r="G262" s="10">
        <f t="shared" ref="G262:H263" si="31">G263</f>
        <v>3088</v>
      </c>
      <c r="H262" s="10">
        <f t="shared" si="31"/>
        <v>3088</v>
      </c>
    </row>
    <row r="263" spans="1:8" ht="47.25" x14ac:dyDescent="0.25">
      <c r="A263" s="29" t="s">
        <v>272</v>
      </c>
      <c r="B263" s="462" t="s">
        <v>1246</v>
      </c>
      <c r="C263" s="462" t="s">
        <v>264</v>
      </c>
      <c r="D263" s="462" t="s">
        <v>118</v>
      </c>
      <c r="E263" s="462" t="s">
        <v>273</v>
      </c>
      <c r="F263" s="462"/>
      <c r="G263" s="10">
        <f t="shared" si="31"/>
        <v>3088</v>
      </c>
      <c r="H263" s="10">
        <f t="shared" si="31"/>
        <v>3088</v>
      </c>
    </row>
    <row r="264" spans="1:8" ht="15.75" x14ac:dyDescent="0.25">
      <c r="A264" s="182" t="s">
        <v>274</v>
      </c>
      <c r="B264" s="462" t="s">
        <v>1246</v>
      </c>
      <c r="C264" s="462" t="s">
        <v>264</v>
      </c>
      <c r="D264" s="462" t="s">
        <v>118</v>
      </c>
      <c r="E264" s="462" t="s">
        <v>275</v>
      </c>
      <c r="F264" s="462"/>
      <c r="G264" s="10">
        <f>'пр.6.1.ведом.22-23 (2)'!G584</f>
        <v>3088</v>
      </c>
      <c r="H264" s="10">
        <f>'пр.6.1.ведом.22-23 (2)'!H584</f>
        <v>3088</v>
      </c>
    </row>
    <row r="265" spans="1:8" ht="31.5" x14ac:dyDescent="0.25">
      <c r="A265" s="29" t="s">
        <v>403</v>
      </c>
      <c r="B265" s="462" t="s">
        <v>1246</v>
      </c>
      <c r="C265" s="469" t="s">
        <v>264</v>
      </c>
      <c r="D265" s="469" t="s">
        <v>118</v>
      </c>
      <c r="E265" s="469" t="s">
        <v>275</v>
      </c>
      <c r="F265" s="469" t="s">
        <v>636</v>
      </c>
      <c r="G265" s="10">
        <f>G264</f>
        <v>3088</v>
      </c>
      <c r="H265" s="10">
        <f>H264</f>
        <v>3088</v>
      </c>
    </row>
    <row r="266" spans="1:8" ht="63" x14ac:dyDescent="0.25">
      <c r="A266" s="60" t="s">
        <v>765</v>
      </c>
      <c r="B266" s="462" t="s">
        <v>1247</v>
      </c>
      <c r="C266" s="462" t="s">
        <v>264</v>
      </c>
      <c r="D266" s="462" t="s">
        <v>118</v>
      </c>
      <c r="E266" s="462"/>
      <c r="F266" s="462"/>
      <c r="G266" s="10">
        <f t="shared" ref="G266:H267" si="32">G267</f>
        <v>1760</v>
      </c>
      <c r="H266" s="10">
        <f t="shared" si="32"/>
        <v>1760</v>
      </c>
    </row>
    <row r="267" spans="1:8" ht="47.25" x14ac:dyDescent="0.25">
      <c r="A267" s="29" t="s">
        <v>272</v>
      </c>
      <c r="B267" s="462" t="s">
        <v>1247</v>
      </c>
      <c r="C267" s="462" t="s">
        <v>264</v>
      </c>
      <c r="D267" s="462" t="s">
        <v>118</v>
      </c>
      <c r="E267" s="462" t="s">
        <v>273</v>
      </c>
      <c r="F267" s="462"/>
      <c r="G267" s="10">
        <f t="shared" si="32"/>
        <v>1760</v>
      </c>
      <c r="H267" s="10">
        <f t="shared" si="32"/>
        <v>1760</v>
      </c>
    </row>
    <row r="268" spans="1:8" ht="15.75" x14ac:dyDescent="0.25">
      <c r="A268" s="182" t="s">
        <v>274</v>
      </c>
      <c r="B268" s="462" t="s">
        <v>1247</v>
      </c>
      <c r="C268" s="462" t="s">
        <v>264</v>
      </c>
      <c r="D268" s="462" t="s">
        <v>118</v>
      </c>
      <c r="E268" s="462" t="s">
        <v>275</v>
      </c>
      <c r="F268" s="462"/>
      <c r="G268" s="10">
        <f>'пр.6.1.ведом.22-23 (2)'!G587</f>
        <v>1760</v>
      </c>
      <c r="H268" s="10">
        <f>'пр.6.1.ведом.22-23 (2)'!H587</f>
        <v>1760</v>
      </c>
    </row>
    <row r="269" spans="1:8" ht="31.5" x14ac:dyDescent="0.25">
      <c r="A269" s="29" t="s">
        <v>403</v>
      </c>
      <c r="B269" s="462" t="s">
        <v>1247</v>
      </c>
      <c r="C269" s="469" t="s">
        <v>264</v>
      </c>
      <c r="D269" s="469" t="s">
        <v>118</v>
      </c>
      <c r="E269" s="469" t="s">
        <v>275</v>
      </c>
      <c r="F269" s="469" t="s">
        <v>636</v>
      </c>
      <c r="G269" s="10">
        <f>G268</f>
        <v>1760</v>
      </c>
      <c r="H269" s="10">
        <f>'пр.6.1.ведом.22-23 (2)'!H587</f>
        <v>1760</v>
      </c>
    </row>
    <row r="270" spans="1:8" ht="15.75" x14ac:dyDescent="0.25">
      <c r="A270" s="29" t="s">
        <v>425</v>
      </c>
      <c r="B270" s="469" t="s">
        <v>1245</v>
      </c>
      <c r="C270" s="469" t="s">
        <v>264</v>
      </c>
      <c r="D270" s="469" t="s">
        <v>213</v>
      </c>
      <c r="E270" s="469"/>
      <c r="F270" s="469"/>
      <c r="G270" s="10">
        <f>G271+G275</f>
        <v>2888</v>
      </c>
      <c r="H270" s="10">
        <f>H271+H275</f>
        <v>2888</v>
      </c>
    </row>
    <row r="271" spans="1:8" ht="31.5" hidden="1" x14ac:dyDescent="0.25">
      <c r="A271" s="29" t="s">
        <v>284</v>
      </c>
      <c r="B271" s="462" t="s">
        <v>1263</v>
      </c>
      <c r="C271" s="469" t="s">
        <v>264</v>
      </c>
      <c r="D271" s="469" t="s">
        <v>213</v>
      </c>
      <c r="E271" s="469"/>
      <c r="F271" s="469"/>
      <c r="G271" s="10">
        <f t="shared" ref="G271:H272" si="33">G272</f>
        <v>0</v>
      </c>
      <c r="H271" s="10">
        <f t="shared" si="33"/>
        <v>0</v>
      </c>
    </row>
    <row r="272" spans="1:8" ht="47.25" hidden="1" x14ac:dyDescent="0.25">
      <c r="A272" s="29" t="s">
        <v>272</v>
      </c>
      <c r="B272" s="462" t="s">
        <v>1263</v>
      </c>
      <c r="C272" s="469" t="s">
        <v>264</v>
      </c>
      <c r="D272" s="469" t="s">
        <v>213</v>
      </c>
      <c r="E272" s="469" t="s">
        <v>273</v>
      </c>
      <c r="F272" s="469"/>
      <c r="G272" s="10">
        <f t="shared" si="33"/>
        <v>0</v>
      </c>
      <c r="H272" s="10">
        <f t="shared" si="33"/>
        <v>0</v>
      </c>
    </row>
    <row r="273" spans="1:8" ht="15.75" hidden="1" x14ac:dyDescent="0.25">
      <c r="A273" s="29" t="s">
        <v>274</v>
      </c>
      <c r="B273" s="462" t="s">
        <v>1263</v>
      </c>
      <c r="C273" s="469" t="s">
        <v>264</v>
      </c>
      <c r="D273" s="469" t="s">
        <v>213</v>
      </c>
      <c r="E273" s="469" t="s">
        <v>275</v>
      </c>
      <c r="F273" s="469"/>
      <c r="G273" s="10">
        <f>'пр.6.1.ведом.22-23 (2)'!G650</f>
        <v>0</v>
      </c>
      <c r="H273" s="10">
        <f>'пр.6.1.ведом.22-23 (2)'!H650</f>
        <v>0</v>
      </c>
    </row>
    <row r="274" spans="1:8" ht="31.5" hidden="1" x14ac:dyDescent="0.25">
      <c r="A274" s="29" t="s">
        <v>403</v>
      </c>
      <c r="B274" s="462" t="s">
        <v>1263</v>
      </c>
      <c r="C274" s="469" t="s">
        <v>264</v>
      </c>
      <c r="D274" s="469" t="s">
        <v>213</v>
      </c>
      <c r="E274" s="469" t="s">
        <v>275</v>
      </c>
      <c r="F274" s="469" t="s">
        <v>636</v>
      </c>
      <c r="G274" s="10">
        <f>G273</f>
        <v>0</v>
      </c>
      <c r="H274" s="10">
        <f>H273</f>
        <v>0</v>
      </c>
    </row>
    <row r="275" spans="1:8" ht="47.25" x14ac:dyDescent="0.25">
      <c r="A275" s="60" t="s">
        <v>764</v>
      </c>
      <c r="B275" s="462" t="s">
        <v>1246</v>
      </c>
      <c r="C275" s="469" t="s">
        <v>264</v>
      </c>
      <c r="D275" s="469" t="s">
        <v>213</v>
      </c>
      <c r="E275" s="469"/>
      <c r="F275" s="469"/>
      <c r="G275" s="10">
        <f t="shared" ref="G275:H276" si="34">G276</f>
        <v>2888</v>
      </c>
      <c r="H275" s="10">
        <f t="shared" si="34"/>
        <v>2888</v>
      </c>
    </row>
    <row r="276" spans="1:8" ht="47.25" x14ac:dyDescent="0.25">
      <c r="A276" s="29" t="s">
        <v>272</v>
      </c>
      <c r="B276" s="462" t="s">
        <v>1246</v>
      </c>
      <c r="C276" s="469" t="s">
        <v>264</v>
      </c>
      <c r="D276" s="469" t="s">
        <v>213</v>
      </c>
      <c r="E276" s="469" t="s">
        <v>273</v>
      </c>
      <c r="F276" s="469"/>
      <c r="G276" s="10">
        <f t="shared" si="34"/>
        <v>2888</v>
      </c>
      <c r="H276" s="10">
        <f t="shared" si="34"/>
        <v>2888</v>
      </c>
    </row>
    <row r="277" spans="1:8" ht="15.75" x14ac:dyDescent="0.25">
      <c r="A277" s="182" t="s">
        <v>274</v>
      </c>
      <c r="B277" s="462" t="s">
        <v>1246</v>
      </c>
      <c r="C277" s="469" t="s">
        <v>264</v>
      </c>
      <c r="D277" s="469" t="s">
        <v>213</v>
      </c>
      <c r="E277" s="469" t="s">
        <v>275</v>
      </c>
      <c r="F277" s="469"/>
      <c r="G277" s="10">
        <f>'пр.6.1.ведом.22-23 (2)'!G653</f>
        <v>2888</v>
      </c>
      <c r="H277" s="10">
        <f>'пр.6.1.ведом.22-23 (2)'!H653</f>
        <v>2888</v>
      </c>
    </row>
    <row r="278" spans="1:8" ht="31.5" x14ac:dyDescent="0.25">
      <c r="A278" s="29" t="s">
        <v>403</v>
      </c>
      <c r="B278" s="462" t="s">
        <v>1246</v>
      </c>
      <c r="C278" s="469" t="s">
        <v>264</v>
      </c>
      <c r="D278" s="469" t="s">
        <v>213</v>
      </c>
      <c r="E278" s="469" t="s">
        <v>275</v>
      </c>
      <c r="F278" s="469" t="s">
        <v>636</v>
      </c>
      <c r="G278" s="10">
        <f>G277</f>
        <v>2888</v>
      </c>
      <c r="H278" s="10">
        <f>H277</f>
        <v>2888</v>
      </c>
    </row>
    <row r="279" spans="1:8" ht="15.75" x14ac:dyDescent="0.25">
      <c r="A279" s="29" t="s">
        <v>265</v>
      </c>
      <c r="B279" s="469" t="s">
        <v>1245</v>
      </c>
      <c r="C279" s="469" t="s">
        <v>264</v>
      </c>
      <c r="D279" s="469" t="s">
        <v>215</v>
      </c>
      <c r="E279" s="469"/>
      <c r="F279" s="469"/>
      <c r="G279" s="10">
        <f>G280</f>
        <v>1564</v>
      </c>
      <c r="H279" s="10">
        <f>H280</f>
        <v>1564</v>
      </c>
    </row>
    <row r="280" spans="1:8" ht="47.25" x14ac:dyDescent="0.25">
      <c r="A280" s="45" t="s">
        <v>764</v>
      </c>
      <c r="B280" s="462" t="s">
        <v>1246</v>
      </c>
      <c r="C280" s="462" t="s">
        <v>264</v>
      </c>
      <c r="D280" s="462" t="s">
        <v>215</v>
      </c>
      <c r="E280" s="462"/>
      <c r="F280" s="462"/>
      <c r="G280" s="10">
        <f t="shared" ref="G280:H281" si="35">G281</f>
        <v>1564</v>
      </c>
      <c r="H280" s="10">
        <f t="shared" si="35"/>
        <v>1564</v>
      </c>
    </row>
    <row r="281" spans="1:8" ht="47.25" x14ac:dyDescent="0.25">
      <c r="A281" s="29" t="s">
        <v>272</v>
      </c>
      <c r="B281" s="462" t="s">
        <v>1246</v>
      </c>
      <c r="C281" s="462" t="s">
        <v>264</v>
      </c>
      <c r="D281" s="462" t="s">
        <v>215</v>
      </c>
      <c r="E281" s="462" t="s">
        <v>273</v>
      </c>
      <c r="F281" s="462"/>
      <c r="G281" s="10">
        <f t="shared" si="35"/>
        <v>1564</v>
      </c>
      <c r="H281" s="10">
        <f t="shared" si="35"/>
        <v>1564</v>
      </c>
    </row>
    <row r="282" spans="1:8" ht="15.75" x14ac:dyDescent="0.25">
      <c r="A282" s="31" t="s">
        <v>274</v>
      </c>
      <c r="B282" s="462" t="s">
        <v>1246</v>
      </c>
      <c r="C282" s="462" t="s">
        <v>264</v>
      </c>
      <c r="D282" s="462" t="s">
        <v>215</v>
      </c>
      <c r="E282" s="462" t="s">
        <v>275</v>
      </c>
      <c r="F282" s="462"/>
      <c r="G282" s="10">
        <f>'пр.6.1.ведом.22-23 (2)'!G714</f>
        <v>1564</v>
      </c>
      <c r="H282" s="10">
        <f>'пр.6.1.ведом.22-23 (2)'!H714</f>
        <v>1564</v>
      </c>
    </row>
    <row r="283" spans="1:8" ht="31.5" x14ac:dyDescent="0.25">
      <c r="A283" s="29" t="s">
        <v>403</v>
      </c>
      <c r="B283" s="462" t="s">
        <v>1246</v>
      </c>
      <c r="C283" s="469" t="s">
        <v>264</v>
      </c>
      <c r="D283" s="469" t="s">
        <v>215</v>
      </c>
      <c r="E283" s="469" t="s">
        <v>275</v>
      </c>
      <c r="F283" s="469" t="s">
        <v>636</v>
      </c>
      <c r="G283" s="10">
        <f>G282</f>
        <v>1564</v>
      </c>
      <c r="H283" s="10">
        <f>H282</f>
        <v>1564</v>
      </c>
    </row>
    <row r="284" spans="1:8" ht="78.75" x14ac:dyDescent="0.25">
      <c r="A284" s="464" t="s">
        <v>933</v>
      </c>
      <c r="B284" s="465" t="s">
        <v>1248</v>
      </c>
      <c r="C284" s="465"/>
      <c r="D284" s="465"/>
      <c r="E284" s="465"/>
      <c r="F284" s="465"/>
      <c r="G284" s="59">
        <f>G285</f>
        <v>297.70000000000005</v>
      </c>
      <c r="H284" s="59">
        <f>H285</f>
        <v>297.70000000000005</v>
      </c>
    </row>
    <row r="285" spans="1:8" ht="15.75" x14ac:dyDescent="0.25">
      <c r="A285" s="29" t="s">
        <v>263</v>
      </c>
      <c r="B285" s="462" t="s">
        <v>1248</v>
      </c>
      <c r="C285" s="469" t="s">
        <v>264</v>
      </c>
      <c r="D285" s="469"/>
      <c r="E285" s="469"/>
      <c r="F285" s="469"/>
      <c r="G285" s="10">
        <f t="shared" ref="G285:H288" si="36">G286</f>
        <v>297.70000000000005</v>
      </c>
      <c r="H285" s="10">
        <f t="shared" si="36"/>
        <v>297.70000000000005</v>
      </c>
    </row>
    <row r="286" spans="1:8" ht="15.75" x14ac:dyDescent="0.25">
      <c r="A286" s="45" t="s">
        <v>404</v>
      </c>
      <c r="B286" s="462" t="s">
        <v>1248</v>
      </c>
      <c r="C286" s="469" t="s">
        <v>264</v>
      </c>
      <c r="D286" s="469" t="s">
        <v>118</v>
      </c>
      <c r="E286" s="469"/>
      <c r="F286" s="469"/>
      <c r="G286" s="10">
        <f t="shared" si="36"/>
        <v>297.70000000000005</v>
      </c>
      <c r="H286" s="10">
        <f t="shared" si="36"/>
        <v>297.70000000000005</v>
      </c>
    </row>
    <row r="287" spans="1:8" ht="126" x14ac:dyDescent="0.25">
      <c r="A287" s="466" t="s">
        <v>1523</v>
      </c>
      <c r="B287" s="462" t="s">
        <v>1249</v>
      </c>
      <c r="C287" s="462" t="s">
        <v>264</v>
      </c>
      <c r="D287" s="462" t="s">
        <v>118</v>
      </c>
      <c r="E287" s="462"/>
      <c r="F287" s="462"/>
      <c r="G287" s="10">
        <f t="shared" si="36"/>
        <v>297.70000000000005</v>
      </c>
      <c r="H287" s="10">
        <f t="shared" si="36"/>
        <v>297.70000000000005</v>
      </c>
    </row>
    <row r="288" spans="1:8" ht="47.25" x14ac:dyDescent="0.25">
      <c r="A288" s="466" t="s">
        <v>272</v>
      </c>
      <c r="B288" s="462" t="s">
        <v>1249</v>
      </c>
      <c r="C288" s="462" t="s">
        <v>264</v>
      </c>
      <c r="D288" s="462" t="s">
        <v>118</v>
      </c>
      <c r="E288" s="462" t="s">
        <v>273</v>
      </c>
      <c r="F288" s="462"/>
      <c r="G288" s="10">
        <f t="shared" si="36"/>
        <v>297.70000000000005</v>
      </c>
      <c r="H288" s="10">
        <f t="shared" si="36"/>
        <v>297.70000000000005</v>
      </c>
    </row>
    <row r="289" spans="1:8" ht="15.75" x14ac:dyDescent="0.25">
      <c r="A289" s="466" t="s">
        <v>274</v>
      </c>
      <c r="B289" s="462" t="s">
        <v>1249</v>
      </c>
      <c r="C289" s="462" t="s">
        <v>264</v>
      </c>
      <c r="D289" s="462" t="s">
        <v>118</v>
      </c>
      <c r="E289" s="462" t="s">
        <v>275</v>
      </c>
      <c r="F289" s="462"/>
      <c r="G289" s="10">
        <f>'пр.6.1.ведом.22-23 (2)'!G591</f>
        <v>297.70000000000005</v>
      </c>
      <c r="H289" s="10">
        <f>'пр.6.1.ведом.22-23 (2)'!H591</f>
        <v>297.70000000000005</v>
      </c>
    </row>
    <row r="290" spans="1:8" ht="31.5" x14ac:dyDescent="0.25">
      <c r="A290" s="29" t="s">
        <v>403</v>
      </c>
      <c r="B290" s="462" t="s">
        <v>1249</v>
      </c>
      <c r="C290" s="469" t="s">
        <v>264</v>
      </c>
      <c r="D290" s="469" t="s">
        <v>118</v>
      </c>
      <c r="E290" s="469" t="s">
        <v>275</v>
      </c>
      <c r="F290" s="469" t="s">
        <v>636</v>
      </c>
      <c r="G290" s="10">
        <f>G289</f>
        <v>297.70000000000005</v>
      </c>
      <c r="H290" s="10">
        <f>H289</f>
        <v>297.70000000000005</v>
      </c>
    </row>
    <row r="291" spans="1:8" ht="47.25" x14ac:dyDescent="0.25">
      <c r="A291" s="464" t="s">
        <v>938</v>
      </c>
      <c r="B291" s="465" t="s">
        <v>1259</v>
      </c>
      <c r="C291" s="7"/>
      <c r="D291" s="7"/>
      <c r="E291" s="7"/>
      <c r="F291" s="7"/>
      <c r="G291" s="59">
        <f>G292</f>
        <v>3931.8</v>
      </c>
      <c r="H291" s="59">
        <f>H292</f>
        <v>3865.2</v>
      </c>
    </row>
    <row r="292" spans="1:8" ht="15.75" x14ac:dyDescent="0.25">
      <c r="A292" s="29" t="s">
        <v>263</v>
      </c>
      <c r="B292" s="462" t="s">
        <v>1259</v>
      </c>
      <c r="C292" s="469" t="s">
        <v>264</v>
      </c>
      <c r="D292" s="469"/>
      <c r="E292" s="469"/>
      <c r="F292" s="469"/>
      <c r="G292" s="10">
        <f t="shared" ref="G292:H292" si="37">G293</f>
        <v>3931.8</v>
      </c>
      <c r="H292" s="10">
        <f t="shared" si="37"/>
        <v>3865.2</v>
      </c>
    </row>
    <row r="293" spans="1:8" ht="15.75" x14ac:dyDescent="0.25">
      <c r="A293" s="29" t="s">
        <v>425</v>
      </c>
      <c r="B293" s="462" t="s">
        <v>1259</v>
      </c>
      <c r="C293" s="469" t="s">
        <v>264</v>
      </c>
      <c r="D293" s="469" t="s">
        <v>213</v>
      </c>
      <c r="E293" s="469"/>
      <c r="F293" s="469"/>
      <c r="G293" s="10">
        <f>G294</f>
        <v>3931.8</v>
      </c>
      <c r="H293" s="10">
        <f>H294</f>
        <v>3865.2</v>
      </c>
    </row>
    <row r="294" spans="1:8" ht="47.25" x14ac:dyDescent="0.25">
      <c r="A294" s="29" t="s">
        <v>602</v>
      </c>
      <c r="B294" s="462" t="s">
        <v>1260</v>
      </c>
      <c r="C294" s="469" t="s">
        <v>264</v>
      </c>
      <c r="D294" s="469" t="s">
        <v>213</v>
      </c>
      <c r="E294" s="469"/>
      <c r="F294" s="469"/>
      <c r="G294" s="10">
        <f t="shared" ref="G294:H295" si="38">G295</f>
        <v>3931.8</v>
      </c>
      <c r="H294" s="10">
        <f t="shared" si="38"/>
        <v>3865.2</v>
      </c>
    </row>
    <row r="295" spans="1:8" ht="47.25" x14ac:dyDescent="0.25">
      <c r="A295" s="29" t="s">
        <v>272</v>
      </c>
      <c r="B295" s="462" t="s">
        <v>1260</v>
      </c>
      <c r="C295" s="469" t="s">
        <v>264</v>
      </c>
      <c r="D295" s="469" t="s">
        <v>213</v>
      </c>
      <c r="E295" s="469" t="s">
        <v>273</v>
      </c>
      <c r="F295" s="469"/>
      <c r="G295" s="10">
        <f t="shared" si="38"/>
        <v>3931.8</v>
      </c>
      <c r="H295" s="10">
        <f t="shared" si="38"/>
        <v>3865.2</v>
      </c>
    </row>
    <row r="296" spans="1:8" ht="15.75" x14ac:dyDescent="0.25">
      <c r="A296" s="29" t="s">
        <v>274</v>
      </c>
      <c r="B296" s="462" t="s">
        <v>1260</v>
      </c>
      <c r="C296" s="469" t="s">
        <v>264</v>
      </c>
      <c r="D296" s="469" t="s">
        <v>213</v>
      </c>
      <c r="E296" s="469" t="s">
        <v>275</v>
      </c>
      <c r="F296" s="469"/>
      <c r="G296" s="459">
        <f>'пр.6.1.ведом.22-23 (2)'!G657</f>
        <v>3931.8</v>
      </c>
      <c r="H296" s="459">
        <f>'пр.6.1.ведом.22-23 (2)'!H657</f>
        <v>3865.2</v>
      </c>
    </row>
    <row r="297" spans="1:8" ht="31.5" x14ac:dyDescent="0.25">
      <c r="A297" s="29" t="s">
        <v>403</v>
      </c>
      <c r="B297" s="462" t="s">
        <v>1260</v>
      </c>
      <c r="C297" s="469" t="s">
        <v>264</v>
      </c>
      <c r="D297" s="469" t="s">
        <v>213</v>
      </c>
      <c r="E297" s="469" t="s">
        <v>275</v>
      </c>
      <c r="F297" s="469" t="s">
        <v>636</v>
      </c>
      <c r="G297" s="10">
        <f>G296</f>
        <v>3931.8</v>
      </c>
      <c r="H297" s="10">
        <f>H296</f>
        <v>3865.2</v>
      </c>
    </row>
    <row r="298" spans="1:8" ht="31.5" x14ac:dyDescent="0.25">
      <c r="A298" s="464" t="s">
        <v>939</v>
      </c>
      <c r="B298" s="465" t="s">
        <v>1261</v>
      </c>
      <c r="C298" s="7"/>
      <c r="D298" s="7"/>
      <c r="E298" s="7"/>
      <c r="F298" s="7"/>
      <c r="G298" s="59">
        <f>G299</f>
        <v>1384.6</v>
      </c>
      <c r="H298" s="59">
        <f>H299</f>
        <v>1384.6</v>
      </c>
    </row>
    <row r="299" spans="1:8" ht="15.75" x14ac:dyDescent="0.25">
      <c r="A299" s="29" t="s">
        <v>263</v>
      </c>
      <c r="B299" s="462" t="s">
        <v>1261</v>
      </c>
      <c r="C299" s="469" t="s">
        <v>264</v>
      </c>
      <c r="D299" s="469"/>
      <c r="E299" s="469"/>
      <c r="F299" s="469"/>
      <c r="G299" s="10">
        <f t="shared" ref="G299:H302" si="39">G300</f>
        <v>1384.6</v>
      </c>
      <c r="H299" s="10">
        <f t="shared" si="39"/>
        <v>1384.6</v>
      </c>
    </row>
    <row r="300" spans="1:8" ht="15.75" x14ac:dyDescent="0.25">
      <c r="A300" s="29" t="s">
        <v>425</v>
      </c>
      <c r="B300" s="462" t="s">
        <v>1261</v>
      </c>
      <c r="C300" s="469" t="s">
        <v>264</v>
      </c>
      <c r="D300" s="469" t="s">
        <v>213</v>
      </c>
      <c r="E300" s="469"/>
      <c r="F300" s="469"/>
      <c r="G300" s="10">
        <f t="shared" si="39"/>
        <v>1384.6</v>
      </c>
      <c r="H300" s="10">
        <f t="shared" si="39"/>
        <v>1384.6</v>
      </c>
    </row>
    <row r="301" spans="1:8" ht="63" x14ac:dyDescent="0.25">
      <c r="A301" s="466" t="s">
        <v>438</v>
      </c>
      <c r="B301" s="462" t="s">
        <v>1262</v>
      </c>
      <c r="C301" s="469" t="s">
        <v>264</v>
      </c>
      <c r="D301" s="469" t="s">
        <v>213</v>
      </c>
      <c r="E301" s="469"/>
      <c r="F301" s="469"/>
      <c r="G301" s="10">
        <f t="shared" si="39"/>
        <v>1384.6</v>
      </c>
      <c r="H301" s="10">
        <f t="shared" si="39"/>
        <v>1384.6</v>
      </c>
    </row>
    <row r="302" spans="1:8" ht="47.25" x14ac:dyDescent="0.25">
      <c r="A302" s="466" t="s">
        <v>272</v>
      </c>
      <c r="B302" s="462" t="s">
        <v>1262</v>
      </c>
      <c r="C302" s="469" t="s">
        <v>264</v>
      </c>
      <c r="D302" s="469" t="s">
        <v>213</v>
      </c>
      <c r="E302" s="469" t="s">
        <v>273</v>
      </c>
      <c r="F302" s="469"/>
      <c r="G302" s="10">
        <f t="shared" si="39"/>
        <v>1384.6</v>
      </c>
      <c r="H302" s="10">
        <f t="shared" si="39"/>
        <v>1384.6</v>
      </c>
    </row>
    <row r="303" spans="1:8" ht="15.75" x14ac:dyDescent="0.25">
      <c r="A303" s="466" t="s">
        <v>274</v>
      </c>
      <c r="B303" s="462" t="s">
        <v>1262</v>
      </c>
      <c r="C303" s="469" t="s">
        <v>264</v>
      </c>
      <c r="D303" s="469" t="s">
        <v>213</v>
      </c>
      <c r="E303" s="469" t="s">
        <v>275</v>
      </c>
      <c r="F303" s="469"/>
      <c r="G303" s="10">
        <f>'пр.6.1.ведом.22-23 (2)'!G661</f>
        <v>1384.6</v>
      </c>
      <c r="H303" s="10">
        <f>'пр.6.1.ведом.22-23 (2)'!H661</f>
        <v>1384.6</v>
      </c>
    </row>
    <row r="304" spans="1:8" ht="31.5" x14ac:dyDescent="0.25">
      <c r="A304" s="29" t="s">
        <v>403</v>
      </c>
      <c r="B304" s="462" t="s">
        <v>1262</v>
      </c>
      <c r="C304" s="469" t="s">
        <v>264</v>
      </c>
      <c r="D304" s="469" t="s">
        <v>213</v>
      </c>
      <c r="E304" s="469" t="s">
        <v>275</v>
      </c>
      <c r="F304" s="469" t="s">
        <v>636</v>
      </c>
      <c r="G304" s="10">
        <f>G303</f>
        <v>1384.6</v>
      </c>
      <c r="H304" s="10">
        <f>H303</f>
        <v>1384.6</v>
      </c>
    </row>
    <row r="305" spans="1:8" ht="47.25" x14ac:dyDescent="0.25">
      <c r="A305" s="216" t="s">
        <v>940</v>
      </c>
      <c r="B305" s="465" t="s">
        <v>1264</v>
      </c>
      <c r="C305" s="7"/>
      <c r="D305" s="7"/>
      <c r="E305" s="7"/>
      <c r="F305" s="7"/>
      <c r="G305" s="59">
        <f>G306</f>
        <v>755.8</v>
      </c>
      <c r="H305" s="59">
        <f>H306</f>
        <v>759</v>
      </c>
    </row>
    <row r="306" spans="1:8" ht="15.75" x14ac:dyDescent="0.25">
      <c r="A306" s="29" t="s">
        <v>263</v>
      </c>
      <c r="B306" s="462" t="s">
        <v>1264</v>
      </c>
      <c r="C306" s="469" t="s">
        <v>264</v>
      </c>
      <c r="D306" s="469"/>
      <c r="E306" s="469"/>
      <c r="F306" s="469"/>
      <c r="G306" s="10">
        <f t="shared" ref="G306:H309" si="40">G307</f>
        <v>755.8</v>
      </c>
      <c r="H306" s="10">
        <f t="shared" si="40"/>
        <v>759</v>
      </c>
    </row>
    <row r="307" spans="1:8" ht="15.75" x14ac:dyDescent="0.25">
      <c r="A307" s="29" t="s">
        <v>425</v>
      </c>
      <c r="B307" s="462" t="s">
        <v>1264</v>
      </c>
      <c r="C307" s="469" t="s">
        <v>264</v>
      </c>
      <c r="D307" s="469" t="s">
        <v>213</v>
      </c>
      <c r="E307" s="469"/>
      <c r="F307" s="469"/>
      <c r="G307" s="10">
        <f t="shared" si="40"/>
        <v>755.8</v>
      </c>
      <c r="H307" s="10">
        <f t="shared" si="40"/>
        <v>759</v>
      </c>
    </row>
    <row r="308" spans="1:8" ht="63" x14ac:dyDescent="0.25">
      <c r="A308" s="182" t="s">
        <v>828</v>
      </c>
      <c r="B308" s="462" t="s">
        <v>1437</v>
      </c>
      <c r="C308" s="469" t="s">
        <v>264</v>
      </c>
      <c r="D308" s="469" t="s">
        <v>213</v>
      </c>
      <c r="E308" s="469"/>
      <c r="F308" s="469"/>
      <c r="G308" s="10">
        <f t="shared" si="40"/>
        <v>755.8</v>
      </c>
      <c r="H308" s="10">
        <f t="shared" si="40"/>
        <v>759</v>
      </c>
    </row>
    <row r="309" spans="1:8" ht="47.25" x14ac:dyDescent="0.25">
      <c r="A309" s="29" t="s">
        <v>272</v>
      </c>
      <c r="B309" s="462" t="s">
        <v>1437</v>
      </c>
      <c r="C309" s="469" t="s">
        <v>264</v>
      </c>
      <c r="D309" s="469" t="s">
        <v>213</v>
      </c>
      <c r="E309" s="469" t="s">
        <v>273</v>
      </c>
      <c r="F309" s="469"/>
      <c r="G309" s="10">
        <f t="shared" si="40"/>
        <v>755.8</v>
      </c>
      <c r="H309" s="10">
        <f t="shared" si="40"/>
        <v>759</v>
      </c>
    </row>
    <row r="310" spans="1:8" ht="15.75" x14ac:dyDescent="0.25">
      <c r="A310" s="182" t="s">
        <v>274</v>
      </c>
      <c r="B310" s="462" t="s">
        <v>1437</v>
      </c>
      <c r="C310" s="469" t="s">
        <v>264</v>
      </c>
      <c r="D310" s="469" t="s">
        <v>213</v>
      </c>
      <c r="E310" s="469" t="s">
        <v>275</v>
      </c>
      <c r="F310" s="469"/>
      <c r="G310" s="10">
        <f>'пр.6.1.ведом.22-23 (2)'!G665</f>
        <v>755.8</v>
      </c>
      <c r="H310" s="10">
        <f>'пр.6.1.ведом.22-23 (2)'!H665</f>
        <v>759</v>
      </c>
    </row>
    <row r="311" spans="1:8" ht="31.5" x14ac:dyDescent="0.25">
      <c r="A311" s="29" t="s">
        <v>403</v>
      </c>
      <c r="B311" s="462" t="s">
        <v>1437</v>
      </c>
      <c r="C311" s="469" t="s">
        <v>264</v>
      </c>
      <c r="D311" s="469" t="s">
        <v>213</v>
      </c>
      <c r="E311" s="469" t="s">
        <v>275</v>
      </c>
      <c r="F311" s="469" t="s">
        <v>636</v>
      </c>
      <c r="G311" s="10">
        <f>G310</f>
        <v>755.8</v>
      </c>
      <c r="H311" s="10">
        <f>H310</f>
        <v>759</v>
      </c>
    </row>
    <row r="312" spans="1:8" ht="126" x14ac:dyDescent="0.25">
      <c r="A312" s="464" t="s">
        <v>1171</v>
      </c>
      <c r="B312" s="465" t="s">
        <v>1251</v>
      </c>
      <c r="C312" s="7"/>
      <c r="D312" s="7"/>
      <c r="E312" s="7"/>
      <c r="F312" s="7"/>
      <c r="G312" s="59">
        <f>G313</f>
        <v>1666.6</v>
      </c>
      <c r="H312" s="59">
        <f>H313</f>
        <v>915</v>
      </c>
    </row>
    <row r="313" spans="1:8" ht="15.75" x14ac:dyDescent="0.25">
      <c r="A313" s="29" t="s">
        <v>263</v>
      </c>
      <c r="B313" s="462" t="s">
        <v>1251</v>
      </c>
      <c r="C313" s="469" t="s">
        <v>264</v>
      </c>
      <c r="D313" s="469"/>
      <c r="E313" s="469"/>
      <c r="F313" s="469"/>
      <c r="G313" s="10">
        <f>G314</f>
        <v>1666.6</v>
      </c>
      <c r="H313" s="10">
        <f>H314</f>
        <v>915</v>
      </c>
    </row>
    <row r="314" spans="1:8" ht="15.75" x14ac:dyDescent="0.25">
      <c r="A314" s="45" t="s">
        <v>404</v>
      </c>
      <c r="B314" s="462" t="s">
        <v>1251</v>
      </c>
      <c r="C314" s="469" t="s">
        <v>264</v>
      </c>
      <c r="D314" s="469" t="s">
        <v>118</v>
      </c>
      <c r="E314" s="469"/>
      <c r="F314" s="469"/>
      <c r="G314" s="10">
        <f>G315+G319</f>
        <v>1666.6</v>
      </c>
      <c r="H314" s="10">
        <f>H315+H319</f>
        <v>915</v>
      </c>
    </row>
    <row r="315" spans="1:8" ht="94.5" hidden="1" x14ac:dyDescent="0.25">
      <c r="A315" s="149" t="s">
        <v>1190</v>
      </c>
      <c r="B315" s="462" t="s">
        <v>1252</v>
      </c>
      <c r="C315" s="469" t="s">
        <v>264</v>
      </c>
      <c r="D315" s="469" t="s">
        <v>118</v>
      </c>
      <c r="E315" s="469"/>
      <c r="F315" s="469"/>
      <c r="G315" s="10">
        <f>G316</f>
        <v>0</v>
      </c>
      <c r="H315" s="10">
        <f>H316</f>
        <v>0</v>
      </c>
    </row>
    <row r="316" spans="1:8" ht="47.25" hidden="1" x14ac:dyDescent="0.25">
      <c r="A316" s="466" t="s">
        <v>272</v>
      </c>
      <c r="B316" s="462" t="s">
        <v>1252</v>
      </c>
      <c r="C316" s="469" t="s">
        <v>264</v>
      </c>
      <c r="D316" s="469" t="s">
        <v>118</v>
      </c>
      <c r="E316" s="469" t="s">
        <v>273</v>
      </c>
      <c r="F316" s="469"/>
      <c r="G316" s="10">
        <f>G317</f>
        <v>0</v>
      </c>
      <c r="H316" s="10">
        <f>H317</f>
        <v>0</v>
      </c>
    </row>
    <row r="317" spans="1:8" ht="15.75" hidden="1" x14ac:dyDescent="0.25">
      <c r="A317" s="466" t="s">
        <v>274</v>
      </c>
      <c r="B317" s="462" t="s">
        <v>1252</v>
      </c>
      <c r="C317" s="469" t="s">
        <v>264</v>
      </c>
      <c r="D317" s="469" t="s">
        <v>118</v>
      </c>
      <c r="E317" s="469" t="s">
        <v>275</v>
      </c>
      <c r="F317" s="469"/>
      <c r="G317" s="10">
        <f>'пр.6.1.ведом.22-23 (2)'!G595</f>
        <v>0</v>
      </c>
      <c r="H317" s="10">
        <f>'пр.6.1.ведом.22-23 (2)'!H595</f>
        <v>0</v>
      </c>
    </row>
    <row r="318" spans="1:8" ht="31.5" hidden="1" x14ac:dyDescent="0.25">
      <c r="A318" s="29" t="s">
        <v>403</v>
      </c>
      <c r="B318" s="462" t="s">
        <v>1252</v>
      </c>
      <c r="C318" s="469" t="s">
        <v>264</v>
      </c>
      <c r="D318" s="469" t="s">
        <v>118</v>
      </c>
      <c r="E318" s="469" t="s">
        <v>275</v>
      </c>
      <c r="F318" s="469" t="s">
        <v>636</v>
      </c>
      <c r="G318" s="10">
        <f>G315</f>
        <v>0</v>
      </c>
      <c r="H318" s="10">
        <f>H315</f>
        <v>0</v>
      </c>
    </row>
    <row r="319" spans="1:8" ht="110.25" x14ac:dyDescent="0.25">
      <c r="A319" s="149" t="s">
        <v>1506</v>
      </c>
      <c r="B319" s="462" t="s">
        <v>1252</v>
      </c>
      <c r="C319" s="469" t="s">
        <v>264</v>
      </c>
      <c r="D319" s="469" t="s">
        <v>118</v>
      </c>
      <c r="E319" s="469"/>
      <c r="F319" s="469"/>
      <c r="G319" s="10">
        <f>G320</f>
        <v>1666.6</v>
      </c>
      <c r="H319" s="10">
        <f>H320</f>
        <v>915</v>
      </c>
    </row>
    <row r="320" spans="1:8" ht="47.25" x14ac:dyDescent="0.25">
      <c r="A320" s="466" t="s">
        <v>272</v>
      </c>
      <c r="B320" s="462" t="s">
        <v>1252</v>
      </c>
      <c r="C320" s="469" t="s">
        <v>264</v>
      </c>
      <c r="D320" s="469" t="s">
        <v>118</v>
      </c>
      <c r="E320" s="469" t="s">
        <v>273</v>
      </c>
      <c r="F320" s="469"/>
      <c r="G320" s="10">
        <f>G321</f>
        <v>1666.6</v>
      </c>
      <c r="H320" s="10">
        <f>H321</f>
        <v>915</v>
      </c>
    </row>
    <row r="321" spans="1:8" ht="15.75" x14ac:dyDescent="0.25">
      <c r="A321" s="466" t="s">
        <v>274</v>
      </c>
      <c r="B321" s="462" t="s">
        <v>1252</v>
      </c>
      <c r="C321" s="469" t="s">
        <v>264</v>
      </c>
      <c r="D321" s="469" t="s">
        <v>118</v>
      </c>
      <c r="E321" s="469" t="s">
        <v>275</v>
      </c>
      <c r="F321" s="469"/>
      <c r="G321" s="10">
        <f>'пр.6.1.ведом.22-23 (2)'!G598</f>
        <v>1666.6</v>
      </c>
      <c r="H321" s="10">
        <f>'пр.6.1.ведом.22-23 (2)'!H598</f>
        <v>915</v>
      </c>
    </row>
    <row r="322" spans="1:8" ht="31.5" x14ac:dyDescent="0.25">
      <c r="A322" s="29" t="s">
        <v>403</v>
      </c>
      <c r="B322" s="462" t="s">
        <v>1252</v>
      </c>
      <c r="C322" s="469" t="s">
        <v>264</v>
      </c>
      <c r="D322" s="469" t="s">
        <v>118</v>
      </c>
      <c r="E322" s="469" t="s">
        <v>275</v>
      </c>
      <c r="F322" s="469" t="s">
        <v>636</v>
      </c>
      <c r="G322" s="10">
        <f>G319</f>
        <v>1666.6</v>
      </c>
      <c r="H322" s="10">
        <f>H319</f>
        <v>915</v>
      </c>
    </row>
    <row r="323" spans="1:8" ht="47.25" x14ac:dyDescent="0.25">
      <c r="A323" s="298" t="s">
        <v>1416</v>
      </c>
      <c r="B323" s="465" t="s">
        <v>1415</v>
      </c>
      <c r="C323" s="465"/>
      <c r="D323" s="465"/>
      <c r="E323" s="465"/>
      <c r="F323" s="7"/>
      <c r="G323" s="59">
        <f t="shared" ref="G323:H327" si="41">G324</f>
        <v>5415.6500000000005</v>
      </c>
      <c r="H323" s="59">
        <f t="shared" si="41"/>
        <v>5142.4500000000007</v>
      </c>
    </row>
    <row r="324" spans="1:8" ht="15.75" x14ac:dyDescent="0.25">
      <c r="A324" s="182" t="s">
        <v>263</v>
      </c>
      <c r="B324" s="462" t="s">
        <v>1415</v>
      </c>
      <c r="C324" s="462" t="s">
        <v>264</v>
      </c>
      <c r="D324" s="462"/>
      <c r="E324" s="462"/>
      <c r="F324" s="469"/>
      <c r="G324" s="10">
        <f t="shared" si="41"/>
        <v>5415.6500000000005</v>
      </c>
      <c r="H324" s="10">
        <f t="shared" si="41"/>
        <v>5142.4500000000007</v>
      </c>
    </row>
    <row r="325" spans="1:8" ht="15.75" x14ac:dyDescent="0.25">
      <c r="A325" s="182" t="s">
        <v>425</v>
      </c>
      <c r="B325" s="462" t="s">
        <v>1415</v>
      </c>
      <c r="C325" s="462" t="s">
        <v>264</v>
      </c>
      <c r="D325" s="462" t="s">
        <v>213</v>
      </c>
      <c r="E325" s="462"/>
      <c r="F325" s="469"/>
      <c r="G325" s="10">
        <f t="shared" si="41"/>
        <v>5415.6500000000005</v>
      </c>
      <c r="H325" s="10">
        <f t="shared" si="41"/>
        <v>5142.4500000000007</v>
      </c>
    </row>
    <row r="326" spans="1:8" ht="78.75" x14ac:dyDescent="0.25">
      <c r="A326" s="297" t="s">
        <v>1402</v>
      </c>
      <c r="B326" s="462" t="s">
        <v>1462</v>
      </c>
      <c r="C326" s="462" t="s">
        <v>264</v>
      </c>
      <c r="D326" s="462" t="s">
        <v>213</v>
      </c>
      <c r="E326" s="462"/>
      <c r="F326" s="469"/>
      <c r="G326" s="10">
        <f t="shared" si="41"/>
        <v>5415.6500000000005</v>
      </c>
      <c r="H326" s="10">
        <f t="shared" si="41"/>
        <v>5142.4500000000007</v>
      </c>
    </row>
    <row r="327" spans="1:8" ht="47.25" x14ac:dyDescent="0.25">
      <c r="A327" s="31" t="s">
        <v>272</v>
      </c>
      <c r="B327" s="462" t="s">
        <v>1462</v>
      </c>
      <c r="C327" s="462" t="s">
        <v>264</v>
      </c>
      <c r="D327" s="462" t="s">
        <v>213</v>
      </c>
      <c r="E327" s="462" t="s">
        <v>273</v>
      </c>
      <c r="F327" s="469"/>
      <c r="G327" s="10">
        <f t="shared" si="41"/>
        <v>5415.6500000000005</v>
      </c>
      <c r="H327" s="10">
        <f t="shared" si="41"/>
        <v>5142.4500000000007</v>
      </c>
    </row>
    <row r="328" spans="1:8" ht="15.75" x14ac:dyDescent="0.25">
      <c r="A328" s="31" t="s">
        <v>274</v>
      </c>
      <c r="B328" s="462" t="s">
        <v>1462</v>
      </c>
      <c r="C328" s="462" t="s">
        <v>264</v>
      </c>
      <c r="D328" s="462" t="s">
        <v>213</v>
      </c>
      <c r="E328" s="462" t="s">
        <v>275</v>
      </c>
      <c r="F328" s="469"/>
      <c r="G328" s="10">
        <f>'пр.6.1.ведом.22-23 (2)'!G672</f>
        <v>5415.6500000000005</v>
      </c>
      <c r="H328" s="10">
        <f>'пр.6.1.ведом.22-23 (2)'!H672</f>
        <v>5142.4500000000007</v>
      </c>
    </row>
    <row r="329" spans="1:8" ht="31.5" x14ac:dyDescent="0.25">
      <c r="A329" s="182" t="s">
        <v>403</v>
      </c>
      <c r="B329" s="462" t="s">
        <v>1462</v>
      </c>
      <c r="C329" s="462" t="s">
        <v>264</v>
      </c>
      <c r="D329" s="462" t="s">
        <v>213</v>
      </c>
      <c r="E329" s="462" t="s">
        <v>275</v>
      </c>
      <c r="F329" s="469" t="s">
        <v>636</v>
      </c>
      <c r="G329" s="10">
        <f>G323</f>
        <v>5415.6500000000005</v>
      </c>
      <c r="H329" s="10">
        <f>H323</f>
        <v>5142.4500000000007</v>
      </c>
    </row>
    <row r="330" spans="1:8" ht="63" hidden="1" x14ac:dyDescent="0.25">
      <c r="A330" s="216" t="s">
        <v>1177</v>
      </c>
      <c r="B330" s="465" t="s">
        <v>1327</v>
      </c>
      <c r="C330" s="469"/>
      <c r="D330" s="469"/>
      <c r="E330" s="469"/>
      <c r="F330" s="469"/>
      <c r="G330" s="59">
        <f t="shared" ref="G330:H334" si="42">G331</f>
        <v>0</v>
      </c>
      <c r="H330" s="59">
        <f t="shared" si="42"/>
        <v>0</v>
      </c>
    </row>
    <row r="331" spans="1:8" ht="15.75" hidden="1" x14ac:dyDescent="0.25">
      <c r="A331" s="29" t="s">
        <v>263</v>
      </c>
      <c r="B331" s="462" t="s">
        <v>1327</v>
      </c>
      <c r="C331" s="469" t="s">
        <v>264</v>
      </c>
      <c r="D331" s="469"/>
      <c r="E331" s="469"/>
      <c r="F331" s="469"/>
      <c r="G331" s="10">
        <f t="shared" si="42"/>
        <v>0</v>
      </c>
      <c r="H331" s="10">
        <f t="shared" si="42"/>
        <v>0</v>
      </c>
    </row>
    <row r="332" spans="1:8" ht="15.75" hidden="1" x14ac:dyDescent="0.25">
      <c r="A332" s="29" t="s">
        <v>425</v>
      </c>
      <c r="B332" s="462" t="s">
        <v>1327</v>
      </c>
      <c r="C332" s="469" t="s">
        <v>264</v>
      </c>
      <c r="D332" s="469" t="s">
        <v>213</v>
      </c>
      <c r="E332" s="469"/>
      <c r="F332" s="469"/>
      <c r="G332" s="10">
        <f t="shared" si="42"/>
        <v>0</v>
      </c>
      <c r="H332" s="10">
        <f t="shared" si="42"/>
        <v>0</v>
      </c>
    </row>
    <row r="333" spans="1:8" ht="63" hidden="1" x14ac:dyDescent="0.25">
      <c r="A333" s="182" t="s">
        <v>1185</v>
      </c>
      <c r="B333" s="462" t="s">
        <v>1328</v>
      </c>
      <c r="C333" s="469" t="s">
        <v>264</v>
      </c>
      <c r="D333" s="469" t="s">
        <v>213</v>
      </c>
      <c r="E333" s="469"/>
      <c r="F333" s="469"/>
      <c r="G333" s="10">
        <f t="shared" si="42"/>
        <v>0</v>
      </c>
      <c r="H333" s="10">
        <f t="shared" si="42"/>
        <v>0</v>
      </c>
    </row>
    <row r="334" spans="1:8" ht="47.25" hidden="1" x14ac:dyDescent="0.25">
      <c r="A334" s="31" t="s">
        <v>272</v>
      </c>
      <c r="B334" s="462" t="s">
        <v>1328</v>
      </c>
      <c r="C334" s="469" t="s">
        <v>264</v>
      </c>
      <c r="D334" s="469" t="s">
        <v>213</v>
      </c>
      <c r="E334" s="469" t="s">
        <v>273</v>
      </c>
      <c r="F334" s="469"/>
      <c r="G334" s="10">
        <f t="shared" si="42"/>
        <v>0</v>
      </c>
      <c r="H334" s="10">
        <f t="shared" si="42"/>
        <v>0</v>
      </c>
    </row>
    <row r="335" spans="1:8" ht="15.75" hidden="1" x14ac:dyDescent="0.25">
      <c r="A335" s="31" t="s">
        <v>274</v>
      </c>
      <c r="B335" s="462" t="s">
        <v>1328</v>
      </c>
      <c r="C335" s="469" t="s">
        <v>264</v>
      </c>
      <c r="D335" s="469" t="s">
        <v>213</v>
      </c>
      <c r="E335" s="469" t="s">
        <v>275</v>
      </c>
      <c r="F335" s="469"/>
      <c r="G335" s="10">
        <f>'пр.6.1.ведом.22-23 (2)'!G676</f>
        <v>0</v>
      </c>
      <c r="H335" s="10">
        <f>'пр.6.1.ведом.22-23 (2)'!H675</f>
        <v>0</v>
      </c>
    </row>
    <row r="336" spans="1:8" ht="31.5" hidden="1" x14ac:dyDescent="0.25">
      <c r="A336" s="29" t="s">
        <v>403</v>
      </c>
      <c r="B336" s="462" t="s">
        <v>1328</v>
      </c>
      <c r="C336" s="469" t="s">
        <v>264</v>
      </c>
      <c r="D336" s="469" t="s">
        <v>213</v>
      </c>
      <c r="E336" s="469" t="s">
        <v>275</v>
      </c>
      <c r="F336" s="469" t="s">
        <v>636</v>
      </c>
      <c r="G336" s="10">
        <f>G330</f>
        <v>0</v>
      </c>
      <c r="H336" s="10">
        <f>H335</f>
        <v>0</v>
      </c>
    </row>
    <row r="337" spans="1:8" ht="31.5" x14ac:dyDescent="0.25">
      <c r="A337" s="34" t="s">
        <v>1485</v>
      </c>
      <c r="B337" s="465" t="s">
        <v>1483</v>
      </c>
      <c r="C337" s="469"/>
      <c r="D337" s="469"/>
      <c r="E337" s="469"/>
      <c r="F337" s="469"/>
      <c r="G337" s="59">
        <f t="shared" ref="G337:H341" si="43">G338</f>
        <v>1749.4499999999998</v>
      </c>
      <c r="H337" s="59">
        <f t="shared" si="43"/>
        <v>2341</v>
      </c>
    </row>
    <row r="338" spans="1:8" ht="15.75" x14ac:dyDescent="0.25">
      <c r="A338" s="29" t="s">
        <v>263</v>
      </c>
      <c r="B338" s="462" t="s">
        <v>1483</v>
      </c>
      <c r="C338" s="469" t="s">
        <v>264</v>
      </c>
      <c r="D338" s="469"/>
      <c r="E338" s="469"/>
      <c r="F338" s="469"/>
      <c r="G338" s="10">
        <f t="shared" si="43"/>
        <v>1749.4499999999998</v>
      </c>
      <c r="H338" s="10">
        <f t="shared" si="43"/>
        <v>2341</v>
      </c>
    </row>
    <row r="339" spans="1:8" ht="15.75" x14ac:dyDescent="0.25">
      <c r="A339" s="29" t="s">
        <v>425</v>
      </c>
      <c r="B339" s="462" t="s">
        <v>1483</v>
      </c>
      <c r="C339" s="469" t="s">
        <v>264</v>
      </c>
      <c r="D339" s="469" t="s">
        <v>213</v>
      </c>
      <c r="E339" s="469"/>
      <c r="F339" s="469"/>
      <c r="G339" s="10">
        <f t="shared" si="43"/>
        <v>1749.4499999999998</v>
      </c>
      <c r="H339" s="10">
        <f t="shared" si="43"/>
        <v>2341</v>
      </c>
    </row>
    <row r="340" spans="1:8" ht="63" x14ac:dyDescent="0.25">
      <c r="A340" s="31" t="s">
        <v>1538</v>
      </c>
      <c r="B340" s="462" t="s">
        <v>1484</v>
      </c>
      <c r="C340" s="469" t="s">
        <v>264</v>
      </c>
      <c r="D340" s="469" t="s">
        <v>213</v>
      </c>
      <c r="E340" s="469"/>
      <c r="F340" s="469"/>
      <c r="G340" s="10">
        <f t="shared" si="43"/>
        <v>1749.4499999999998</v>
      </c>
      <c r="H340" s="10">
        <f t="shared" si="43"/>
        <v>2341</v>
      </c>
    </row>
    <row r="341" spans="1:8" ht="47.25" x14ac:dyDescent="0.25">
      <c r="A341" s="31" t="s">
        <v>272</v>
      </c>
      <c r="B341" s="462" t="s">
        <v>1484</v>
      </c>
      <c r="C341" s="469" t="s">
        <v>264</v>
      </c>
      <c r="D341" s="469" t="s">
        <v>213</v>
      </c>
      <c r="E341" s="469" t="s">
        <v>273</v>
      </c>
      <c r="F341" s="469"/>
      <c r="G341" s="10">
        <f t="shared" si="43"/>
        <v>1749.4499999999998</v>
      </c>
      <c r="H341" s="10">
        <f t="shared" si="43"/>
        <v>2341</v>
      </c>
    </row>
    <row r="342" spans="1:8" ht="15.75" x14ac:dyDescent="0.25">
      <c r="A342" s="31" t="s">
        <v>274</v>
      </c>
      <c r="B342" s="462" t="s">
        <v>1484</v>
      </c>
      <c r="C342" s="469" t="s">
        <v>264</v>
      </c>
      <c r="D342" s="469" t="s">
        <v>213</v>
      </c>
      <c r="E342" s="469" t="s">
        <v>275</v>
      </c>
      <c r="F342" s="469"/>
      <c r="G342" s="10">
        <f>'пр.6.1.ведом.22-23 (2)'!G680</f>
        <v>1749.4499999999998</v>
      </c>
      <c r="H342" s="10">
        <f>'пр.6.1.ведом.22-23 (2)'!H680</f>
        <v>2341</v>
      </c>
    </row>
    <row r="343" spans="1:8" ht="31.5" x14ac:dyDescent="0.25">
      <c r="A343" s="29" t="s">
        <v>403</v>
      </c>
      <c r="B343" s="462" t="s">
        <v>1484</v>
      </c>
      <c r="C343" s="469" t="s">
        <v>264</v>
      </c>
      <c r="D343" s="469" t="s">
        <v>213</v>
      </c>
      <c r="E343" s="469" t="s">
        <v>275</v>
      </c>
      <c r="F343" s="469" t="s">
        <v>636</v>
      </c>
      <c r="G343" s="10">
        <f>G342</f>
        <v>1749.4499999999998</v>
      </c>
      <c r="H343" s="10">
        <f>H342</f>
        <v>2341</v>
      </c>
    </row>
    <row r="344" spans="1:8" ht="47.25" x14ac:dyDescent="0.25">
      <c r="A344" s="58" t="s">
        <v>1395</v>
      </c>
      <c r="B344" s="194" t="s">
        <v>156</v>
      </c>
      <c r="C344" s="7"/>
      <c r="D344" s="194"/>
      <c r="E344" s="194"/>
      <c r="F344" s="194"/>
      <c r="G344" s="59">
        <f>G346</f>
        <v>150</v>
      </c>
      <c r="H344" s="59">
        <f>H346</f>
        <v>150</v>
      </c>
    </row>
    <row r="345" spans="1:8" ht="47.25" x14ac:dyDescent="0.25">
      <c r="A345" s="464" t="s">
        <v>1067</v>
      </c>
      <c r="B345" s="465" t="s">
        <v>1064</v>
      </c>
      <c r="C345" s="7"/>
      <c r="D345" s="7"/>
      <c r="E345" s="7"/>
      <c r="F345" s="7"/>
      <c r="G345" s="59">
        <f t="shared" ref="G345:H349" si="44">G346</f>
        <v>150</v>
      </c>
      <c r="H345" s="59">
        <f t="shared" si="44"/>
        <v>150</v>
      </c>
    </row>
    <row r="346" spans="1:8" ht="15.75" x14ac:dyDescent="0.25">
      <c r="A346" s="45" t="s">
        <v>232</v>
      </c>
      <c r="B346" s="5" t="s">
        <v>1064</v>
      </c>
      <c r="C346" s="469" t="s">
        <v>150</v>
      </c>
      <c r="D346" s="469"/>
      <c r="E346" s="469"/>
      <c r="F346" s="469"/>
      <c r="G346" s="10">
        <f t="shared" si="44"/>
        <v>150</v>
      </c>
      <c r="H346" s="10">
        <f t="shared" si="44"/>
        <v>150</v>
      </c>
    </row>
    <row r="347" spans="1:8" ht="15.75" x14ac:dyDescent="0.25">
      <c r="A347" s="45" t="s">
        <v>775</v>
      </c>
      <c r="B347" s="5" t="s">
        <v>1064</v>
      </c>
      <c r="C347" s="469" t="s">
        <v>150</v>
      </c>
      <c r="D347" s="469" t="s">
        <v>238</v>
      </c>
      <c r="E347" s="469"/>
      <c r="F347" s="469"/>
      <c r="G347" s="10">
        <f t="shared" si="44"/>
        <v>150</v>
      </c>
      <c r="H347" s="10">
        <f t="shared" si="44"/>
        <v>150</v>
      </c>
    </row>
    <row r="348" spans="1:8" ht="31.5" x14ac:dyDescent="0.25">
      <c r="A348" s="466" t="s">
        <v>1068</v>
      </c>
      <c r="B348" s="462" t="s">
        <v>1065</v>
      </c>
      <c r="C348" s="469" t="s">
        <v>150</v>
      </c>
      <c r="D348" s="469" t="s">
        <v>238</v>
      </c>
      <c r="E348" s="469"/>
      <c r="F348" s="469"/>
      <c r="G348" s="10">
        <f t="shared" si="44"/>
        <v>150</v>
      </c>
      <c r="H348" s="10">
        <f t="shared" si="44"/>
        <v>150</v>
      </c>
    </row>
    <row r="349" spans="1:8" ht="15.75" x14ac:dyDescent="0.25">
      <c r="A349" s="466" t="s">
        <v>135</v>
      </c>
      <c r="B349" s="462" t="s">
        <v>1065</v>
      </c>
      <c r="C349" s="469" t="s">
        <v>150</v>
      </c>
      <c r="D349" s="469" t="s">
        <v>238</v>
      </c>
      <c r="E349" s="469" t="s">
        <v>132</v>
      </c>
      <c r="F349" s="469"/>
      <c r="G349" s="10">
        <f t="shared" si="44"/>
        <v>150</v>
      </c>
      <c r="H349" s="10">
        <f t="shared" si="44"/>
        <v>150</v>
      </c>
    </row>
    <row r="350" spans="1:8" ht="63" x14ac:dyDescent="0.25">
      <c r="A350" s="466" t="s">
        <v>184</v>
      </c>
      <c r="B350" s="462" t="s">
        <v>1065</v>
      </c>
      <c r="C350" s="469" t="s">
        <v>150</v>
      </c>
      <c r="D350" s="469" t="s">
        <v>238</v>
      </c>
      <c r="E350" s="469" t="s">
        <v>134</v>
      </c>
      <c r="F350" s="469"/>
      <c r="G350" s="10">
        <f>'пр.6.1.ведом.22-23 (2)'!G217</f>
        <v>150</v>
      </c>
      <c r="H350" s="10">
        <f>'пр.6.1.ведом.22-23 (2)'!H217</f>
        <v>150</v>
      </c>
    </row>
    <row r="351" spans="1:8" ht="31.5" x14ac:dyDescent="0.25">
      <c r="A351" s="29" t="s">
        <v>148</v>
      </c>
      <c r="B351" s="462" t="s">
        <v>1065</v>
      </c>
      <c r="C351" s="469" t="s">
        <v>150</v>
      </c>
      <c r="D351" s="469" t="s">
        <v>238</v>
      </c>
      <c r="E351" s="469" t="s">
        <v>134</v>
      </c>
      <c r="F351" s="469" t="s">
        <v>641</v>
      </c>
      <c r="G351" s="10">
        <f>G350</f>
        <v>150</v>
      </c>
      <c r="H351" s="10">
        <f>H350</f>
        <v>150</v>
      </c>
    </row>
    <row r="352" spans="1:8" ht="47.25" hidden="1" x14ac:dyDescent="0.25">
      <c r="A352" s="466" t="s">
        <v>239</v>
      </c>
      <c r="B352" s="462" t="s">
        <v>1066</v>
      </c>
      <c r="C352" s="469" t="s">
        <v>150</v>
      </c>
      <c r="D352" s="469" t="s">
        <v>238</v>
      </c>
      <c r="E352" s="469"/>
      <c r="F352" s="469"/>
      <c r="G352" s="10" t="e">
        <f>G353</f>
        <v>#REF!</v>
      </c>
      <c r="H352" s="10" t="e">
        <f>H353</f>
        <v>#REF!</v>
      </c>
    </row>
    <row r="353" spans="1:8" ht="15.75" hidden="1" x14ac:dyDescent="0.25">
      <c r="A353" s="466" t="s">
        <v>135</v>
      </c>
      <c r="B353" s="462" t="s">
        <v>1066</v>
      </c>
      <c r="C353" s="469" t="s">
        <v>150</v>
      </c>
      <c r="D353" s="469" t="s">
        <v>238</v>
      </c>
      <c r="E353" s="469" t="s">
        <v>145</v>
      </c>
      <c r="F353" s="469"/>
      <c r="G353" s="10" t="e">
        <f>G354</f>
        <v>#REF!</v>
      </c>
      <c r="H353" s="10" t="e">
        <f>H354</f>
        <v>#REF!</v>
      </c>
    </row>
    <row r="354" spans="1:8" ht="63" hidden="1" x14ac:dyDescent="0.25">
      <c r="A354" s="466" t="s">
        <v>184</v>
      </c>
      <c r="B354" s="462" t="s">
        <v>1066</v>
      </c>
      <c r="C354" s="469" t="s">
        <v>150</v>
      </c>
      <c r="D354" s="469" t="s">
        <v>238</v>
      </c>
      <c r="E354" s="469" t="s">
        <v>160</v>
      </c>
      <c r="F354" s="469"/>
      <c r="G354" s="10" t="e">
        <f>'пр.6.1.ведом.22-23 (2)'!#REF!</f>
        <v>#REF!</v>
      </c>
      <c r="H354" s="10" t="e">
        <f>'пр.6.1.ведом.22-23 (2)'!#REF!</f>
        <v>#REF!</v>
      </c>
    </row>
    <row r="355" spans="1:8" ht="31.5" hidden="1" x14ac:dyDescent="0.25">
      <c r="A355" s="29" t="s">
        <v>148</v>
      </c>
      <c r="B355" s="462" t="s">
        <v>1066</v>
      </c>
      <c r="C355" s="469" t="s">
        <v>150</v>
      </c>
      <c r="D355" s="469" t="s">
        <v>238</v>
      </c>
      <c r="E355" s="469" t="s">
        <v>160</v>
      </c>
      <c r="F355" s="469" t="s">
        <v>641</v>
      </c>
      <c r="G355" s="10" t="e">
        <f>G354</f>
        <v>#REF!</v>
      </c>
      <c r="H355" s="10" t="e">
        <f>H354</f>
        <v>#REF!</v>
      </c>
    </row>
    <row r="356" spans="1:8" ht="47.25" x14ac:dyDescent="0.25">
      <c r="A356" s="470" t="s">
        <v>1375</v>
      </c>
      <c r="B356" s="194" t="s">
        <v>162</v>
      </c>
      <c r="C356" s="7"/>
      <c r="D356" s="7"/>
      <c r="E356" s="7"/>
      <c r="F356" s="7"/>
      <c r="G356" s="59">
        <f>G357+G364+G387</f>
        <v>724</v>
      </c>
      <c r="H356" s="59">
        <f>H357+H364+H387</f>
        <v>724</v>
      </c>
    </row>
    <row r="357" spans="1:8" ht="78.75" x14ac:dyDescent="0.25">
      <c r="A357" s="299" t="s">
        <v>1350</v>
      </c>
      <c r="B357" s="7" t="s">
        <v>849</v>
      </c>
      <c r="C357" s="7"/>
      <c r="D357" s="8"/>
      <c r="E357" s="194"/>
      <c r="F357" s="7"/>
      <c r="G357" s="59">
        <f>G359</f>
        <v>606</v>
      </c>
      <c r="H357" s="59">
        <f>H359</f>
        <v>606</v>
      </c>
    </row>
    <row r="358" spans="1:8" ht="15.75" x14ac:dyDescent="0.25">
      <c r="A358" s="45" t="s">
        <v>117</v>
      </c>
      <c r="B358" s="5" t="s">
        <v>849</v>
      </c>
      <c r="C358" s="469" t="s">
        <v>118</v>
      </c>
      <c r="D358" s="5"/>
      <c r="E358" s="5"/>
      <c r="F358" s="469"/>
      <c r="G358" s="10">
        <f t="shared" ref="G358:H358" si="45">G359</f>
        <v>606</v>
      </c>
      <c r="H358" s="10">
        <f t="shared" si="45"/>
        <v>606</v>
      </c>
    </row>
    <row r="359" spans="1:8" ht="78.75" x14ac:dyDescent="0.25">
      <c r="A359" s="29" t="s">
        <v>149</v>
      </c>
      <c r="B359" s="5" t="s">
        <v>849</v>
      </c>
      <c r="C359" s="469" t="s">
        <v>118</v>
      </c>
      <c r="D359" s="9" t="s">
        <v>150</v>
      </c>
      <c r="E359" s="5"/>
      <c r="F359" s="469"/>
      <c r="G359" s="10">
        <f>G360</f>
        <v>606</v>
      </c>
      <c r="H359" s="10">
        <f>H360</f>
        <v>606</v>
      </c>
    </row>
    <row r="360" spans="1:8" ht="63" x14ac:dyDescent="0.25">
      <c r="A360" s="29" t="s">
        <v>1314</v>
      </c>
      <c r="B360" s="469" t="s">
        <v>841</v>
      </c>
      <c r="C360" s="469" t="s">
        <v>118</v>
      </c>
      <c r="D360" s="9" t="s">
        <v>150</v>
      </c>
      <c r="E360" s="469"/>
      <c r="F360" s="469"/>
      <c r="G360" s="10">
        <f t="shared" ref="G360:H361" si="46">G361</f>
        <v>606</v>
      </c>
      <c r="H360" s="10">
        <f t="shared" si="46"/>
        <v>606</v>
      </c>
    </row>
    <row r="361" spans="1:8" ht="31.5" x14ac:dyDescent="0.25">
      <c r="A361" s="29" t="s">
        <v>131</v>
      </c>
      <c r="B361" s="469" t="s">
        <v>841</v>
      </c>
      <c r="C361" s="469" t="s">
        <v>118</v>
      </c>
      <c r="D361" s="9" t="s">
        <v>150</v>
      </c>
      <c r="E361" s="469" t="s">
        <v>132</v>
      </c>
      <c r="F361" s="469"/>
      <c r="G361" s="10">
        <f t="shared" si="46"/>
        <v>606</v>
      </c>
      <c r="H361" s="10">
        <f t="shared" si="46"/>
        <v>606</v>
      </c>
    </row>
    <row r="362" spans="1:8" ht="47.25" x14ac:dyDescent="0.25">
      <c r="A362" s="29" t="s">
        <v>133</v>
      </c>
      <c r="B362" s="469" t="s">
        <v>841</v>
      </c>
      <c r="C362" s="469" t="s">
        <v>118</v>
      </c>
      <c r="D362" s="9" t="s">
        <v>150</v>
      </c>
      <c r="E362" s="469" t="s">
        <v>134</v>
      </c>
      <c r="F362" s="469"/>
      <c r="G362" s="10">
        <f>'пр.6.1.ведом.22-23 (2)'!G93</f>
        <v>606</v>
      </c>
      <c r="H362" s="10">
        <f>'пр.6.1.ведом.22-23 (2)'!H93</f>
        <v>606</v>
      </c>
    </row>
    <row r="363" spans="1:8" ht="31.5" x14ac:dyDescent="0.25">
      <c r="A363" s="29" t="s">
        <v>148</v>
      </c>
      <c r="B363" s="469" t="s">
        <v>841</v>
      </c>
      <c r="C363" s="469" t="s">
        <v>118</v>
      </c>
      <c r="D363" s="9" t="s">
        <v>150</v>
      </c>
      <c r="E363" s="469" t="s">
        <v>134</v>
      </c>
      <c r="F363" s="469" t="s">
        <v>641</v>
      </c>
      <c r="G363" s="10">
        <f>G362</f>
        <v>606</v>
      </c>
      <c r="H363" s="10">
        <f>H362</f>
        <v>606</v>
      </c>
    </row>
    <row r="364" spans="1:8" ht="78.75" x14ac:dyDescent="0.25">
      <c r="A364" s="219" t="s">
        <v>843</v>
      </c>
      <c r="B364" s="7" t="s">
        <v>850</v>
      </c>
      <c r="C364" s="7"/>
      <c r="D364" s="8"/>
      <c r="E364" s="194"/>
      <c r="F364" s="7"/>
      <c r="G364" s="59">
        <f>G365</f>
        <v>117.5</v>
      </c>
      <c r="H364" s="59">
        <f>H365</f>
        <v>117.5</v>
      </c>
    </row>
    <row r="365" spans="1:8" ht="15.75" x14ac:dyDescent="0.25">
      <c r="A365" s="45" t="s">
        <v>117</v>
      </c>
      <c r="B365" s="5" t="s">
        <v>850</v>
      </c>
      <c r="C365" s="469" t="s">
        <v>118</v>
      </c>
      <c r="D365" s="5"/>
      <c r="E365" s="5"/>
      <c r="F365" s="469"/>
      <c r="G365" s="10">
        <f>G371+G366</f>
        <v>117.5</v>
      </c>
      <c r="H365" s="10">
        <f>H371+H366</f>
        <v>117.5</v>
      </c>
    </row>
    <row r="366" spans="1:8" ht="47.25" x14ac:dyDescent="0.25">
      <c r="A366" s="466" t="s">
        <v>575</v>
      </c>
      <c r="B366" s="5" t="s">
        <v>850</v>
      </c>
      <c r="C366" s="469" t="s">
        <v>118</v>
      </c>
      <c r="D366" s="9" t="s">
        <v>213</v>
      </c>
      <c r="E366" s="5"/>
      <c r="F366" s="469"/>
      <c r="G366" s="10">
        <f t="shared" ref="G366:H368" si="47">G367</f>
        <v>40.5</v>
      </c>
      <c r="H366" s="10">
        <f t="shared" si="47"/>
        <v>40.5</v>
      </c>
    </row>
    <row r="367" spans="1:8" ht="63" x14ac:dyDescent="0.25">
      <c r="A367" s="31" t="s">
        <v>695</v>
      </c>
      <c r="B367" s="469" t="s">
        <v>993</v>
      </c>
      <c r="C367" s="462" t="s">
        <v>118</v>
      </c>
      <c r="D367" s="9" t="s">
        <v>213</v>
      </c>
      <c r="E367" s="5"/>
      <c r="F367" s="469"/>
      <c r="G367" s="10">
        <f t="shared" si="47"/>
        <v>40.5</v>
      </c>
      <c r="H367" s="10">
        <f t="shared" si="47"/>
        <v>40.5</v>
      </c>
    </row>
    <row r="368" spans="1:8" ht="31.5" x14ac:dyDescent="0.25">
      <c r="A368" s="466" t="s">
        <v>131</v>
      </c>
      <c r="B368" s="469" t="s">
        <v>696</v>
      </c>
      <c r="C368" s="462" t="s">
        <v>118</v>
      </c>
      <c r="D368" s="9" t="s">
        <v>213</v>
      </c>
      <c r="E368" s="5">
        <v>200</v>
      </c>
      <c r="F368" s="469"/>
      <c r="G368" s="10">
        <f t="shared" si="47"/>
        <v>40.5</v>
      </c>
      <c r="H368" s="10">
        <f t="shared" si="47"/>
        <v>40.5</v>
      </c>
    </row>
    <row r="369" spans="1:8" ht="47.25" x14ac:dyDescent="0.25">
      <c r="A369" s="466" t="s">
        <v>133</v>
      </c>
      <c r="B369" s="469" t="s">
        <v>696</v>
      </c>
      <c r="C369" s="462" t="s">
        <v>118</v>
      </c>
      <c r="D369" s="9" t="s">
        <v>213</v>
      </c>
      <c r="E369" s="5">
        <v>240</v>
      </c>
      <c r="F369" s="469"/>
      <c r="G369" s="10">
        <f>'[1]Пр.5 ведом.21'!G47</f>
        <v>40.5</v>
      </c>
      <c r="H369" s="10">
        <f>H370</f>
        <v>40.5</v>
      </c>
    </row>
    <row r="370" spans="1:8" ht="31.5" x14ac:dyDescent="0.25">
      <c r="A370" s="466" t="s">
        <v>148</v>
      </c>
      <c r="B370" s="469" t="s">
        <v>696</v>
      </c>
      <c r="C370" s="462" t="s">
        <v>118</v>
      </c>
      <c r="D370" s="9" t="s">
        <v>213</v>
      </c>
      <c r="E370" s="5">
        <v>240</v>
      </c>
      <c r="F370" s="469" t="s">
        <v>641</v>
      </c>
      <c r="G370" s="10">
        <f>G367</f>
        <v>40.5</v>
      </c>
      <c r="H370" s="10">
        <f>'пр.6.1.ведом.22-23 (2)'!H48</f>
        <v>40.5</v>
      </c>
    </row>
    <row r="371" spans="1:8" ht="78.75" x14ac:dyDescent="0.25">
      <c r="A371" s="29" t="s">
        <v>149</v>
      </c>
      <c r="B371" s="5" t="s">
        <v>850</v>
      </c>
      <c r="C371" s="469" t="s">
        <v>118</v>
      </c>
      <c r="D371" s="9" t="s">
        <v>150</v>
      </c>
      <c r="E371" s="5"/>
      <c r="F371" s="469"/>
      <c r="G371" s="10">
        <f>G372+G379+G383</f>
        <v>77</v>
      </c>
      <c r="H371" s="10">
        <f>H372+H379+H383</f>
        <v>77</v>
      </c>
    </row>
    <row r="372" spans="1:8" ht="63" x14ac:dyDescent="0.25">
      <c r="A372" s="174" t="s">
        <v>165</v>
      </c>
      <c r="B372" s="469" t="s">
        <v>842</v>
      </c>
      <c r="C372" s="469" t="s">
        <v>118</v>
      </c>
      <c r="D372" s="9" t="s">
        <v>150</v>
      </c>
      <c r="E372" s="469"/>
      <c r="F372" s="469"/>
      <c r="G372" s="10">
        <f>G373+G376</f>
        <v>77</v>
      </c>
      <c r="H372" s="10">
        <f>H373+H376</f>
        <v>77</v>
      </c>
    </row>
    <row r="373" spans="1:8" ht="94.5" x14ac:dyDescent="0.25">
      <c r="A373" s="466" t="s">
        <v>127</v>
      </c>
      <c r="B373" s="469" t="s">
        <v>842</v>
      </c>
      <c r="C373" s="469" t="s">
        <v>118</v>
      </c>
      <c r="D373" s="9" t="s">
        <v>150</v>
      </c>
      <c r="E373" s="469" t="s">
        <v>128</v>
      </c>
      <c r="F373" s="469"/>
      <c r="G373" s="10">
        <f>G374</f>
        <v>37</v>
      </c>
      <c r="H373" s="10">
        <f>H374</f>
        <v>37</v>
      </c>
    </row>
    <row r="374" spans="1:8" ht="31.5" x14ac:dyDescent="0.25">
      <c r="A374" s="466" t="s">
        <v>129</v>
      </c>
      <c r="B374" s="469" t="s">
        <v>842</v>
      </c>
      <c r="C374" s="469" t="s">
        <v>118</v>
      </c>
      <c r="D374" s="9" t="s">
        <v>150</v>
      </c>
      <c r="E374" s="469" t="s">
        <v>130</v>
      </c>
      <c r="F374" s="469"/>
      <c r="G374" s="10">
        <f>'пр.6.1.ведом.22-23 (2)'!G97</f>
        <v>37</v>
      </c>
      <c r="H374" s="10">
        <f>'пр.6.1.ведом.22-23 (2)'!H97</f>
        <v>37</v>
      </c>
    </row>
    <row r="375" spans="1:8" ht="31.5" x14ac:dyDescent="0.25">
      <c r="A375" s="29" t="s">
        <v>1329</v>
      </c>
      <c r="B375" s="469" t="s">
        <v>842</v>
      </c>
      <c r="C375" s="469" t="s">
        <v>118</v>
      </c>
      <c r="D375" s="9" t="s">
        <v>150</v>
      </c>
      <c r="E375" s="469" t="s">
        <v>130</v>
      </c>
      <c r="F375" s="469" t="s">
        <v>641</v>
      </c>
      <c r="G375" s="10">
        <f>G374</f>
        <v>37</v>
      </c>
      <c r="H375" s="10">
        <f>H374</f>
        <v>37</v>
      </c>
    </row>
    <row r="376" spans="1:8" ht="31.5" x14ac:dyDescent="0.25">
      <c r="A376" s="466" t="s">
        <v>131</v>
      </c>
      <c r="B376" s="469" t="s">
        <v>842</v>
      </c>
      <c r="C376" s="469" t="s">
        <v>118</v>
      </c>
      <c r="D376" s="9" t="s">
        <v>150</v>
      </c>
      <c r="E376" s="469" t="s">
        <v>132</v>
      </c>
      <c r="F376" s="469"/>
      <c r="G376" s="10">
        <f>G377</f>
        <v>40</v>
      </c>
      <c r="H376" s="10">
        <f>H377</f>
        <v>40</v>
      </c>
    </row>
    <row r="377" spans="1:8" ht="47.25" x14ac:dyDescent="0.25">
      <c r="A377" s="466" t="s">
        <v>133</v>
      </c>
      <c r="B377" s="469" t="s">
        <v>842</v>
      </c>
      <c r="C377" s="469" t="s">
        <v>118</v>
      </c>
      <c r="D377" s="9" t="s">
        <v>150</v>
      </c>
      <c r="E377" s="469" t="s">
        <v>134</v>
      </c>
      <c r="F377" s="469"/>
      <c r="G377" s="10">
        <f>'пр.6.1.ведом.22-23 (2)'!G99</f>
        <v>40</v>
      </c>
      <c r="H377" s="10">
        <f>'пр.6.1.ведом.22-23 (2)'!H99</f>
        <v>40</v>
      </c>
    </row>
    <row r="378" spans="1:8" ht="31.5" x14ac:dyDescent="0.25">
      <c r="A378" s="29" t="s">
        <v>148</v>
      </c>
      <c r="B378" s="469" t="s">
        <v>842</v>
      </c>
      <c r="C378" s="469" t="s">
        <v>118</v>
      </c>
      <c r="D378" s="9" t="s">
        <v>150</v>
      </c>
      <c r="E378" s="469" t="s">
        <v>134</v>
      </c>
      <c r="F378" s="469" t="s">
        <v>641</v>
      </c>
      <c r="G378" s="10">
        <f>G377</f>
        <v>40</v>
      </c>
      <c r="H378" s="10">
        <f>H377</f>
        <v>40</v>
      </c>
    </row>
    <row r="379" spans="1:8" ht="63" hidden="1" x14ac:dyDescent="0.25">
      <c r="A379" s="31" t="s">
        <v>695</v>
      </c>
      <c r="B379" s="469" t="s">
        <v>993</v>
      </c>
      <c r="C379" s="469" t="s">
        <v>118</v>
      </c>
      <c r="D379" s="9" t="s">
        <v>150</v>
      </c>
      <c r="E379" s="5"/>
      <c r="F379" s="469"/>
      <c r="G379" s="10">
        <f>G380</f>
        <v>0</v>
      </c>
      <c r="H379" s="10">
        <f>H380</f>
        <v>0</v>
      </c>
    </row>
    <row r="380" spans="1:8" ht="31.5" hidden="1" x14ac:dyDescent="0.25">
      <c r="A380" s="466" t="s">
        <v>131</v>
      </c>
      <c r="B380" s="469" t="s">
        <v>993</v>
      </c>
      <c r="C380" s="469" t="s">
        <v>118</v>
      </c>
      <c r="D380" s="9" t="s">
        <v>150</v>
      </c>
      <c r="E380" s="5">
        <v>200</v>
      </c>
      <c r="F380" s="469"/>
      <c r="G380" s="10">
        <f>G381</f>
        <v>0</v>
      </c>
      <c r="H380" s="10">
        <f>H381</f>
        <v>0</v>
      </c>
    </row>
    <row r="381" spans="1:8" ht="47.25" hidden="1" x14ac:dyDescent="0.25">
      <c r="A381" s="466" t="s">
        <v>133</v>
      </c>
      <c r="B381" s="469" t="s">
        <v>993</v>
      </c>
      <c r="C381" s="469" t="s">
        <v>118</v>
      </c>
      <c r="D381" s="9" t="s">
        <v>150</v>
      </c>
      <c r="E381" s="5">
        <v>240</v>
      </c>
      <c r="F381" s="469"/>
      <c r="G381" s="10">
        <f>'[1]Пр.5 ведом.21'!G99</f>
        <v>0</v>
      </c>
      <c r="H381" s="10">
        <f>'пр.6.1.ведом.22-23 (2)'!H102</f>
        <v>0</v>
      </c>
    </row>
    <row r="382" spans="1:8" ht="31.5" hidden="1" x14ac:dyDescent="0.25">
      <c r="A382" s="29" t="s">
        <v>148</v>
      </c>
      <c r="B382" s="469" t="s">
        <v>993</v>
      </c>
      <c r="C382" s="469" t="s">
        <v>118</v>
      </c>
      <c r="D382" s="9" t="s">
        <v>150</v>
      </c>
      <c r="E382" s="5">
        <v>240</v>
      </c>
      <c r="F382" s="469" t="s">
        <v>641</v>
      </c>
      <c r="G382" s="10">
        <f>G381</f>
        <v>0</v>
      </c>
      <c r="H382" s="10">
        <f>H381</f>
        <v>0</v>
      </c>
    </row>
    <row r="383" spans="1:8" ht="63" hidden="1" x14ac:dyDescent="0.25">
      <c r="A383" s="31" t="s">
        <v>695</v>
      </c>
      <c r="B383" s="462" t="s">
        <v>992</v>
      </c>
      <c r="C383" s="469" t="s">
        <v>118</v>
      </c>
      <c r="D383" s="9" t="s">
        <v>150</v>
      </c>
      <c r="E383" s="5"/>
      <c r="F383" s="469"/>
      <c r="G383" s="10">
        <f>G384</f>
        <v>0</v>
      </c>
      <c r="H383" s="10">
        <f>H384</f>
        <v>0</v>
      </c>
    </row>
    <row r="384" spans="1:8" ht="31.5" hidden="1" x14ac:dyDescent="0.25">
      <c r="A384" s="466" t="s">
        <v>131</v>
      </c>
      <c r="B384" s="462" t="s">
        <v>992</v>
      </c>
      <c r="C384" s="469" t="s">
        <v>118</v>
      </c>
      <c r="D384" s="9" t="s">
        <v>150</v>
      </c>
      <c r="E384" s="5">
        <v>200</v>
      </c>
      <c r="F384" s="469"/>
      <c r="G384" s="10">
        <f>G385</f>
        <v>0</v>
      </c>
      <c r="H384" s="10">
        <f>H385</f>
        <v>0</v>
      </c>
    </row>
    <row r="385" spans="1:8" ht="47.25" hidden="1" x14ac:dyDescent="0.25">
      <c r="A385" s="466" t="s">
        <v>133</v>
      </c>
      <c r="B385" s="462" t="s">
        <v>992</v>
      </c>
      <c r="C385" s="469" t="s">
        <v>118</v>
      </c>
      <c r="D385" s="9" t="s">
        <v>150</v>
      </c>
      <c r="E385" s="5">
        <v>240</v>
      </c>
      <c r="F385" s="469"/>
      <c r="G385" s="10">
        <f>'пр.6.1.ведом.22-23 (2)'!G105</f>
        <v>0</v>
      </c>
      <c r="H385" s="10">
        <f>'пр.6.1.ведом.22-23 (2)'!H105</f>
        <v>0</v>
      </c>
    </row>
    <row r="386" spans="1:8" ht="31.5" hidden="1" x14ac:dyDescent="0.25">
      <c r="A386" s="29" t="s">
        <v>148</v>
      </c>
      <c r="B386" s="462" t="s">
        <v>992</v>
      </c>
      <c r="C386" s="469" t="s">
        <v>118</v>
      </c>
      <c r="D386" s="9" t="s">
        <v>150</v>
      </c>
      <c r="E386" s="5">
        <v>240</v>
      </c>
      <c r="F386" s="469" t="s">
        <v>641</v>
      </c>
      <c r="G386" s="10">
        <f>G385</f>
        <v>0</v>
      </c>
      <c r="H386" s="10">
        <f>H385</f>
        <v>0</v>
      </c>
    </row>
    <row r="387" spans="1:8" ht="78.75" x14ac:dyDescent="0.25">
      <c r="A387" s="220" t="s">
        <v>1003</v>
      </c>
      <c r="B387" s="7" t="s">
        <v>851</v>
      </c>
      <c r="C387" s="7"/>
      <c r="D387" s="8"/>
      <c r="E387" s="7"/>
      <c r="F387" s="7"/>
      <c r="G387" s="59">
        <f>G388</f>
        <v>0.5</v>
      </c>
      <c r="H387" s="59">
        <f>H388</f>
        <v>0.5</v>
      </c>
    </row>
    <row r="388" spans="1:8" ht="15.75" x14ac:dyDescent="0.25">
      <c r="A388" s="45" t="s">
        <v>117</v>
      </c>
      <c r="B388" s="469" t="s">
        <v>851</v>
      </c>
      <c r="C388" s="469" t="s">
        <v>118</v>
      </c>
      <c r="D388" s="9"/>
      <c r="E388" s="7"/>
      <c r="F388" s="7"/>
      <c r="G388" s="10">
        <f>G389</f>
        <v>0.5</v>
      </c>
      <c r="H388" s="10">
        <f>H389</f>
        <v>0.5</v>
      </c>
    </row>
    <row r="389" spans="1:8" ht="78.75" x14ac:dyDescent="0.25">
      <c r="A389" s="29" t="s">
        <v>149</v>
      </c>
      <c r="B389" s="469" t="s">
        <v>851</v>
      </c>
      <c r="C389" s="469" t="s">
        <v>118</v>
      </c>
      <c r="D389" s="9" t="s">
        <v>150</v>
      </c>
      <c r="E389" s="7"/>
      <c r="F389" s="7"/>
      <c r="G389" s="10">
        <f>G390</f>
        <v>0.5</v>
      </c>
      <c r="H389" s="10">
        <f>H390+H394</f>
        <v>0.5</v>
      </c>
    </row>
    <row r="390" spans="1:8" ht="63" x14ac:dyDescent="0.25">
      <c r="A390" s="33" t="s">
        <v>191</v>
      </c>
      <c r="B390" s="469" t="s">
        <v>844</v>
      </c>
      <c r="C390" s="469" t="s">
        <v>118</v>
      </c>
      <c r="D390" s="9" t="s">
        <v>150</v>
      </c>
      <c r="E390" s="469"/>
      <c r="F390" s="469"/>
      <c r="G390" s="10">
        <f>G391</f>
        <v>0.5</v>
      </c>
      <c r="H390" s="10">
        <f>H391</f>
        <v>0.5</v>
      </c>
    </row>
    <row r="391" spans="1:8" ht="31.5" x14ac:dyDescent="0.25">
      <c r="A391" s="466" t="s">
        <v>131</v>
      </c>
      <c r="B391" s="469" t="s">
        <v>844</v>
      </c>
      <c r="C391" s="469" t="s">
        <v>118</v>
      </c>
      <c r="D391" s="9" t="s">
        <v>150</v>
      </c>
      <c r="E391" s="469" t="s">
        <v>132</v>
      </c>
      <c r="F391" s="469"/>
      <c r="G391" s="10">
        <f>G392</f>
        <v>0.5</v>
      </c>
      <c r="H391" s="10">
        <f>H392</f>
        <v>0.5</v>
      </c>
    </row>
    <row r="392" spans="1:8" ht="47.25" x14ac:dyDescent="0.25">
      <c r="A392" s="466" t="s">
        <v>133</v>
      </c>
      <c r="B392" s="469" t="s">
        <v>844</v>
      </c>
      <c r="C392" s="469" t="s">
        <v>118</v>
      </c>
      <c r="D392" s="9" t="s">
        <v>150</v>
      </c>
      <c r="E392" s="469" t="s">
        <v>134</v>
      </c>
      <c r="F392" s="469"/>
      <c r="G392" s="10">
        <f>'пр.6.1.ведом.22-23 (2)'!G109</f>
        <v>0.5</v>
      </c>
      <c r="H392" s="10">
        <f>'пр.6.1.ведом.22-23 (2)'!H109</f>
        <v>0.5</v>
      </c>
    </row>
    <row r="393" spans="1:8" ht="31.5" x14ac:dyDescent="0.25">
      <c r="A393" s="29" t="s">
        <v>148</v>
      </c>
      <c r="B393" s="469" t="s">
        <v>844</v>
      </c>
      <c r="C393" s="469" t="s">
        <v>118</v>
      </c>
      <c r="D393" s="9" t="s">
        <v>150</v>
      </c>
      <c r="E393" s="469" t="s">
        <v>134</v>
      </c>
      <c r="F393" s="469" t="s">
        <v>641</v>
      </c>
      <c r="G393" s="10">
        <f>G392</f>
        <v>0.5</v>
      </c>
      <c r="H393" s="10">
        <f>H392</f>
        <v>0.5</v>
      </c>
    </row>
    <row r="394" spans="1:8" ht="63" hidden="1" x14ac:dyDescent="0.25">
      <c r="A394" s="33" t="s">
        <v>191</v>
      </c>
      <c r="B394" s="462" t="s">
        <v>845</v>
      </c>
      <c r="C394" s="469" t="s">
        <v>118</v>
      </c>
      <c r="D394" s="9" t="s">
        <v>150</v>
      </c>
      <c r="E394" s="469"/>
      <c r="F394" s="469"/>
      <c r="G394" s="10">
        <f>G395</f>
        <v>0</v>
      </c>
      <c r="H394" s="10">
        <f>H395</f>
        <v>0</v>
      </c>
    </row>
    <row r="395" spans="1:8" ht="31.5" hidden="1" x14ac:dyDescent="0.25">
      <c r="A395" s="466" t="s">
        <v>131</v>
      </c>
      <c r="B395" s="462" t="s">
        <v>845</v>
      </c>
      <c r="C395" s="469" t="s">
        <v>118</v>
      </c>
      <c r="D395" s="9" t="s">
        <v>150</v>
      </c>
      <c r="E395" s="469" t="s">
        <v>132</v>
      </c>
      <c r="F395" s="469"/>
      <c r="G395" s="10">
        <f>G396</f>
        <v>0</v>
      </c>
      <c r="H395" s="10">
        <f>H396</f>
        <v>0</v>
      </c>
    </row>
    <row r="396" spans="1:8" ht="47.25" hidden="1" x14ac:dyDescent="0.25">
      <c r="A396" s="466" t="s">
        <v>133</v>
      </c>
      <c r="B396" s="462" t="s">
        <v>845</v>
      </c>
      <c r="C396" s="469" t="s">
        <v>118</v>
      </c>
      <c r="D396" s="9" t="s">
        <v>150</v>
      </c>
      <c r="E396" s="469" t="s">
        <v>134</v>
      </c>
      <c r="F396" s="469"/>
      <c r="G396" s="10">
        <f>'пр.6.1.ведом.22-23 (2)'!G112</f>
        <v>0</v>
      </c>
      <c r="H396" s="10">
        <f>'пр.6.1.ведом.22-23 (2)'!H112</f>
        <v>0</v>
      </c>
    </row>
    <row r="397" spans="1:8" ht="31.5" hidden="1" x14ac:dyDescent="0.25">
      <c r="A397" s="29" t="s">
        <v>148</v>
      </c>
      <c r="B397" s="462" t="s">
        <v>845</v>
      </c>
      <c r="C397" s="469" t="s">
        <v>118</v>
      </c>
      <c r="D397" s="9" t="s">
        <v>150</v>
      </c>
      <c r="E397" s="469" t="s">
        <v>134</v>
      </c>
      <c r="F397" s="469" t="s">
        <v>641</v>
      </c>
      <c r="G397" s="10">
        <f>G396</f>
        <v>0</v>
      </c>
      <c r="H397" s="10">
        <f>H396</f>
        <v>0</v>
      </c>
    </row>
    <row r="398" spans="1:8" ht="63" x14ac:dyDescent="0.25">
      <c r="A398" s="470" t="s">
        <v>1357</v>
      </c>
      <c r="B398" s="194" t="s">
        <v>254</v>
      </c>
      <c r="C398" s="469"/>
      <c r="D398" s="469"/>
      <c r="E398" s="469"/>
      <c r="F398" s="469"/>
      <c r="G398" s="59">
        <f t="shared" ref="G398:H398" si="48">G400</f>
        <v>10</v>
      </c>
      <c r="H398" s="59">
        <f t="shared" si="48"/>
        <v>10</v>
      </c>
    </row>
    <row r="399" spans="1:8" ht="47.25" x14ac:dyDescent="0.25">
      <c r="A399" s="464" t="s">
        <v>884</v>
      </c>
      <c r="B399" s="465" t="s">
        <v>882</v>
      </c>
      <c r="C399" s="469"/>
      <c r="D399" s="469"/>
      <c r="E399" s="469"/>
      <c r="F399" s="469"/>
      <c r="G399" s="59">
        <f t="shared" ref="G399:H400" si="49">G400</f>
        <v>10</v>
      </c>
      <c r="H399" s="59">
        <f t="shared" si="49"/>
        <v>10</v>
      </c>
    </row>
    <row r="400" spans="1:8" ht="15.75" x14ac:dyDescent="0.25">
      <c r="A400" s="29" t="s">
        <v>243</v>
      </c>
      <c r="B400" s="5" t="s">
        <v>882</v>
      </c>
      <c r="C400" s="469" t="s">
        <v>244</v>
      </c>
      <c r="D400" s="469"/>
      <c r="E400" s="469"/>
      <c r="F400" s="469"/>
      <c r="G400" s="10">
        <f t="shared" si="49"/>
        <v>10</v>
      </c>
      <c r="H400" s="10">
        <f t="shared" si="49"/>
        <v>10</v>
      </c>
    </row>
    <row r="401" spans="1:8" ht="15.75" x14ac:dyDescent="0.25">
      <c r="A401" s="29" t="s">
        <v>252</v>
      </c>
      <c r="B401" s="5" t="s">
        <v>882</v>
      </c>
      <c r="C401" s="469" t="s">
        <v>244</v>
      </c>
      <c r="D401" s="469" t="s">
        <v>215</v>
      </c>
      <c r="E401" s="469"/>
      <c r="F401" s="469"/>
      <c r="G401" s="10">
        <f>G402</f>
        <v>10</v>
      </c>
      <c r="H401" s="10">
        <f>H402</f>
        <v>10</v>
      </c>
    </row>
    <row r="402" spans="1:8" ht="31.5" x14ac:dyDescent="0.25">
      <c r="A402" s="466" t="s">
        <v>883</v>
      </c>
      <c r="B402" s="462" t="s">
        <v>1193</v>
      </c>
      <c r="C402" s="469" t="s">
        <v>244</v>
      </c>
      <c r="D402" s="469" t="s">
        <v>215</v>
      </c>
      <c r="E402" s="469"/>
      <c r="F402" s="469"/>
      <c r="G402" s="10">
        <f t="shared" ref="G402:H403" si="50">G403</f>
        <v>10</v>
      </c>
      <c r="H402" s="10">
        <f t="shared" si="50"/>
        <v>10</v>
      </c>
    </row>
    <row r="403" spans="1:8" ht="31.5" x14ac:dyDescent="0.25">
      <c r="A403" s="466" t="s">
        <v>248</v>
      </c>
      <c r="B403" s="462" t="s">
        <v>1193</v>
      </c>
      <c r="C403" s="469" t="s">
        <v>244</v>
      </c>
      <c r="D403" s="469" t="s">
        <v>215</v>
      </c>
      <c r="E403" s="469" t="s">
        <v>249</v>
      </c>
      <c r="F403" s="469"/>
      <c r="G403" s="10">
        <f t="shared" si="50"/>
        <v>10</v>
      </c>
      <c r="H403" s="10">
        <f t="shared" si="50"/>
        <v>10</v>
      </c>
    </row>
    <row r="404" spans="1:8" ht="47.25" x14ac:dyDescent="0.25">
      <c r="A404" s="466" t="s">
        <v>250</v>
      </c>
      <c r="B404" s="462" t="s">
        <v>1193</v>
      </c>
      <c r="C404" s="469" t="s">
        <v>244</v>
      </c>
      <c r="D404" s="469" t="s">
        <v>215</v>
      </c>
      <c r="E404" s="469" t="s">
        <v>251</v>
      </c>
      <c r="F404" s="469"/>
      <c r="G404" s="10">
        <f>'пр.6.1.ведом.22-23 (2)'!G230</f>
        <v>10</v>
      </c>
      <c r="H404" s="10">
        <f>'пр.6.1.ведом.22-23 (2)'!H230</f>
        <v>10</v>
      </c>
    </row>
    <row r="405" spans="1:8" ht="31.5" x14ac:dyDescent="0.25">
      <c r="A405" s="29" t="s">
        <v>148</v>
      </c>
      <c r="B405" s="462" t="s">
        <v>1193</v>
      </c>
      <c r="C405" s="469" t="s">
        <v>244</v>
      </c>
      <c r="D405" s="469" t="s">
        <v>215</v>
      </c>
      <c r="E405" s="469" t="s">
        <v>251</v>
      </c>
      <c r="F405" s="469" t="s">
        <v>641</v>
      </c>
      <c r="G405" s="10">
        <f>G404</f>
        <v>10</v>
      </c>
      <c r="H405" s="10">
        <f>H404</f>
        <v>10</v>
      </c>
    </row>
    <row r="406" spans="1:8" ht="47.25" x14ac:dyDescent="0.25">
      <c r="A406" s="470" t="s">
        <v>1380</v>
      </c>
      <c r="B406" s="3" t="s">
        <v>482</v>
      </c>
      <c r="C406" s="68"/>
      <c r="D406" s="68"/>
      <c r="E406" s="68"/>
      <c r="F406" s="68"/>
      <c r="G406" s="458">
        <f>G407+G414+G429+G440+G447</f>
        <v>52873.1</v>
      </c>
      <c r="H406" s="458">
        <f>H407+H414+H429+H440+H447</f>
        <v>52873.1</v>
      </c>
    </row>
    <row r="407" spans="1:8" ht="47.25" x14ac:dyDescent="0.25">
      <c r="A407" s="464" t="s">
        <v>937</v>
      </c>
      <c r="B407" s="465" t="s">
        <v>1268</v>
      </c>
      <c r="C407" s="7"/>
      <c r="D407" s="7"/>
      <c r="E407" s="222"/>
      <c r="F407" s="194"/>
      <c r="G407" s="59">
        <f>G408</f>
        <v>47819.6</v>
      </c>
      <c r="H407" s="59">
        <f>H408</f>
        <v>47819.6</v>
      </c>
    </row>
    <row r="408" spans="1:8" ht="15.75" x14ac:dyDescent="0.25">
      <c r="A408" s="29" t="s">
        <v>490</v>
      </c>
      <c r="B408" s="469" t="s">
        <v>1268</v>
      </c>
      <c r="C408" s="2">
        <v>11</v>
      </c>
      <c r="D408" s="68"/>
      <c r="E408" s="68"/>
      <c r="F408" s="68"/>
      <c r="G408" s="10">
        <f t="shared" ref="G408:H411" si="51">G409</f>
        <v>47819.6</v>
      </c>
      <c r="H408" s="10">
        <f t="shared" si="51"/>
        <v>47819.6</v>
      </c>
    </row>
    <row r="409" spans="1:8" ht="16.5" x14ac:dyDescent="0.25">
      <c r="A409" s="29" t="s">
        <v>492</v>
      </c>
      <c r="B409" s="469" t="s">
        <v>1268</v>
      </c>
      <c r="C409" s="469" t="s">
        <v>491</v>
      </c>
      <c r="D409" s="469" t="s">
        <v>118</v>
      </c>
      <c r="E409" s="71"/>
      <c r="F409" s="5"/>
      <c r="G409" s="10">
        <f t="shared" si="51"/>
        <v>47819.6</v>
      </c>
      <c r="H409" s="10">
        <f t="shared" si="51"/>
        <v>47819.6</v>
      </c>
    </row>
    <row r="410" spans="1:8" ht="47.25" x14ac:dyDescent="0.25">
      <c r="A410" s="466" t="s">
        <v>1298</v>
      </c>
      <c r="B410" s="462" t="s">
        <v>1269</v>
      </c>
      <c r="C410" s="469" t="s">
        <v>491</v>
      </c>
      <c r="D410" s="469" t="s">
        <v>118</v>
      </c>
      <c r="E410" s="71"/>
      <c r="F410" s="5"/>
      <c r="G410" s="10">
        <f t="shared" si="51"/>
        <v>47819.6</v>
      </c>
      <c r="H410" s="10">
        <f t="shared" si="51"/>
        <v>47819.6</v>
      </c>
    </row>
    <row r="411" spans="1:8" ht="47.25" x14ac:dyDescent="0.25">
      <c r="A411" s="29" t="s">
        <v>272</v>
      </c>
      <c r="B411" s="462" t="s">
        <v>1269</v>
      </c>
      <c r="C411" s="469" t="s">
        <v>491</v>
      </c>
      <c r="D411" s="469" t="s">
        <v>118</v>
      </c>
      <c r="E411" s="469" t="s">
        <v>273</v>
      </c>
      <c r="F411" s="5"/>
      <c r="G411" s="10">
        <f t="shared" si="51"/>
        <v>47819.6</v>
      </c>
      <c r="H411" s="10">
        <f t="shared" si="51"/>
        <v>47819.6</v>
      </c>
    </row>
    <row r="412" spans="1:8" ht="15.75" x14ac:dyDescent="0.25">
      <c r="A412" s="29" t="s">
        <v>274</v>
      </c>
      <c r="B412" s="462" t="s">
        <v>1269</v>
      </c>
      <c r="C412" s="469" t="s">
        <v>491</v>
      </c>
      <c r="D412" s="469" t="s">
        <v>118</v>
      </c>
      <c r="E412" s="469" t="s">
        <v>275</v>
      </c>
      <c r="F412" s="5"/>
      <c r="G412" s="10">
        <f>'пр.6.1.ведом.22-23 (2)'!G770</f>
        <v>47819.6</v>
      </c>
      <c r="H412" s="10">
        <f>'пр.6.1.ведом.22-23 (2)'!H770</f>
        <v>47819.6</v>
      </c>
    </row>
    <row r="413" spans="1:8" ht="47.25" x14ac:dyDescent="0.25">
      <c r="A413" s="45" t="s">
        <v>480</v>
      </c>
      <c r="B413" s="462" t="s">
        <v>1269</v>
      </c>
      <c r="C413" s="469" t="s">
        <v>491</v>
      </c>
      <c r="D413" s="469" t="s">
        <v>118</v>
      </c>
      <c r="E413" s="469" t="s">
        <v>275</v>
      </c>
      <c r="F413" s="5">
        <v>907</v>
      </c>
      <c r="G413" s="10">
        <f>G412</f>
        <v>47819.6</v>
      </c>
      <c r="H413" s="10">
        <f>H412</f>
        <v>47819.6</v>
      </c>
    </row>
    <row r="414" spans="1:8" ht="31.5" x14ac:dyDescent="0.25">
      <c r="A414" s="464" t="s">
        <v>945</v>
      </c>
      <c r="B414" s="465" t="s">
        <v>1270</v>
      </c>
      <c r="C414" s="7"/>
      <c r="D414" s="7"/>
      <c r="E414" s="7"/>
      <c r="F414" s="194"/>
      <c r="G414" s="59">
        <f>G415</f>
        <v>36</v>
      </c>
      <c r="H414" s="59">
        <f>H415</f>
        <v>36</v>
      </c>
    </row>
    <row r="415" spans="1:8" ht="15.75" x14ac:dyDescent="0.25">
      <c r="A415" s="29" t="s">
        <v>490</v>
      </c>
      <c r="B415" s="462" t="s">
        <v>1270</v>
      </c>
      <c r="C415" s="2">
        <v>11</v>
      </c>
      <c r="D415" s="68"/>
      <c r="E415" s="68"/>
      <c r="F415" s="68"/>
      <c r="G415" s="10">
        <f t="shared" ref="G415:H415" si="52">G416</f>
        <v>36</v>
      </c>
      <c r="H415" s="10">
        <f t="shared" si="52"/>
        <v>36</v>
      </c>
    </row>
    <row r="416" spans="1:8" ht="16.5" x14ac:dyDescent="0.25">
      <c r="A416" s="29" t="s">
        <v>492</v>
      </c>
      <c r="B416" s="462" t="s">
        <v>1270</v>
      </c>
      <c r="C416" s="469" t="s">
        <v>491</v>
      </c>
      <c r="D416" s="469" t="s">
        <v>118</v>
      </c>
      <c r="E416" s="71"/>
      <c r="F416" s="5"/>
      <c r="G416" s="10">
        <f>G417+G421+G425</f>
        <v>36</v>
      </c>
      <c r="H416" s="10">
        <f>H417+H421+H425</f>
        <v>36</v>
      </c>
    </row>
    <row r="417" spans="1:8" ht="47.25" hidden="1" x14ac:dyDescent="0.25">
      <c r="A417" s="29" t="s">
        <v>278</v>
      </c>
      <c r="B417" s="462" t="s">
        <v>1330</v>
      </c>
      <c r="C417" s="469" t="s">
        <v>491</v>
      </c>
      <c r="D417" s="469" t="s">
        <v>118</v>
      </c>
      <c r="E417" s="469"/>
      <c r="F417" s="5"/>
      <c r="G417" s="10">
        <f t="shared" ref="G417:H418" si="53">G418</f>
        <v>0</v>
      </c>
      <c r="H417" s="10">
        <f t="shared" si="53"/>
        <v>0</v>
      </c>
    </row>
    <row r="418" spans="1:8" ht="47.25" hidden="1" x14ac:dyDescent="0.25">
      <c r="A418" s="29" t="s">
        <v>272</v>
      </c>
      <c r="B418" s="462" t="s">
        <v>1330</v>
      </c>
      <c r="C418" s="469" t="s">
        <v>491</v>
      </c>
      <c r="D418" s="469" t="s">
        <v>118</v>
      </c>
      <c r="E418" s="469" t="s">
        <v>273</v>
      </c>
      <c r="F418" s="5"/>
      <c r="G418" s="10">
        <f t="shared" si="53"/>
        <v>0</v>
      </c>
      <c r="H418" s="10">
        <f t="shared" si="53"/>
        <v>0</v>
      </c>
    </row>
    <row r="419" spans="1:8" ht="15.75" hidden="1" x14ac:dyDescent="0.25">
      <c r="A419" s="29" t="s">
        <v>274</v>
      </c>
      <c r="B419" s="462" t="s">
        <v>1330</v>
      </c>
      <c r="C419" s="469" t="s">
        <v>491</v>
      </c>
      <c r="D419" s="469" t="s">
        <v>118</v>
      </c>
      <c r="E419" s="469" t="s">
        <v>275</v>
      </c>
      <c r="F419" s="5"/>
      <c r="G419" s="10">
        <f>'пр.6.1.ведом.22-23 (2)'!G774</f>
        <v>0</v>
      </c>
      <c r="H419" s="10">
        <f>'пр.6.1.ведом.22-23 (2)'!H774</f>
        <v>0</v>
      </c>
    </row>
    <row r="420" spans="1:8" ht="47.25" hidden="1" x14ac:dyDescent="0.25">
      <c r="A420" s="45" t="s">
        <v>480</v>
      </c>
      <c r="B420" s="462" t="s">
        <v>1330</v>
      </c>
      <c r="C420" s="469" t="s">
        <v>491</v>
      </c>
      <c r="D420" s="469" t="s">
        <v>118</v>
      </c>
      <c r="E420" s="469" t="s">
        <v>275</v>
      </c>
      <c r="F420" s="5">
        <v>907</v>
      </c>
      <c r="G420" s="10">
        <f>G419</f>
        <v>0</v>
      </c>
      <c r="H420" s="10">
        <f>H419</f>
        <v>0</v>
      </c>
    </row>
    <row r="421" spans="1:8" ht="31.5" hidden="1" x14ac:dyDescent="0.25">
      <c r="A421" s="29" t="s">
        <v>280</v>
      </c>
      <c r="B421" s="462" t="s">
        <v>1331</v>
      </c>
      <c r="C421" s="469" t="s">
        <v>491</v>
      </c>
      <c r="D421" s="469" t="s">
        <v>118</v>
      </c>
      <c r="E421" s="469"/>
      <c r="F421" s="5"/>
      <c r="G421" s="10">
        <f t="shared" ref="G421:H422" si="54">G422</f>
        <v>0</v>
      </c>
      <c r="H421" s="10">
        <f t="shared" si="54"/>
        <v>0</v>
      </c>
    </row>
    <row r="422" spans="1:8" ht="47.25" hidden="1" x14ac:dyDescent="0.25">
      <c r="A422" s="29" t="s">
        <v>272</v>
      </c>
      <c r="B422" s="462" t="s">
        <v>1331</v>
      </c>
      <c r="C422" s="469" t="s">
        <v>491</v>
      </c>
      <c r="D422" s="469" t="s">
        <v>118</v>
      </c>
      <c r="E422" s="469" t="s">
        <v>273</v>
      </c>
      <c r="F422" s="5"/>
      <c r="G422" s="10">
        <f t="shared" si="54"/>
        <v>0</v>
      </c>
      <c r="H422" s="10">
        <f t="shared" si="54"/>
        <v>0</v>
      </c>
    </row>
    <row r="423" spans="1:8" ht="15.75" hidden="1" x14ac:dyDescent="0.25">
      <c r="A423" s="29" t="s">
        <v>274</v>
      </c>
      <c r="B423" s="462" t="s">
        <v>1331</v>
      </c>
      <c r="C423" s="469" t="s">
        <v>491</v>
      </c>
      <c r="D423" s="469" t="s">
        <v>118</v>
      </c>
      <c r="E423" s="469" t="s">
        <v>275</v>
      </c>
      <c r="F423" s="5"/>
      <c r="G423" s="10">
        <f>'пр.6.1.ведом.22-23 (2)'!G777</f>
        <v>0</v>
      </c>
      <c r="H423" s="10">
        <f>'пр.6.1.ведом.22-23 (2)'!H777</f>
        <v>0</v>
      </c>
    </row>
    <row r="424" spans="1:8" ht="47.25" hidden="1" x14ac:dyDescent="0.25">
      <c r="A424" s="45" t="s">
        <v>480</v>
      </c>
      <c r="B424" s="462" t="s">
        <v>1331</v>
      </c>
      <c r="C424" s="469" t="s">
        <v>491</v>
      </c>
      <c r="D424" s="469" t="s">
        <v>118</v>
      </c>
      <c r="E424" s="469" t="s">
        <v>275</v>
      </c>
      <c r="F424" s="5">
        <v>907</v>
      </c>
      <c r="G424" s="10">
        <f>G423</f>
        <v>0</v>
      </c>
      <c r="H424" s="10">
        <f>H423</f>
        <v>0</v>
      </c>
    </row>
    <row r="425" spans="1:8" ht="15.75" x14ac:dyDescent="0.25">
      <c r="A425" s="466" t="s">
        <v>830</v>
      </c>
      <c r="B425" s="462" t="s">
        <v>1271</v>
      </c>
      <c r="C425" s="469" t="s">
        <v>491</v>
      </c>
      <c r="D425" s="469" t="s">
        <v>118</v>
      </c>
      <c r="E425" s="469"/>
      <c r="F425" s="5"/>
      <c r="G425" s="10">
        <f>G426</f>
        <v>36</v>
      </c>
      <c r="H425" s="10">
        <f>H426</f>
        <v>36</v>
      </c>
    </row>
    <row r="426" spans="1:8" ht="47.25" x14ac:dyDescent="0.25">
      <c r="A426" s="466" t="s">
        <v>272</v>
      </c>
      <c r="B426" s="462" t="s">
        <v>1271</v>
      </c>
      <c r="C426" s="469" t="s">
        <v>491</v>
      </c>
      <c r="D426" s="469" t="s">
        <v>118</v>
      </c>
      <c r="E426" s="469" t="s">
        <v>273</v>
      </c>
      <c r="F426" s="5"/>
      <c r="G426" s="10">
        <f>G427</f>
        <v>36</v>
      </c>
      <c r="H426" s="10">
        <f>H427</f>
        <v>36</v>
      </c>
    </row>
    <row r="427" spans="1:8" ht="15.75" x14ac:dyDescent="0.25">
      <c r="A427" s="466" t="s">
        <v>274</v>
      </c>
      <c r="B427" s="462" t="s">
        <v>1271</v>
      </c>
      <c r="C427" s="469" t="s">
        <v>491</v>
      </c>
      <c r="D427" s="469" t="s">
        <v>118</v>
      </c>
      <c r="E427" s="469" t="s">
        <v>275</v>
      </c>
      <c r="F427" s="5"/>
      <c r="G427" s="10">
        <f>'пр.6.1.ведом.22-23 (2)'!G781</f>
        <v>36</v>
      </c>
      <c r="H427" s="10">
        <f>'пр.6.1.ведом.22-23 (2)'!H781</f>
        <v>36</v>
      </c>
    </row>
    <row r="428" spans="1:8" ht="47.25" x14ac:dyDescent="0.25">
      <c r="A428" s="45" t="s">
        <v>480</v>
      </c>
      <c r="B428" s="462" t="s">
        <v>1271</v>
      </c>
      <c r="C428" s="469" t="s">
        <v>491</v>
      </c>
      <c r="D428" s="469" t="s">
        <v>118</v>
      </c>
      <c r="E428" s="469" t="s">
        <v>275</v>
      </c>
      <c r="F428" s="5">
        <v>907</v>
      </c>
      <c r="G428" s="10">
        <f>G427</f>
        <v>36</v>
      </c>
      <c r="H428" s="10">
        <f>H427</f>
        <v>36</v>
      </c>
    </row>
    <row r="429" spans="1:8" ht="47.25" x14ac:dyDescent="0.25">
      <c r="A429" s="464" t="s">
        <v>947</v>
      </c>
      <c r="B429" s="465" t="s">
        <v>1272</v>
      </c>
      <c r="C429" s="7"/>
      <c r="D429" s="7"/>
      <c r="E429" s="7"/>
      <c r="F429" s="194"/>
      <c r="G429" s="59">
        <f>G430</f>
        <v>1204</v>
      </c>
      <c r="H429" s="59">
        <f>H430</f>
        <v>1204</v>
      </c>
    </row>
    <row r="430" spans="1:8" ht="15.75" x14ac:dyDescent="0.25">
      <c r="A430" s="29" t="s">
        <v>490</v>
      </c>
      <c r="B430" s="462" t="s">
        <v>1272</v>
      </c>
      <c r="C430" s="2">
        <v>11</v>
      </c>
      <c r="D430" s="68"/>
      <c r="E430" s="68"/>
      <c r="F430" s="68"/>
      <c r="G430" s="10">
        <f t="shared" ref="G430:H430" si="55">G431</f>
        <v>1204</v>
      </c>
      <c r="H430" s="10">
        <f t="shared" si="55"/>
        <v>1204</v>
      </c>
    </row>
    <row r="431" spans="1:8" ht="16.5" x14ac:dyDescent="0.25">
      <c r="A431" s="29" t="s">
        <v>492</v>
      </c>
      <c r="B431" s="462" t="s">
        <v>1272</v>
      </c>
      <c r="C431" s="469" t="s">
        <v>491</v>
      </c>
      <c r="D431" s="469" t="s">
        <v>118</v>
      </c>
      <c r="E431" s="71"/>
      <c r="F431" s="5"/>
      <c r="G431" s="10">
        <f>G432+G436</f>
        <v>1204</v>
      </c>
      <c r="H431" s="10">
        <f>H432+H436</f>
        <v>1204</v>
      </c>
    </row>
    <row r="432" spans="1:8" ht="31.5" hidden="1" x14ac:dyDescent="0.25">
      <c r="A432" s="29" t="s">
        <v>284</v>
      </c>
      <c r="B432" s="462" t="s">
        <v>1310</v>
      </c>
      <c r="C432" s="469" t="s">
        <v>491</v>
      </c>
      <c r="D432" s="469" t="s">
        <v>118</v>
      </c>
      <c r="E432" s="469"/>
      <c r="F432" s="5"/>
      <c r="G432" s="10">
        <f t="shared" ref="G432:H433" si="56">G433</f>
        <v>0</v>
      </c>
      <c r="H432" s="10">
        <f t="shared" si="56"/>
        <v>0</v>
      </c>
    </row>
    <row r="433" spans="1:8" ht="47.25" hidden="1" x14ac:dyDescent="0.25">
      <c r="A433" s="29" t="s">
        <v>272</v>
      </c>
      <c r="B433" s="462" t="s">
        <v>1310</v>
      </c>
      <c r="C433" s="469" t="s">
        <v>491</v>
      </c>
      <c r="D433" s="469" t="s">
        <v>118</v>
      </c>
      <c r="E433" s="469" t="s">
        <v>273</v>
      </c>
      <c r="F433" s="5"/>
      <c r="G433" s="10">
        <f t="shared" si="56"/>
        <v>0</v>
      </c>
      <c r="H433" s="10">
        <f t="shared" si="56"/>
        <v>0</v>
      </c>
    </row>
    <row r="434" spans="1:8" ht="15.75" hidden="1" x14ac:dyDescent="0.25">
      <c r="A434" s="29" t="s">
        <v>274</v>
      </c>
      <c r="B434" s="462" t="s">
        <v>1310</v>
      </c>
      <c r="C434" s="469" t="s">
        <v>491</v>
      </c>
      <c r="D434" s="469" t="s">
        <v>118</v>
      </c>
      <c r="E434" s="469" t="s">
        <v>275</v>
      </c>
      <c r="F434" s="5"/>
      <c r="G434" s="10">
        <f>'пр.6.1.ведом.22-23 (2)'!G785</f>
        <v>0</v>
      </c>
      <c r="H434" s="10">
        <f>'пр.6.1.ведом.22-23 (2)'!H785</f>
        <v>0</v>
      </c>
    </row>
    <row r="435" spans="1:8" ht="47.25" hidden="1" x14ac:dyDescent="0.25">
      <c r="A435" s="45" t="s">
        <v>480</v>
      </c>
      <c r="B435" s="462" t="s">
        <v>1310</v>
      </c>
      <c r="C435" s="469" t="s">
        <v>491</v>
      </c>
      <c r="D435" s="469" t="s">
        <v>118</v>
      </c>
      <c r="E435" s="469" t="s">
        <v>275</v>
      </c>
      <c r="F435" s="5">
        <v>907</v>
      </c>
      <c r="G435" s="10">
        <f>G434</f>
        <v>0</v>
      </c>
      <c r="H435" s="10">
        <f>H434</f>
        <v>0</v>
      </c>
    </row>
    <row r="436" spans="1:8" ht="47.25" x14ac:dyDescent="0.25">
      <c r="A436" s="45" t="s">
        <v>764</v>
      </c>
      <c r="B436" s="462" t="s">
        <v>1273</v>
      </c>
      <c r="C436" s="469" t="s">
        <v>491</v>
      </c>
      <c r="D436" s="469" t="s">
        <v>118</v>
      </c>
      <c r="E436" s="469"/>
      <c r="F436" s="5"/>
      <c r="G436" s="10">
        <f t="shared" ref="G436:H437" si="57">G437</f>
        <v>1204</v>
      </c>
      <c r="H436" s="10">
        <f t="shared" si="57"/>
        <v>1204</v>
      </c>
    </row>
    <row r="437" spans="1:8" ht="47.25" x14ac:dyDescent="0.25">
      <c r="A437" s="31" t="s">
        <v>272</v>
      </c>
      <c r="B437" s="462" t="s">
        <v>1273</v>
      </c>
      <c r="C437" s="469" t="s">
        <v>491</v>
      </c>
      <c r="D437" s="469" t="s">
        <v>118</v>
      </c>
      <c r="E437" s="469" t="s">
        <v>273</v>
      </c>
      <c r="F437" s="5"/>
      <c r="G437" s="10">
        <f t="shared" si="57"/>
        <v>1204</v>
      </c>
      <c r="H437" s="10">
        <f t="shared" si="57"/>
        <v>1204</v>
      </c>
    </row>
    <row r="438" spans="1:8" ht="15.75" x14ac:dyDescent="0.25">
      <c r="A438" s="31" t="s">
        <v>274</v>
      </c>
      <c r="B438" s="462" t="s">
        <v>1273</v>
      </c>
      <c r="C438" s="469" t="s">
        <v>491</v>
      </c>
      <c r="D438" s="469" t="s">
        <v>118</v>
      </c>
      <c r="E438" s="469" t="s">
        <v>275</v>
      </c>
      <c r="F438" s="5"/>
      <c r="G438" s="10">
        <f>'пр.6.1.ведом.22-23 (2)'!G788</f>
        <v>1204</v>
      </c>
      <c r="H438" s="10">
        <f>'пр.6.1.ведом.22-23 (2)'!H788</f>
        <v>1204</v>
      </c>
    </row>
    <row r="439" spans="1:8" ht="47.25" x14ac:dyDescent="0.25">
      <c r="A439" s="45" t="s">
        <v>480</v>
      </c>
      <c r="B439" s="462" t="s">
        <v>1273</v>
      </c>
      <c r="C439" s="469" t="s">
        <v>491</v>
      </c>
      <c r="D439" s="469" t="s">
        <v>118</v>
      </c>
      <c r="E439" s="469" t="s">
        <v>275</v>
      </c>
      <c r="F439" s="5">
        <v>907</v>
      </c>
      <c r="G439" s="10">
        <f>G438</f>
        <v>1204</v>
      </c>
      <c r="H439" s="10">
        <f>H438</f>
        <v>1204</v>
      </c>
    </row>
    <row r="440" spans="1:8" ht="47.25" x14ac:dyDescent="0.25">
      <c r="A440" s="464" t="s">
        <v>900</v>
      </c>
      <c r="B440" s="465" t="s">
        <v>1274</v>
      </c>
      <c r="C440" s="7"/>
      <c r="D440" s="7"/>
      <c r="E440" s="7"/>
      <c r="F440" s="194"/>
      <c r="G440" s="59">
        <f>G441</f>
        <v>813.5</v>
      </c>
      <c r="H440" s="59">
        <f>H441</f>
        <v>813.5</v>
      </c>
    </row>
    <row r="441" spans="1:8" ht="15.75" x14ac:dyDescent="0.25">
      <c r="A441" s="29" t="s">
        <v>490</v>
      </c>
      <c r="B441" s="462" t="s">
        <v>1274</v>
      </c>
      <c r="C441" s="2">
        <v>11</v>
      </c>
      <c r="D441" s="68"/>
      <c r="E441" s="68"/>
      <c r="F441" s="68"/>
      <c r="G441" s="10">
        <f t="shared" ref="G441:H444" si="58">G442</f>
        <v>813.5</v>
      </c>
      <c r="H441" s="10">
        <f t="shared" si="58"/>
        <v>813.5</v>
      </c>
    </row>
    <row r="442" spans="1:8" ht="16.5" x14ac:dyDescent="0.25">
      <c r="A442" s="29" t="s">
        <v>492</v>
      </c>
      <c r="B442" s="462" t="s">
        <v>1274</v>
      </c>
      <c r="C442" s="469" t="s">
        <v>491</v>
      </c>
      <c r="D442" s="469" t="s">
        <v>118</v>
      </c>
      <c r="E442" s="71"/>
      <c r="F442" s="5"/>
      <c r="G442" s="10">
        <f t="shared" si="58"/>
        <v>813.5</v>
      </c>
      <c r="H442" s="10">
        <f t="shared" si="58"/>
        <v>813.5</v>
      </c>
    </row>
    <row r="443" spans="1:8" ht="110.25" x14ac:dyDescent="0.25">
      <c r="A443" s="31" t="s">
        <v>464</v>
      </c>
      <c r="B443" s="462" t="s">
        <v>1413</v>
      </c>
      <c r="C443" s="469" t="s">
        <v>491</v>
      </c>
      <c r="D443" s="469" t="s">
        <v>118</v>
      </c>
      <c r="E443" s="469"/>
      <c r="F443" s="5"/>
      <c r="G443" s="10">
        <f t="shared" si="58"/>
        <v>813.5</v>
      </c>
      <c r="H443" s="10">
        <f t="shared" si="58"/>
        <v>813.5</v>
      </c>
    </row>
    <row r="444" spans="1:8" ht="47.25" x14ac:dyDescent="0.25">
      <c r="A444" s="466" t="s">
        <v>272</v>
      </c>
      <c r="B444" s="462" t="s">
        <v>1413</v>
      </c>
      <c r="C444" s="469" t="s">
        <v>491</v>
      </c>
      <c r="D444" s="469" t="s">
        <v>118</v>
      </c>
      <c r="E444" s="469" t="s">
        <v>273</v>
      </c>
      <c r="F444" s="5"/>
      <c r="G444" s="10">
        <f t="shared" si="58"/>
        <v>813.5</v>
      </c>
      <c r="H444" s="10">
        <f t="shared" si="58"/>
        <v>813.5</v>
      </c>
    </row>
    <row r="445" spans="1:8" ht="15.75" x14ac:dyDescent="0.25">
      <c r="A445" s="466" t="s">
        <v>274</v>
      </c>
      <c r="B445" s="462" t="s">
        <v>1413</v>
      </c>
      <c r="C445" s="469" t="s">
        <v>491</v>
      </c>
      <c r="D445" s="469" t="s">
        <v>118</v>
      </c>
      <c r="E445" s="469" t="s">
        <v>275</v>
      </c>
      <c r="F445" s="5"/>
      <c r="G445" s="10">
        <f>'пр.6.1.ведом.22-23 (2)'!G792</f>
        <v>813.5</v>
      </c>
      <c r="H445" s="10">
        <f>'пр.6.1.ведом.22-23 (2)'!H792</f>
        <v>813.5</v>
      </c>
    </row>
    <row r="446" spans="1:8" ht="47.25" x14ac:dyDescent="0.25">
      <c r="A446" s="45" t="s">
        <v>480</v>
      </c>
      <c r="B446" s="462" t="s">
        <v>1413</v>
      </c>
      <c r="C446" s="469" t="s">
        <v>491</v>
      </c>
      <c r="D446" s="469" t="s">
        <v>118</v>
      </c>
      <c r="E446" s="469" t="s">
        <v>275</v>
      </c>
      <c r="F446" s="5">
        <v>907</v>
      </c>
      <c r="G446" s="10">
        <f>G445</f>
        <v>813.5</v>
      </c>
      <c r="H446" s="10">
        <f>H445</f>
        <v>813.5</v>
      </c>
    </row>
    <row r="447" spans="1:8" ht="37.5" customHeight="1" x14ac:dyDescent="0.25">
      <c r="A447" s="58" t="s">
        <v>951</v>
      </c>
      <c r="B447" s="7" t="s">
        <v>1276</v>
      </c>
      <c r="C447" s="7"/>
      <c r="D447" s="7"/>
      <c r="E447" s="7"/>
      <c r="F447" s="194"/>
      <c r="G447" s="458">
        <f t="shared" ref="G447:H449" si="59">G448</f>
        <v>3000</v>
      </c>
      <c r="H447" s="458">
        <f t="shared" si="59"/>
        <v>3000</v>
      </c>
    </row>
    <row r="448" spans="1:8" ht="15.75" x14ac:dyDescent="0.25">
      <c r="A448" s="29" t="s">
        <v>490</v>
      </c>
      <c r="B448" s="469" t="s">
        <v>1276</v>
      </c>
      <c r="C448" s="469" t="s">
        <v>491</v>
      </c>
      <c r="D448" s="469"/>
      <c r="E448" s="469"/>
      <c r="F448" s="5"/>
      <c r="G448" s="459">
        <f t="shared" si="59"/>
        <v>3000</v>
      </c>
      <c r="H448" s="459">
        <f t="shared" si="59"/>
        <v>3000</v>
      </c>
    </row>
    <row r="449" spans="1:12" ht="31.5" x14ac:dyDescent="0.25">
      <c r="A449" s="466" t="s">
        <v>500</v>
      </c>
      <c r="B449" s="469" t="s">
        <v>1276</v>
      </c>
      <c r="C449" s="469" t="s">
        <v>491</v>
      </c>
      <c r="D449" s="469" t="s">
        <v>234</v>
      </c>
      <c r="E449" s="469"/>
      <c r="F449" s="5"/>
      <c r="G449" s="459">
        <f t="shared" si="59"/>
        <v>3000</v>
      </c>
      <c r="H449" s="459">
        <f t="shared" si="59"/>
        <v>3000</v>
      </c>
    </row>
    <row r="450" spans="1:12" ht="31.5" x14ac:dyDescent="0.25">
      <c r="A450" s="29" t="s">
        <v>952</v>
      </c>
      <c r="B450" s="469" t="s">
        <v>1277</v>
      </c>
      <c r="C450" s="469" t="s">
        <v>491</v>
      </c>
      <c r="D450" s="469" t="s">
        <v>234</v>
      </c>
      <c r="E450" s="469"/>
      <c r="F450" s="5"/>
      <c r="G450" s="459">
        <f>G451+G454</f>
        <v>3000</v>
      </c>
      <c r="H450" s="459">
        <f>H451+H454</f>
        <v>3000</v>
      </c>
    </row>
    <row r="451" spans="1:12" ht="94.5" x14ac:dyDescent="0.25">
      <c r="A451" s="466" t="s">
        <v>127</v>
      </c>
      <c r="B451" s="469" t="s">
        <v>1277</v>
      </c>
      <c r="C451" s="469" t="s">
        <v>491</v>
      </c>
      <c r="D451" s="469" t="s">
        <v>234</v>
      </c>
      <c r="E451" s="469" t="s">
        <v>128</v>
      </c>
      <c r="F451" s="5"/>
      <c r="G451" s="459">
        <f t="shared" ref="G451:H451" si="60">G452</f>
        <v>2500</v>
      </c>
      <c r="H451" s="459">
        <f t="shared" si="60"/>
        <v>2500</v>
      </c>
    </row>
    <row r="452" spans="1:12" ht="31.5" x14ac:dyDescent="0.25">
      <c r="A452" s="466" t="s">
        <v>342</v>
      </c>
      <c r="B452" s="469" t="s">
        <v>1277</v>
      </c>
      <c r="C452" s="469" t="s">
        <v>491</v>
      </c>
      <c r="D452" s="469" t="s">
        <v>234</v>
      </c>
      <c r="E452" s="469" t="s">
        <v>209</v>
      </c>
      <c r="F452" s="5"/>
      <c r="G452" s="459">
        <f>'пр.6.1.ведом.22-23 (2)'!G828</f>
        <v>2500</v>
      </c>
      <c r="H452" s="459">
        <f>'пр.6.1.ведом.22-23 (2)'!H828</f>
        <v>2500</v>
      </c>
    </row>
    <row r="453" spans="1:12" ht="47.25" x14ac:dyDescent="0.25">
      <c r="A453" s="45" t="s">
        <v>480</v>
      </c>
      <c r="B453" s="469" t="s">
        <v>1277</v>
      </c>
      <c r="C453" s="469" t="s">
        <v>491</v>
      </c>
      <c r="D453" s="469" t="s">
        <v>234</v>
      </c>
      <c r="E453" s="469" t="s">
        <v>209</v>
      </c>
      <c r="F453" s="5">
        <v>907</v>
      </c>
      <c r="G453" s="10">
        <f>G452</f>
        <v>2500</v>
      </c>
      <c r="H453" s="10">
        <f>H452</f>
        <v>2500</v>
      </c>
    </row>
    <row r="454" spans="1:12" ht="31.5" x14ac:dyDescent="0.25">
      <c r="A454" s="29" t="s">
        <v>131</v>
      </c>
      <c r="B454" s="469" t="s">
        <v>1277</v>
      </c>
      <c r="C454" s="469" t="s">
        <v>491</v>
      </c>
      <c r="D454" s="469" t="s">
        <v>234</v>
      </c>
      <c r="E454" s="469" t="s">
        <v>132</v>
      </c>
      <c r="F454" s="5"/>
      <c r="G454" s="459">
        <f t="shared" ref="G454:H454" si="61">G455</f>
        <v>500</v>
      </c>
      <c r="H454" s="459">
        <f t="shared" si="61"/>
        <v>500</v>
      </c>
    </row>
    <row r="455" spans="1:12" ht="47.25" x14ac:dyDescent="0.25">
      <c r="A455" s="29" t="s">
        <v>133</v>
      </c>
      <c r="B455" s="469" t="s">
        <v>1277</v>
      </c>
      <c r="C455" s="469" t="s">
        <v>491</v>
      </c>
      <c r="D455" s="469" t="s">
        <v>234</v>
      </c>
      <c r="E455" s="469" t="s">
        <v>134</v>
      </c>
      <c r="F455" s="5"/>
      <c r="G455" s="459">
        <f>'пр.6.1.ведом.22-23 (2)'!G830</f>
        <v>500</v>
      </c>
      <c r="H455" s="459">
        <f>'пр.6.1.ведом.22-23 (2)'!H830</f>
        <v>500</v>
      </c>
    </row>
    <row r="456" spans="1:12" ht="47.25" x14ac:dyDescent="0.25">
      <c r="A456" s="45" t="s">
        <v>480</v>
      </c>
      <c r="B456" s="469" t="s">
        <v>1277</v>
      </c>
      <c r="C456" s="469" t="s">
        <v>491</v>
      </c>
      <c r="D456" s="469" t="s">
        <v>234</v>
      </c>
      <c r="E456" s="469" t="s">
        <v>134</v>
      </c>
      <c r="F456" s="5">
        <v>907</v>
      </c>
      <c r="G456" s="10">
        <f>G455</f>
        <v>500</v>
      </c>
      <c r="H456" s="10">
        <f>H455</f>
        <v>500</v>
      </c>
    </row>
    <row r="457" spans="1:12" ht="78.75" hidden="1" x14ac:dyDescent="0.25">
      <c r="A457" s="464" t="s">
        <v>1339</v>
      </c>
      <c r="B457" s="465" t="s">
        <v>1275</v>
      </c>
      <c r="C457" s="7"/>
      <c r="D457" s="7"/>
      <c r="E457" s="7"/>
      <c r="F457" s="194"/>
      <c r="G457" s="59">
        <f>G458</f>
        <v>769.23</v>
      </c>
      <c r="H457" s="10"/>
    </row>
    <row r="458" spans="1:12" ht="15.75" hidden="1" x14ac:dyDescent="0.25">
      <c r="A458" s="29" t="s">
        <v>490</v>
      </c>
      <c r="B458" s="462" t="s">
        <v>1275</v>
      </c>
      <c r="C458" s="469" t="s">
        <v>491</v>
      </c>
      <c r="D458" s="469"/>
      <c r="E458" s="469"/>
      <c r="F458" s="5"/>
      <c r="G458" s="10">
        <f>G459</f>
        <v>769.23</v>
      </c>
      <c r="H458" s="10"/>
    </row>
    <row r="459" spans="1:12" ht="15.75" hidden="1" x14ac:dyDescent="0.25">
      <c r="A459" s="29" t="s">
        <v>492</v>
      </c>
      <c r="B459" s="462" t="s">
        <v>1275</v>
      </c>
      <c r="C459" s="469" t="s">
        <v>491</v>
      </c>
      <c r="D459" s="469" t="s">
        <v>118</v>
      </c>
      <c r="E459" s="469"/>
      <c r="F459" s="5"/>
      <c r="G459" s="10">
        <f>G460</f>
        <v>769.23</v>
      </c>
      <c r="H459" s="10"/>
    </row>
    <row r="460" spans="1:12" ht="63" hidden="1" x14ac:dyDescent="0.25">
      <c r="A460" s="466" t="s">
        <v>1198</v>
      </c>
      <c r="B460" s="462" t="s">
        <v>1332</v>
      </c>
      <c r="C460" s="469" t="s">
        <v>491</v>
      </c>
      <c r="D460" s="469" t="s">
        <v>118</v>
      </c>
      <c r="E460" s="469"/>
      <c r="F460" s="5"/>
      <c r="G460" s="10">
        <f>G461</f>
        <v>769.23</v>
      </c>
      <c r="H460" s="10"/>
    </row>
    <row r="461" spans="1:12" ht="47.25" hidden="1" x14ac:dyDescent="0.25">
      <c r="A461" s="466" t="s">
        <v>272</v>
      </c>
      <c r="B461" s="462" t="s">
        <v>1332</v>
      </c>
      <c r="C461" s="469" t="s">
        <v>491</v>
      </c>
      <c r="D461" s="469" t="s">
        <v>118</v>
      </c>
      <c r="E461" s="469" t="s">
        <v>273</v>
      </c>
      <c r="F461" s="5"/>
      <c r="G461" s="10">
        <f>G462</f>
        <v>769.23</v>
      </c>
      <c r="H461" s="10"/>
    </row>
    <row r="462" spans="1:12" ht="15.75" hidden="1" x14ac:dyDescent="0.25">
      <c r="A462" s="466" t="s">
        <v>274</v>
      </c>
      <c r="B462" s="462" t="s">
        <v>1332</v>
      </c>
      <c r="C462" s="469" t="s">
        <v>491</v>
      </c>
      <c r="D462" s="469" t="s">
        <v>118</v>
      </c>
      <c r="E462" s="469" t="s">
        <v>275</v>
      </c>
      <c r="F462" s="5"/>
      <c r="G462" s="10">
        <f>'[1]Пр.5 ведом.21'!G784</f>
        <v>769.23</v>
      </c>
      <c r="H462" s="10"/>
    </row>
    <row r="463" spans="1:12" ht="47.25" hidden="1" x14ac:dyDescent="0.25">
      <c r="A463" s="45" t="s">
        <v>480</v>
      </c>
      <c r="B463" s="462" t="s">
        <v>1332</v>
      </c>
      <c r="C463" s="469" t="s">
        <v>491</v>
      </c>
      <c r="D463" s="469" t="s">
        <v>118</v>
      </c>
      <c r="E463" s="469" t="s">
        <v>275</v>
      </c>
      <c r="F463" s="5">
        <v>907</v>
      </c>
      <c r="G463" s="10">
        <f>G457</f>
        <v>769.23</v>
      </c>
      <c r="H463" s="10"/>
    </row>
    <row r="464" spans="1:12" ht="47.25" x14ac:dyDescent="0.25">
      <c r="A464" s="470" t="s">
        <v>1362</v>
      </c>
      <c r="B464" s="7" t="s">
        <v>267</v>
      </c>
      <c r="C464" s="72"/>
      <c r="D464" s="72"/>
      <c r="E464" s="72"/>
      <c r="F464" s="3"/>
      <c r="G464" s="59">
        <f>G465+G502+G525+G544+G569+G576+G583+G590</f>
        <v>81484.889999999985</v>
      </c>
      <c r="H464" s="59">
        <f>H465+H502+H525+H544+H569+H576+H583+H590</f>
        <v>82684.889999999985</v>
      </c>
      <c r="I464" s="457">
        <v>81484.899999999994</v>
      </c>
      <c r="J464" s="22">
        <f>I464-G464</f>
        <v>1.0000000009313226E-2</v>
      </c>
      <c r="K464" s="457">
        <v>82684.899999999994</v>
      </c>
      <c r="L464" s="22">
        <f>K464-H464</f>
        <v>1.0000000009313226E-2</v>
      </c>
    </row>
    <row r="465" spans="1:8" ht="47.25" x14ac:dyDescent="0.25">
      <c r="A465" s="464" t="s">
        <v>1304</v>
      </c>
      <c r="B465" s="465" t="s">
        <v>1208</v>
      </c>
      <c r="C465" s="7"/>
      <c r="D465" s="7"/>
      <c r="E465" s="7"/>
      <c r="F465" s="3"/>
      <c r="G465" s="59">
        <f>G466+G478+G490</f>
        <v>73216.789999999994</v>
      </c>
      <c r="H465" s="59">
        <f>H466+H478+H490</f>
        <v>73216.789999999994</v>
      </c>
    </row>
    <row r="466" spans="1:8" ht="15.75" x14ac:dyDescent="0.25">
      <c r="A466" s="466" t="s">
        <v>263</v>
      </c>
      <c r="B466" s="462" t="s">
        <v>1208</v>
      </c>
      <c r="C466" s="469" t="s">
        <v>264</v>
      </c>
      <c r="D466" s="469"/>
      <c r="E466" s="469"/>
      <c r="F466" s="2"/>
      <c r="G466" s="10">
        <f>G467</f>
        <v>15854.01</v>
      </c>
      <c r="H466" s="10">
        <f>H467</f>
        <v>15854.01</v>
      </c>
    </row>
    <row r="467" spans="1:8" ht="15.75" x14ac:dyDescent="0.25">
      <c r="A467" s="466" t="s">
        <v>265</v>
      </c>
      <c r="B467" s="462" t="s">
        <v>1208</v>
      </c>
      <c r="C467" s="469" t="s">
        <v>264</v>
      </c>
      <c r="D467" s="469" t="s">
        <v>215</v>
      </c>
      <c r="E467" s="469"/>
      <c r="F467" s="2"/>
      <c r="G467" s="10">
        <f>G468</f>
        <v>15854.01</v>
      </c>
      <c r="H467" s="10">
        <f>H468</f>
        <v>15854.01</v>
      </c>
    </row>
    <row r="468" spans="1:8" ht="31.5" x14ac:dyDescent="0.25">
      <c r="A468" s="466" t="s">
        <v>800</v>
      </c>
      <c r="B468" s="462" t="s">
        <v>1209</v>
      </c>
      <c r="C468" s="469" t="s">
        <v>264</v>
      </c>
      <c r="D468" s="469" t="s">
        <v>215</v>
      </c>
      <c r="E468" s="469"/>
      <c r="F468" s="2"/>
      <c r="G468" s="10">
        <f>G469+G472+G475</f>
        <v>15854.01</v>
      </c>
      <c r="H468" s="10">
        <f>H469+H472+H475</f>
        <v>15854.01</v>
      </c>
    </row>
    <row r="469" spans="1:8" ht="94.5" x14ac:dyDescent="0.25">
      <c r="A469" s="466" t="s">
        <v>127</v>
      </c>
      <c r="B469" s="462" t="s">
        <v>1209</v>
      </c>
      <c r="C469" s="469" t="s">
        <v>264</v>
      </c>
      <c r="D469" s="469" t="s">
        <v>215</v>
      </c>
      <c r="E469" s="462" t="s">
        <v>128</v>
      </c>
      <c r="F469" s="2"/>
      <c r="G469" s="10">
        <f>G470</f>
        <v>14172.31</v>
      </c>
      <c r="H469" s="10">
        <f>H470</f>
        <v>14172.31</v>
      </c>
    </row>
    <row r="470" spans="1:8" ht="31.5" x14ac:dyDescent="0.25">
      <c r="A470" s="46" t="s">
        <v>342</v>
      </c>
      <c r="B470" s="462" t="s">
        <v>1209</v>
      </c>
      <c r="C470" s="469" t="s">
        <v>264</v>
      </c>
      <c r="D470" s="469" t="s">
        <v>215</v>
      </c>
      <c r="E470" s="462" t="s">
        <v>209</v>
      </c>
      <c r="F470" s="2"/>
      <c r="G470" s="10">
        <f>'пр.6.1.ведом.22-23 (2)'!G299</f>
        <v>14172.31</v>
      </c>
      <c r="H470" s="10">
        <f>'пр.6.1.ведом.22-23 (2)'!H299</f>
        <v>14172.31</v>
      </c>
    </row>
    <row r="471" spans="1:8" ht="47.25" x14ac:dyDescent="0.25">
      <c r="A471" s="45" t="s">
        <v>261</v>
      </c>
      <c r="B471" s="462" t="s">
        <v>1209</v>
      </c>
      <c r="C471" s="469" t="s">
        <v>264</v>
      </c>
      <c r="D471" s="469" t="s">
        <v>215</v>
      </c>
      <c r="E471" s="462" t="s">
        <v>209</v>
      </c>
      <c r="F471" s="2">
        <v>903</v>
      </c>
      <c r="G471" s="10">
        <f>G470</f>
        <v>14172.31</v>
      </c>
      <c r="H471" s="10">
        <f>H470</f>
        <v>14172.31</v>
      </c>
    </row>
    <row r="472" spans="1:8" ht="31.5" x14ac:dyDescent="0.25">
      <c r="A472" s="466" t="s">
        <v>131</v>
      </c>
      <c r="B472" s="462" t="s">
        <v>1209</v>
      </c>
      <c r="C472" s="469" t="s">
        <v>264</v>
      </c>
      <c r="D472" s="469" t="s">
        <v>215</v>
      </c>
      <c r="E472" s="462" t="s">
        <v>132</v>
      </c>
      <c r="F472" s="2"/>
      <c r="G472" s="10">
        <f>G473</f>
        <v>1603.7</v>
      </c>
      <c r="H472" s="10">
        <f>H473</f>
        <v>1603.7</v>
      </c>
    </row>
    <row r="473" spans="1:8" ht="47.25" x14ac:dyDescent="0.25">
      <c r="A473" s="466" t="s">
        <v>133</v>
      </c>
      <c r="B473" s="462" t="s">
        <v>1209</v>
      </c>
      <c r="C473" s="469" t="s">
        <v>264</v>
      </c>
      <c r="D473" s="469" t="s">
        <v>215</v>
      </c>
      <c r="E473" s="462" t="s">
        <v>134</v>
      </c>
      <c r="F473" s="2"/>
      <c r="G473" s="10">
        <f>'пр.6.1.ведом.22-23 (2)'!G301</f>
        <v>1603.7</v>
      </c>
      <c r="H473" s="10">
        <f>'пр.6.1.ведом.22-23 (2)'!H301</f>
        <v>1603.7</v>
      </c>
    </row>
    <row r="474" spans="1:8" ht="47.25" x14ac:dyDescent="0.25">
      <c r="A474" s="45" t="s">
        <v>261</v>
      </c>
      <c r="B474" s="462" t="s">
        <v>1209</v>
      </c>
      <c r="C474" s="469" t="s">
        <v>264</v>
      </c>
      <c r="D474" s="469" t="s">
        <v>215</v>
      </c>
      <c r="E474" s="462" t="s">
        <v>134</v>
      </c>
      <c r="F474" s="2">
        <v>903</v>
      </c>
      <c r="G474" s="10">
        <f>G473</f>
        <v>1603.7</v>
      </c>
      <c r="H474" s="10">
        <f>H473</f>
        <v>1603.7</v>
      </c>
    </row>
    <row r="475" spans="1:8" ht="15.75" x14ac:dyDescent="0.25">
      <c r="A475" s="466" t="s">
        <v>135</v>
      </c>
      <c r="B475" s="462" t="s">
        <v>1209</v>
      </c>
      <c r="C475" s="469" t="s">
        <v>264</v>
      </c>
      <c r="D475" s="469" t="s">
        <v>215</v>
      </c>
      <c r="E475" s="462" t="s">
        <v>145</v>
      </c>
      <c r="F475" s="2"/>
      <c r="G475" s="10">
        <f>G476</f>
        <v>78</v>
      </c>
      <c r="H475" s="10">
        <f>H476</f>
        <v>78</v>
      </c>
    </row>
    <row r="476" spans="1:8" ht="15.75" x14ac:dyDescent="0.25">
      <c r="A476" s="466" t="s">
        <v>704</v>
      </c>
      <c r="B476" s="462" t="s">
        <v>1209</v>
      </c>
      <c r="C476" s="469" t="s">
        <v>264</v>
      </c>
      <c r="D476" s="469" t="s">
        <v>215</v>
      </c>
      <c r="E476" s="462" t="s">
        <v>138</v>
      </c>
      <c r="F476" s="2"/>
      <c r="G476" s="10">
        <f>'пр.6.1.ведом.22-23 (2)'!G303</f>
        <v>78</v>
      </c>
      <c r="H476" s="10">
        <f>'пр.6.1.ведом.22-23 (2)'!H303</f>
        <v>78</v>
      </c>
    </row>
    <row r="477" spans="1:8" ht="47.25" x14ac:dyDescent="0.25">
      <c r="A477" s="45" t="s">
        <v>261</v>
      </c>
      <c r="B477" s="462" t="s">
        <v>1209</v>
      </c>
      <c r="C477" s="469" t="s">
        <v>264</v>
      </c>
      <c r="D477" s="469" t="s">
        <v>215</v>
      </c>
      <c r="E477" s="462" t="s">
        <v>138</v>
      </c>
      <c r="F477" s="2">
        <v>903</v>
      </c>
      <c r="G477" s="10">
        <f>G476</f>
        <v>78</v>
      </c>
      <c r="H477" s="10">
        <f>H476</f>
        <v>78</v>
      </c>
    </row>
    <row r="478" spans="1:8" ht="15.75" x14ac:dyDescent="0.25">
      <c r="A478" s="73" t="s">
        <v>298</v>
      </c>
      <c r="B478" s="462" t="s">
        <v>1208</v>
      </c>
      <c r="C478" s="469" t="s">
        <v>299</v>
      </c>
      <c r="D478" s="73"/>
      <c r="E478" s="73"/>
      <c r="F478" s="2"/>
      <c r="G478" s="10">
        <f t="shared" ref="G478:H479" si="62">G479</f>
        <v>51840.479999999996</v>
      </c>
      <c r="H478" s="10">
        <f t="shared" si="62"/>
        <v>51840.479999999996</v>
      </c>
    </row>
    <row r="479" spans="1:8" ht="15.75" x14ac:dyDescent="0.25">
      <c r="A479" s="73" t="s">
        <v>300</v>
      </c>
      <c r="B479" s="462" t="s">
        <v>1208</v>
      </c>
      <c r="C479" s="469" t="s">
        <v>299</v>
      </c>
      <c r="D479" s="469" t="s">
        <v>118</v>
      </c>
      <c r="E479" s="73"/>
      <c r="F479" s="2"/>
      <c r="G479" s="10">
        <f t="shared" si="62"/>
        <v>51840.479999999996</v>
      </c>
      <c r="H479" s="10">
        <f t="shared" si="62"/>
        <v>51840.479999999996</v>
      </c>
    </row>
    <row r="480" spans="1:8" ht="31.5" x14ac:dyDescent="0.25">
      <c r="A480" s="466" t="s">
        <v>800</v>
      </c>
      <c r="B480" s="462" t="s">
        <v>1209</v>
      </c>
      <c r="C480" s="469" t="s">
        <v>299</v>
      </c>
      <c r="D480" s="469" t="s">
        <v>118</v>
      </c>
      <c r="E480" s="469"/>
      <c r="F480" s="2"/>
      <c r="G480" s="10">
        <f>G481+G484+G487</f>
        <v>51840.479999999996</v>
      </c>
      <c r="H480" s="10">
        <f>H481+H484+H487</f>
        <v>51840.479999999996</v>
      </c>
    </row>
    <row r="481" spans="1:8" ht="94.5" x14ac:dyDescent="0.25">
      <c r="A481" s="466" t="s">
        <v>127</v>
      </c>
      <c r="B481" s="462" t="s">
        <v>1209</v>
      </c>
      <c r="C481" s="469" t="s">
        <v>299</v>
      </c>
      <c r="D481" s="469" t="s">
        <v>118</v>
      </c>
      <c r="E481" s="469" t="s">
        <v>128</v>
      </c>
      <c r="F481" s="2"/>
      <c r="G481" s="10">
        <f>G482</f>
        <v>43271.28</v>
      </c>
      <c r="H481" s="10">
        <f>H482</f>
        <v>43271.28</v>
      </c>
    </row>
    <row r="482" spans="1:8" ht="31.5" x14ac:dyDescent="0.25">
      <c r="A482" s="466" t="s">
        <v>208</v>
      </c>
      <c r="B482" s="462" t="s">
        <v>1209</v>
      </c>
      <c r="C482" s="469" t="s">
        <v>299</v>
      </c>
      <c r="D482" s="469" t="s">
        <v>118</v>
      </c>
      <c r="E482" s="469" t="s">
        <v>209</v>
      </c>
      <c r="F482" s="2"/>
      <c r="G482" s="10">
        <f>'пр.6.1.ведом.22-23 (2)'!G363</f>
        <v>43271.28</v>
      </c>
      <c r="H482" s="10">
        <f>'пр.6.1.ведом.22-23 (2)'!H363</f>
        <v>43271.28</v>
      </c>
    </row>
    <row r="483" spans="1:8" ht="47.25" x14ac:dyDescent="0.25">
      <c r="A483" s="45" t="s">
        <v>261</v>
      </c>
      <c r="B483" s="462" t="s">
        <v>1209</v>
      </c>
      <c r="C483" s="469" t="s">
        <v>299</v>
      </c>
      <c r="D483" s="469" t="s">
        <v>118</v>
      </c>
      <c r="E483" s="469" t="s">
        <v>209</v>
      </c>
      <c r="F483" s="2">
        <v>903</v>
      </c>
      <c r="G483" s="10">
        <f>G482</f>
        <v>43271.28</v>
      </c>
      <c r="H483" s="10">
        <f>H482</f>
        <v>43271.28</v>
      </c>
    </row>
    <row r="484" spans="1:8" ht="31.5" x14ac:dyDescent="0.25">
      <c r="A484" s="466" t="s">
        <v>131</v>
      </c>
      <c r="B484" s="462" t="s">
        <v>1209</v>
      </c>
      <c r="C484" s="469" t="s">
        <v>299</v>
      </c>
      <c r="D484" s="469" t="s">
        <v>118</v>
      </c>
      <c r="E484" s="469" t="s">
        <v>132</v>
      </c>
      <c r="F484" s="2"/>
      <c r="G484" s="10">
        <f>G485</f>
        <v>8506.2000000000007</v>
      </c>
      <c r="H484" s="10">
        <f>H485</f>
        <v>8506.2000000000007</v>
      </c>
    </row>
    <row r="485" spans="1:8" ht="47.25" x14ac:dyDescent="0.25">
      <c r="A485" s="466" t="s">
        <v>133</v>
      </c>
      <c r="B485" s="462" t="s">
        <v>1209</v>
      </c>
      <c r="C485" s="469" t="s">
        <v>299</v>
      </c>
      <c r="D485" s="469" t="s">
        <v>118</v>
      </c>
      <c r="E485" s="469" t="s">
        <v>134</v>
      </c>
      <c r="F485" s="2"/>
      <c r="G485" s="10">
        <f>'пр.6.1.ведом.22-23 (2)'!G365</f>
        <v>8506.2000000000007</v>
      </c>
      <c r="H485" s="10">
        <f>'пр.6.1.ведом.22-23 (2)'!H365</f>
        <v>8506.2000000000007</v>
      </c>
    </row>
    <row r="486" spans="1:8" ht="47.25" x14ac:dyDescent="0.25">
      <c r="A486" s="45" t="s">
        <v>261</v>
      </c>
      <c r="B486" s="462" t="s">
        <v>1209</v>
      </c>
      <c r="C486" s="469" t="s">
        <v>299</v>
      </c>
      <c r="D486" s="469" t="s">
        <v>118</v>
      </c>
      <c r="E486" s="469" t="s">
        <v>134</v>
      </c>
      <c r="F486" s="2">
        <v>903</v>
      </c>
      <c r="G486" s="10">
        <f>G485</f>
        <v>8506.2000000000007</v>
      </c>
      <c r="H486" s="10">
        <f>H485</f>
        <v>8506.2000000000007</v>
      </c>
    </row>
    <row r="487" spans="1:8" ht="15.75" x14ac:dyDescent="0.25">
      <c r="A487" s="466" t="s">
        <v>135</v>
      </c>
      <c r="B487" s="462" t="s">
        <v>1209</v>
      </c>
      <c r="C487" s="469" t="s">
        <v>299</v>
      </c>
      <c r="D487" s="469" t="s">
        <v>118</v>
      </c>
      <c r="E487" s="469" t="s">
        <v>145</v>
      </c>
      <c r="F487" s="2"/>
      <c r="G487" s="10">
        <f>G488</f>
        <v>63</v>
      </c>
      <c r="H487" s="10">
        <f>H488</f>
        <v>63</v>
      </c>
    </row>
    <row r="488" spans="1:8" ht="15.75" x14ac:dyDescent="0.25">
      <c r="A488" s="466" t="s">
        <v>137</v>
      </c>
      <c r="B488" s="462" t="s">
        <v>1209</v>
      </c>
      <c r="C488" s="469" t="s">
        <v>299</v>
      </c>
      <c r="D488" s="469" t="s">
        <v>118</v>
      </c>
      <c r="E488" s="469" t="s">
        <v>138</v>
      </c>
      <c r="F488" s="2"/>
      <c r="G488" s="10">
        <f>'пр.6.1.ведом.22-23 (2)'!G367</f>
        <v>63</v>
      </c>
      <c r="H488" s="10">
        <f>'пр.6.1.ведом.22-23 (2)'!H367</f>
        <v>63</v>
      </c>
    </row>
    <row r="489" spans="1:8" ht="47.25" x14ac:dyDescent="0.25">
      <c r="A489" s="45" t="s">
        <v>261</v>
      </c>
      <c r="B489" s="462" t="s">
        <v>1209</v>
      </c>
      <c r="C489" s="469" t="s">
        <v>299</v>
      </c>
      <c r="D489" s="469" t="s">
        <v>118</v>
      </c>
      <c r="E489" s="469" t="s">
        <v>138</v>
      </c>
      <c r="F489" s="2">
        <v>903</v>
      </c>
      <c r="G489" s="10">
        <f>G488</f>
        <v>63</v>
      </c>
      <c r="H489" s="10">
        <f>H488</f>
        <v>63</v>
      </c>
    </row>
    <row r="490" spans="1:8" ht="15.75" x14ac:dyDescent="0.25">
      <c r="A490" s="466" t="s">
        <v>582</v>
      </c>
      <c r="B490" s="462" t="s">
        <v>1208</v>
      </c>
      <c r="C490" s="469" t="s">
        <v>238</v>
      </c>
      <c r="D490" s="73"/>
      <c r="E490" s="73"/>
      <c r="F490" s="2"/>
      <c r="G490" s="10">
        <f>G491</f>
        <v>5522.3</v>
      </c>
      <c r="H490" s="10">
        <f>H491</f>
        <v>5522.3</v>
      </c>
    </row>
    <row r="491" spans="1:8" ht="15.75" x14ac:dyDescent="0.25">
      <c r="A491" s="466" t="s">
        <v>583</v>
      </c>
      <c r="B491" s="462" t="s">
        <v>1208</v>
      </c>
      <c r="C491" s="469" t="s">
        <v>238</v>
      </c>
      <c r="D491" s="469" t="s">
        <v>213</v>
      </c>
      <c r="E491" s="73"/>
      <c r="F491" s="2"/>
      <c r="G491" s="10">
        <f>G492</f>
        <v>5522.3</v>
      </c>
      <c r="H491" s="10">
        <f>H492</f>
        <v>5522.3</v>
      </c>
    </row>
    <row r="492" spans="1:8" ht="31.5" x14ac:dyDescent="0.25">
      <c r="A492" s="466" t="s">
        <v>800</v>
      </c>
      <c r="B492" s="462" t="s">
        <v>1209</v>
      </c>
      <c r="C492" s="469" t="s">
        <v>238</v>
      </c>
      <c r="D492" s="469" t="s">
        <v>213</v>
      </c>
      <c r="E492" s="469"/>
      <c r="F492" s="2"/>
      <c r="G492" s="10">
        <f>G493+G496+G499</f>
        <v>5522.3</v>
      </c>
      <c r="H492" s="10">
        <f>H493+H496+H499</f>
        <v>5522.3</v>
      </c>
    </row>
    <row r="493" spans="1:8" ht="94.5" x14ac:dyDescent="0.25">
      <c r="A493" s="466" t="s">
        <v>127</v>
      </c>
      <c r="B493" s="462" t="s">
        <v>1209</v>
      </c>
      <c r="C493" s="469" t="s">
        <v>238</v>
      </c>
      <c r="D493" s="469" t="s">
        <v>213</v>
      </c>
      <c r="E493" s="469" t="s">
        <v>128</v>
      </c>
      <c r="F493" s="2"/>
      <c r="G493" s="10">
        <f>G494</f>
        <v>4897.2</v>
      </c>
      <c r="H493" s="10">
        <f>H494</f>
        <v>4897.2</v>
      </c>
    </row>
    <row r="494" spans="1:8" ht="31.5" x14ac:dyDescent="0.25">
      <c r="A494" s="466" t="s">
        <v>208</v>
      </c>
      <c r="B494" s="462" t="s">
        <v>1209</v>
      </c>
      <c r="C494" s="469" t="s">
        <v>238</v>
      </c>
      <c r="D494" s="469" t="s">
        <v>213</v>
      </c>
      <c r="E494" s="469" t="s">
        <v>209</v>
      </c>
      <c r="F494" s="2"/>
      <c r="G494" s="10">
        <f>'пр.6.1.ведом.22-23 (2)'!G474</f>
        <v>4897.2</v>
      </c>
      <c r="H494" s="10">
        <f>'пр.6.1.ведом.22-23 (2)'!H474</f>
        <v>4897.2</v>
      </c>
    </row>
    <row r="495" spans="1:8" ht="47.25" x14ac:dyDescent="0.25">
      <c r="A495" s="45" t="s">
        <v>261</v>
      </c>
      <c r="B495" s="462" t="s">
        <v>1209</v>
      </c>
      <c r="C495" s="469" t="s">
        <v>238</v>
      </c>
      <c r="D495" s="469" t="s">
        <v>213</v>
      </c>
      <c r="E495" s="469" t="s">
        <v>209</v>
      </c>
      <c r="F495" s="2">
        <v>903</v>
      </c>
      <c r="G495" s="10">
        <f>G494</f>
        <v>4897.2</v>
      </c>
      <c r="H495" s="10">
        <f>H494</f>
        <v>4897.2</v>
      </c>
    </row>
    <row r="496" spans="1:8" ht="31.5" x14ac:dyDescent="0.25">
      <c r="A496" s="466" t="s">
        <v>131</v>
      </c>
      <c r="B496" s="462" t="s">
        <v>1209</v>
      </c>
      <c r="C496" s="469" t="s">
        <v>238</v>
      </c>
      <c r="D496" s="469" t="s">
        <v>213</v>
      </c>
      <c r="E496" s="469" t="s">
        <v>132</v>
      </c>
      <c r="F496" s="2"/>
      <c r="G496" s="10">
        <f>G497</f>
        <v>595.1</v>
      </c>
      <c r="H496" s="10">
        <f>H497</f>
        <v>595.1</v>
      </c>
    </row>
    <row r="497" spans="1:8" ht="47.25" x14ac:dyDescent="0.25">
      <c r="A497" s="466" t="s">
        <v>133</v>
      </c>
      <c r="B497" s="462" t="s">
        <v>1209</v>
      </c>
      <c r="C497" s="469" t="s">
        <v>238</v>
      </c>
      <c r="D497" s="469" t="s">
        <v>213</v>
      </c>
      <c r="E497" s="469" t="s">
        <v>134</v>
      </c>
      <c r="F497" s="2"/>
      <c r="G497" s="10">
        <f>'пр.6.1.ведом.22-23 (2)'!G476</f>
        <v>595.1</v>
      </c>
      <c r="H497" s="10">
        <f>'пр.6.1.ведом.22-23 (2)'!H476</f>
        <v>595.1</v>
      </c>
    </row>
    <row r="498" spans="1:8" ht="47.25" x14ac:dyDescent="0.25">
      <c r="A498" s="45" t="s">
        <v>261</v>
      </c>
      <c r="B498" s="462" t="s">
        <v>1209</v>
      </c>
      <c r="C498" s="469" t="s">
        <v>238</v>
      </c>
      <c r="D498" s="469" t="s">
        <v>213</v>
      </c>
      <c r="E498" s="469" t="s">
        <v>134</v>
      </c>
      <c r="F498" s="2">
        <v>903</v>
      </c>
      <c r="G498" s="10">
        <f>G497</f>
        <v>595.1</v>
      </c>
      <c r="H498" s="10">
        <f>H497</f>
        <v>595.1</v>
      </c>
    </row>
    <row r="499" spans="1:8" ht="15.75" x14ac:dyDescent="0.25">
      <c r="A499" s="466" t="s">
        <v>135</v>
      </c>
      <c r="B499" s="462" t="s">
        <v>1209</v>
      </c>
      <c r="C499" s="469" t="s">
        <v>238</v>
      </c>
      <c r="D499" s="469" t="s">
        <v>213</v>
      </c>
      <c r="E499" s="469" t="s">
        <v>145</v>
      </c>
      <c r="F499" s="2"/>
      <c r="G499" s="10">
        <f>G500</f>
        <v>30</v>
      </c>
      <c r="H499" s="10">
        <f>H500</f>
        <v>30</v>
      </c>
    </row>
    <row r="500" spans="1:8" ht="15.75" x14ac:dyDescent="0.25">
      <c r="A500" s="466" t="s">
        <v>137</v>
      </c>
      <c r="B500" s="462" t="s">
        <v>1209</v>
      </c>
      <c r="C500" s="469" t="s">
        <v>238</v>
      </c>
      <c r="D500" s="469" t="s">
        <v>213</v>
      </c>
      <c r="E500" s="469" t="s">
        <v>138</v>
      </c>
      <c r="F500" s="2"/>
      <c r="G500" s="10">
        <f>'пр.6.1.ведом.22-23 (2)'!G478</f>
        <v>30</v>
      </c>
      <c r="H500" s="10">
        <f>'пр.6.1.ведом.22-23 (2)'!H478</f>
        <v>30</v>
      </c>
    </row>
    <row r="501" spans="1:8" ht="47.25" x14ac:dyDescent="0.25">
      <c r="A501" s="45" t="s">
        <v>261</v>
      </c>
      <c r="B501" s="462" t="s">
        <v>1209</v>
      </c>
      <c r="C501" s="469" t="s">
        <v>238</v>
      </c>
      <c r="D501" s="469" t="s">
        <v>213</v>
      </c>
      <c r="E501" s="469" t="s">
        <v>138</v>
      </c>
      <c r="F501" s="2">
        <v>903</v>
      </c>
      <c r="G501" s="10">
        <f>G500</f>
        <v>30</v>
      </c>
      <c r="H501" s="10">
        <f>H500</f>
        <v>30</v>
      </c>
    </row>
    <row r="502" spans="1:8" ht="31.5" x14ac:dyDescent="0.25">
      <c r="A502" s="216" t="s">
        <v>1333</v>
      </c>
      <c r="B502" s="465" t="s">
        <v>1210</v>
      </c>
      <c r="C502" s="7"/>
      <c r="D502" s="7"/>
      <c r="E502" s="7"/>
      <c r="F502" s="3"/>
      <c r="G502" s="59">
        <f>G503+G516</f>
        <v>2675</v>
      </c>
      <c r="H502" s="59">
        <f>H503+H516</f>
        <v>2675</v>
      </c>
    </row>
    <row r="503" spans="1:8" ht="15.75" x14ac:dyDescent="0.25">
      <c r="A503" s="466" t="s">
        <v>263</v>
      </c>
      <c r="B503" s="462" t="s">
        <v>1210</v>
      </c>
      <c r="C503" s="469" t="s">
        <v>264</v>
      </c>
      <c r="D503" s="469"/>
      <c r="E503" s="469"/>
      <c r="F503" s="2"/>
      <c r="G503" s="10">
        <f t="shared" ref="G503:H506" si="63">G504</f>
        <v>1295</v>
      </c>
      <c r="H503" s="10">
        <f t="shared" si="63"/>
        <v>1295</v>
      </c>
    </row>
    <row r="504" spans="1:8" ht="15.75" x14ac:dyDescent="0.25">
      <c r="A504" s="466" t="s">
        <v>265</v>
      </c>
      <c r="B504" s="462" t="s">
        <v>1210</v>
      </c>
      <c r="C504" s="469" t="s">
        <v>264</v>
      </c>
      <c r="D504" s="469" t="s">
        <v>215</v>
      </c>
      <c r="E504" s="469"/>
      <c r="F504" s="2"/>
      <c r="G504" s="10">
        <f>G505+G509</f>
        <v>1295</v>
      </c>
      <c r="H504" s="10">
        <f>H505+H509</f>
        <v>1295</v>
      </c>
    </row>
    <row r="505" spans="1:8" ht="31.5" x14ac:dyDescent="0.25">
      <c r="A505" s="195" t="s">
        <v>799</v>
      </c>
      <c r="B505" s="462" t="s">
        <v>1211</v>
      </c>
      <c r="C505" s="469" t="s">
        <v>264</v>
      </c>
      <c r="D505" s="469" t="s">
        <v>215</v>
      </c>
      <c r="E505" s="462"/>
      <c r="F505" s="2"/>
      <c r="G505" s="10">
        <f t="shared" si="63"/>
        <v>45</v>
      </c>
      <c r="H505" s="10">
        <f t="shared" si="63"/>
        <v>45</v>
      </c>
    </row>
    <row r="506" spans="1:8" ht="31.5" x14ac:dyDescent="0.25">
      <c r="A506" s="466" t="s">
        <v>248</v>
      </c>
      <c r="B506" s="462" t="s">
        <v>1211</v>
      </c>
      <c r="C506" s="469" t="s">
        <v>264</v>
      </c>
      <c r="D506" s="469" t="s">
        <v>215</v>
      </c>
      <c r="E506" s="462" t="s">
        <v>249</v>
      </c>
      <c r="F506" s="2"/>
      <c r="G506" s="10">
        <f t="shared" si="63"/>
        <v>45</v>
      </c>
      <c r="H506" s="10">
        <f t="shared" si="63"/>
        <v>45</v>
      </c>
    </row>
    <row r="507" spans="1:8" ht="15.75" x14ac:dyDescent="0.25">
      <c r="A507" s="466" t="s">
        <v>820</v>
      </c>
      <c r="B507" s="462" t="s">
        <v>1211</v>
      </c>
      <c r="C507" s="469" t="s">
        <v>264</v>
      </c>
      <c r="D507" s="469" t="s">
        <v>215</v>
      </c>
      <c r="E507" s="462" t="s">
        <v>819</v>
      </c>
      <c r="F507" s="2"/>
      <c r="G507" s="10">
        <f>'пр.6.1.ведом.22-23 (2)'!G307</f>
        <v>45</v>
      </c>
      <c r="H507" s="10">
        <f>'пр.6.1.ведом.22-23 (2)'!H307</f>
        <v>45</v>
      </c>
    </row>
    <row r="508" spans="1:8" ht="47.25" x14ac:dyDescent="0.25">
      <c r="A508" s="45" t="s">
        <v>261</v>
      </c>
      <c r="B508" s="462" t="s">
        <v>1211</v>
      </c>
      <c r="C508" s="469" t="s">
        <v>264</v>
      </c>
      <c r="D508" s="469" t="s">
        <v>215</v>
      </c>
      <c r="E508" s="462" t="s">
        <v>819</v>
      </c>
      <c r="F508" s="2">
        <v>903</v>
      </c>
      <c r="G508" s="10">
        <f>G507</f>
        <v>45</v>
      </c>
      <c r="H508" s="10">
        <f>H507</f>
        <v>45</v>
      </c>
    </row>
    <row r="509" spans="1:8" ht="47.25" x14ac:dyDescent="0.25">
      <c r="A509" s="31" t="s">
        <v>816</v>
      </c>
      <c r="B509" s="462" t="s">
        <v>1212</v>
      </c>
      <c r="C509" s="469" t="s">
        <v>264</v>
      </c>
      <c r="D509" s="469" t="s">
        <v>215</v>
      </c>
      <c r="E509" s="462"/>
      <c r="F509" s="2"/>
      <c r="G509" s="10">
        <f>G510+G513</f>
        <v>1250</v>
      </c>
      <c r="H509" s="10">
        <f>H510+H513</f>
        <v>1250</v>
      </c>
    </row>
    <row r="510" spans="1:8" ht="94.5" x14ac:dyDescent="0.25">
      <c r="A510" s="466" t="s">
        <v>127</v>
      </c>
      <c r="B510" s="462" t="s">
        <v>1212</v>
      </c>
      <c r="C510" s="469" t="s">
        <v>264</v>
      </c>
      <c r="D510" s="469" t="s">
        <v>215</v>
      </c>
      <c r="E510" s="462" t="s">
        <v>128</v>
      </c>
      <c r="F510" s="2"/>
      <c r="G510" s="10">
        <f>G511</f>
        <v>1250</v>
      </c>
      <c r="H510" s="10">
        <f>H511</f>
        <v>1250</v>
      </c>
    </row>
    <row r="511" spans="1:8" ht="31.5" x14ac:dyDescent="0.25">
      <c r="A511" s="46" t="s">
        <v>342</v>
      </c>
      <c r="B511" s="462" t="s">
        <v>1212</v>
      </c>
      <c r="C511" s="469" t="s">
        <v>264</v>
      </c>
      <c r="D511" s="469" t="s">
        <v>215</v>
      </c>
      <c r="E511" s="462" t="s">
        <v>209</v>
      </c>
      <c r="F511" s="2"/>
      <c r="G511" s="10">
        <f>'пр.6.1.ведом.22-23 (2)'!G310</f>
        <v>1250</v>
      </c>
      <c r="H511" s="10">
        <f>'пр.6.1.ведом.22-23 (2)'!H310</f>
        <v>1250</v>
      </c>
    </row>
    <row r="512" spans="1:8" ht="47.25" x14ac:dyDescent="0.25">
      <c r="A512" s="45" t="s">
        <v>261</v>
      </c>
      <c r="B512" s="462" t="s">
        <v>1212</v>
      </c>
      <c r="C512" s="469" t="s">
        <v>264</v>
      </c>
      <c r="D512" s="469" t="s">
        <v>215</v>
      </c>
      <c r="E512" s="462" t="s">
        <v>209</v>
      </c>
      <c r="F512" s="2">
        <v>903</v>
      </c>
      <c r="G512" s="10">
        <f>G511</f>
        <v>1250</v>
      </c>
      <c r="H512" s="10">
        <f>H511</f>
        <v>1250</v>
      </c>
    </row>
    <row r="513" spans="1:8" ht="31.5" hidden="1" x14ac:dyDescent="0.25">
      <c r="A513" s="466" t="s">
        <v>131</v>
      </c>
      <c r="B513" s="462" t="s">
        <v>1212</v>
      </c>
      <c r="C513" s="469" t="s">
        <v>264</v>
      </c>
      <c r="D513" s="469" t="s">
        <v>215</v>
      </c>
      <c r="E513" s="462" t="s">
        <v>132</v>
      </c>
      <c r="F513" s="2"/>
      <c r="G513" s="10">
        <f>G514</f>
        <v>0</v>
      </c>
      <c r="H513" s="10">
        <f>H514</f>
        <v>0</v>
      </c>
    </row>
    <row r="514" spans="1:8" ht="47.25" hidden="1" x14ac:dyDescent="0.25">
      <c r="A514" s="466" t="s">
        <v>133</v>
      </c>
      <c r="B514" s="462" t="s">
        <v>1212</v>
      </c>
      <c r="C514" s="469" t="s">
        <v>264</v>
      </c>
      <c r="D514" s="469" t="s">
        <v>215</v>
      </c>
      <c r="E514" s="462" t="s">
        <v>134</v>
      </c>
      <c r="F514" s="2"/>
      <c r="G514" s="10">
        <f>'пр.6.1.ведом.22-23 (2)'!G312</f>
        <v>0</v>
      </c>
      <c r="H514" s="10">
        <f>'пр.6.1.ведом.22-23 (2)'!H312</f>
        <v>0</v>
      </c>
    </row>
    <row r="515" spans="1:8" ht="47.25" hidden="1" x14ac:dyDescent="0.25">
      <c r="A515" s="45" t="s">
        <v>261</v>
      </c>
      <c r="B515" s="462" t="s">
        <v>1212</v>
      </c>
      <c r="C515" s="469" t="s">
        <v>264</v>
      </c>
      <c r="D515" s="469" t="s">
        <v>215</v>
      </c>
      <c r="E515" s="462" t="s">
        <v>134</v>
      </c>
      <c r="F515" s="2">
        <v>903</v>
      </c>
      <c r="G515" s="10">
        <f>G514</f>
        <v>0</v>
      </c>
      <c r="H515" s="10">
        <f>H514</f>
        <v>0</v>
      </c>
    </row>
    <row r="516" spans="1:8" ht="15.75" x14ac:dyDescent="0.25">
      <c r="A516" s="73" t="s">
        <v>298</v>
      </c>
      <c r="B516" s="462" t="s">
        <v>1210</v>
      </c>
      <c r="C516" s="469" t="s">
        <v>299</v>
      </c>
      <c r="D516" s="73"/>
      <c r="E516" s="73"/>
      <c r="F516" s="2"/>
      <c r="G516" s="10">
        <f>G517</f>
        <v>1380</v>
      </c>
      <c r="H516" s="10">
        <f>H517</f>
        <v>1380</v>
      </c>
    </row>
    <row r="517" spans="1:8" ht="15.75" x14ac:dyDescent="0.25">
      <c r="A517" s="73" t="s">
        <v>300</v>
      </c>
      <c r="B517" s="462" t="s">
        <v>1210</v>
      </c>
      <c r="C517" s="469" t="s">
        <v>299</v>
      </c>
      <c r="D517" s="469" t="s">
        <v>118</v>
      </c>
      <c r="E517" s="73"/>
      <c r="F517" s="2"/>
      <c r="G517" s="10">
        <f>G518</f>
        <v>1380</v>
      </c>
      <c r="H517" s="10">
        <f>H518</f>
        <v>1380</v>
      </c>
    </row>
    <row r="518" spans="1:8" ht="47.65" customHeight="1" x14ac:dyDescent="0.25">
      <c r="A518" s="31" t="s">
        <v>816</v>
      </c>
      <c r="B518" s="462" t="s">
        <v>1212</v>
      </c>
      <c r="C518" s="469" t="s">
        <v>299</v>
      </c>
      <c r="D518" s="469" t="s">
        <v>118</v>
      </c>
      <c r="E518" s="469"/>
      <c r="F518" s="2"/>
      <c r="G518" s="10">
        <f>G519+G522</f>
        <v>1380</v>
      </c>
      <c r="H518" s="10">
        <f>H519+H522</f>
        <v>1380</v>
      </c>
    </row>
    <row r="519" spans="1:8" ht="94.5" hidden="1" x14ac:dyDescent="0.25">
      <c r="A519" s="466" t="s">
        <v>127</v>
      </c>
      <c r="B519" s="462" t="s">
        <v>1212</v>
      </c>
      <c r="C519" s="469" t="s">
        <v>299</v>
      </c>
      <c r="D519" s="469" t="s">
        <v>118</v>
      </c>
      <c r="E519" s="469" t="s">
        <v>128</v>
      </c>
      <c r="F519" s="2"/>
      <c r="G519" s="10">
        <f>G520</f>
        <v>0</v>
      </c>
      <c r="H519" s="10">
        <f>H520</f>
        <v>0</v>
      </c>
    </row>
    <row r="520" spans="1:8" ht="31.5" hidden="1" x14ac:dyDescent="0.25">
      <c r="A520" s="466" t="s">
        <v>208</v>
      </c>
      <c r="B520" s="462" t="s">
        <v>1212</v>
      </c>
      <c r="C520" s="469" t="s">
        <v>299</v>
      </c>
      <c r="D520" s="469" t="s">
        <v>118</v>
      </c>
      <c r="E520" s="469" t="s">
        <v>209</v>
      </c>
      <c r="F520" s="2"/>
      <c r="G520" s="10">
        <f>'пр.6.1.ведом.22-23 (2)'!G371</f>
        <v>0</v>
      </c>
      <c r="H520" s="10">
        <f>'пр.6.1.ведом.22-23 (2)'!H371</f>
        <v>0</v>
      </c>
    </row>
    <row r="521" spans="1:8" ht="47.25" hidden="1" x14ac:dyDescent="0.25">
      <c r="A521" s="45" t="s">
        <v>261</v>
      </c>
      <c r="B521" s="462" t="s">
        <v>1212</v>
      </c>
      <c r="C521" s="469" t="s">
        <v>299</v>
      </c>
      <c r="D521" s="469" t="s">
        <v>118</v>
      </c>
      <c r="E521" s="469" t="s">
        <v>209</v>
      </c>
      <c r="F521" s="2">
        <v>903</v>
      </c>
      <c r="G521" s="10">
        <f>G520</f>
        <v>0</v>
      </c>
      <c r="H521" s="10">
        <f>H520</f>
        <v>0</v>
      </c>
    </row>
    <row r="522" spans="1:8" ht="31.5" x14ac:dyDescent="0.25">
      <c r="A522" s="466" t="s">
        <v>131</v>
      </c>
      <c r="B522" s="462" t="s">
        <v>1212</v>
      </c>
      <c r="C522" s="469" t="s">
        <v>299</v>
      </c>
      <c r="D522" s="469" t="s">
        <v>118</v>
      </c>
      <c r="E522" s="469" t="s">
        <v>132</v>
      </c>
      <c r="F522" s="2"/>
      <c r="G522" s="10">
        <f>G523</f>
        <v>1380</v>
      </c>
      <c r="H522" s="10">
        <f>H523</f>
        <v>1380</v>
      </c>
    </row>
    <row r="523" spans="1:8" ht="47.25" x14ac:dyDescent="0.25">
      <c r="A523" s="466" t="s">
        <v>133</v>
      </c>
      <c r="B523" s="462" t="s">
        <v>1212</v>
      </c>
      <c r="C523" s="469" t="s">
        <v>299</v>
      </c>
      <c r="D523" s="469" t="s">
        <v>118</v>
      </c>
      <c r="E523" s="469" t="s">
        <v>134</v>
      </c>
      <c r="F523" s="2"/>
      <c r="G523" s="10">
        <f>'пр.6.1.ведом.22-23 (2)'!G373</f>
        <v>1380</v>
      </c>
      <c r="H523" s="10">
        <f>'пр.6.1.ведом.22-23 (2)'!H373</f>
        <v>1380</v>
      </c>
    </row>
    <row r="524" spans="1:8" ht="47.25" x14ac:dyDescent="0.25">
      <c r="A524" s="45" t="s">
        <v>261</v>
      </c>
      <c r="B524" s="462" t="s">
        <v>1212</v>
      </c>
      <c r="C524" s="469" t="s">
        <v>299</v>
      </c>
      <c r="D524" s="469" t="s">
        <v>118</v>
      </c>
      <c r="E524" s="469" t="s">
        <v>134</v>
      </c>
      <c r="F524" s="2">
        <v>903</v>
      </c>
      <c r="G524" s="10">
        <f>G523</f>
        <v>1380</v>
      </c>
      <c r="H524" s="10">
        <f>H523</f>
        <v>1380</v>
      </c>
    </row>
    <row r="525" spans="1:8" ht="47.25" x14ac:dyDescent="0.25">
      <c r="A525" s="464" t="s">
        <v>947</v>
      </c>
      <c r="B525" s="465" t="s">
        <v>1213</v>
      </c>
      <c r="C525" s="7"/>
      <c r="D525" s="7"/>
      <c r="E525" s="7"/>
      <c r="F525" s="3"/>
      <c r="G525" s="59">
        <f>G526+G532+G538</f>
        <v>1657</v>
      </c>
      <c r="H525" s="59">
        <f>H526+H532+H538</f>
        <v>1657</v>
      </c>
    </row>
    <row r="526" spans="1:8" ht="15.75" x14ac:dyDescent="0.25">
      <c r="A526" s="466" t="s">
        <v>263</v>
      </c>
      <c r="B526" s="462" t="s">
        <v>1213</v>
      </c>
      <c r="C526" s="469" t="s">
        <v>264</v>
      </c>
      <c r="D526" s="469"/>
      <c r="E526" s="469"/>
      <c r="F526" s="2"/>
      <c r="G526" s="10">
        <f t="shared" ref="G526:H529" si="64">G527</f>
        <v>506</v>
      </c>
      <c r="H526" s="10">
        <f t="shared" si="64"/>
        <v>506</v>
      </c>
    </row>
    <row r="527" spans="1:8" ht="15.75" x14ac:dyDescent="0.25">
      <c r="A527" s="466" t="s">
        <v>265</v>
      </c>
      <c r="B527" s="462" t="s">
        <v>1213</v>
      </c>
      <c r="C527" s="469" t="s">
        <v>264</v>
      </c>
      <c r="D527" s="469" t="s">
        <v>215</v>
      </c>
      <c r="E527" s="469"/>
      <c r="F527" s="2"/>
      <c r="G527" s="10">
        <f t="shared" si="64"/>
        <v>506</v>
      </c>
      <c r="H527" s="10">
        <f t="shared" si="64"/>
        <v>506</v>
      </c>
    </row>
    <row r="528" spans="1:8" ht="47.25" x14ac:dyDescent="0.25">
      <c r="A528" s="466" t="s">
        <v>839</v>
      </c>
      <c r="B528" s="462" t="s">
        <v>1214</v>
      </c>
      <c r="C528" s="469" t="s">
        <v>264</v>
      </c>
      <c r="D528" s="469" t="s">
        <v>215</v>
      </c>
      <c r="E528" s="462"/>
      <c r="F528" s="2"/>
      <c r="G528" s="10">
        <f t="shared" si="64"/>
        <v>506</v>
      </c>
      <c r="H528" s="10">
        <f t="shared" si="64"/>
        <v>506</v>
      </c>
    </row>
    <row r="529" spans="1:8" ht="94.5" x14ac:dyDescent="0.25">
      <c r="A529" s="466" t="s">
        <v>127</v>
      </c>
      <c r="B529" s="462" t="s">
        <v>1214</v>
      </c>
      <c r="C529" s="469" t="s">
        <v>264</v>
      </c>
      <c r="D529" s="469" t="s">
        <v>215</v>
      </c>
      <c r="E529" s="462" t="s">
        <v>128</v>
      </c>
      <c r="F529" s="2"/>
      <c r="G529" s="10">
        <f t="shared" si="64"/>
        <v>506</v>
      </c>
      <c r="H529" s="10">
        <f t="shared" si="64"/>
        <v>506</v>
      </c>
    </row>
    <row r="530" spans="1:8" ht="31.5" x14ac:dyDescent="0.25">
      <c r="A530" s="466" t="s">
        <v>129</v>
      </c>
      <c r="B530" s="462" t="s">
        <v>1214</v>
      </c>
      <c r="C530" s="469" t="s">
        <v>264</v>
      </c>
      <c r="D530" s="469" t="s">
        <v>215</v>
      </c>
      <c r="E530" s="462" t="s">
        <v>209</v>
      </c>
      <c r="F530" s="2"/>
      <c r="G530" s="10">
        <f>'пр.6.1.ведом.22-23 (2)'!G316</f>
        <v>506</v>
      </c>
      <c r="H530" s="10">
        <f>'пр.6.1.ведом.22-23 (2)'!H316</f>
        <v>506</v>
      </c>
    </row>
    <row r="531" spans="1:8" ht="47.25" x14ac:dyDescent="0.25">
      <c r="A531" s="45" t="s">
        <v>261</v>
      </c>
      <c r="B531" s="462" t="s">
        <v>1214</v>
      </c>
      <c r="C531" s="469" t="s">
        <v>264</v>
      </c>
      <c r="D531" s="469" t="s">
        <v>215</v>
      </c>
      <c r="E531" s="462" t="s">
        <v>209</v>
      </c>
      <c r="F531" s="2">
        <v>903</v>
      </c>
      <c r="G531" s="10">
        <f>G530</f>
        <v>506</v>
      </c>
      <c r="H531" s="10">
        <f>H530</f>
        <v>506</v>
      </c>
    </row>
    <row r="532" spans="1:8" ht="15.75" x14ac:dyDescent="0.25">
      <c r="A532" s="73" t="s">
        <v>298</v>
      </c>
      <c r="B532" s="462" t="s">
        <v>1213</v>
      </c>
      <c r="C532" s="469" t="s">
        <v>299</v>
      </c>
      <c r="D532" s="73"/>
      <c r="E532" s="73"/>
      <c r="F532" s="2"/>
      <c r="G532" s="10">
        <f t="shared" ref="G532:H535" si="65">G533</f>
        <v>875</v>
      </c>
      <c r="H532" s="10">
        <f t="shared" si="65"/>
        <v>875</v>
      </c>
    </row>
    <row r="533" spans="1:8" ht="15.75" x14ac:dyDescent="0.25">
      <c r="A533" s="73" t="s">
        <v>300</v>
      </c>
      <c r="B533" s="462" t="s">
        <v>1213</v>
      </c>
      <c r="C533" s="469" t="s">
        <v>299</v>
      </c>
      <c r="D533" s="469" t="s">
        <v>118</v>
      </c>
      <c r="E533" s="73"/>
      <c r="F533" s="2"/>
      <c r="G533" s="10">
        <f t="shared" si="65"/>
        <v>875</v>
      </c>
      <c r="H533" s="10">
        <f t="shared" si="65"/>
        <v>875</v>
      </c>
    </row>
    <row r="534" spans="1:8" ht="47.25" x14ac:dyDescent="0.25">
      <c r="A534" s="466" t="s">
        <v>839</v>
      </c>
      <c r="B534" s="462" t="s">
        <v>1214</v>
      </c>
      <c r="C534" s="469" t="s">
        <v>299</v>
      </c>
      <c r="D534" s="469" t="s">
        <v>118</v>
      </c>
      <c r="E534" s="469"/>
      <c r="F534" s="2"/>
      <c r="G534" s="10">
        <f t="shared" si="65"/>
        <v>875</v>
      </c>
      <c r="H534" s="10">
        <f t="shared" si="65"/>
        <v>875</v>
      </c>
    </row>
    <row r="535" spans="1:8" ht="94.5" x14ac:dyDescent="0.25">
      <c r="A535" s="466" t="s">
        <v>127</v>
      </c>
      <c r="B535" s="462" t="s">
        <v>1214</v>
      </c>
      <c r="C535" s="469" t="s">
        <v>299</v>
      </c>
      <c r="D535" s="469" t="s">
        <v>118</v>
      </c>
      <c r="E535" s="469" t="s">
        <v>128</v>
      </c>
      <c r="F535" s="2"/>
      <c r="G535" s="10">
        <f t="shared" si="65"/>
        <v>875</v>
      </c>
      <c r="H535" s="10">
        <f t="shared" si="65"/>
        <v>875</v>
      </c>
    </row>
    <row r="536" spans="1:8" ht="31.5" x14ac:dyDescent="0.25">
      <c r="A536" s="466" t="s">
        <v>129</v>
      </c>
      <c r="B536" s="462" t="s">
        <v>1214</v>
      </c>
      <c r="C536" s="469" t="s">
        <v>299</v>
      </c>
      <c r="D536" s="469" t="s">
        <v>118</v>
      </c>
      <c r="E536" s="469" t="s">
        <v>209</v>
      </c>
      <c r="F536" s="2"/>
      <c r="G536" s="10">
        <f>'пр.6.1.ведом.22-23 (2)'!G377</f>
        <v>875</v>
      </c>
      <c r="H536" s="10">
        <f>'пр.6.1.ведом.22-23 (2)'!H377</f>
        <v>875</v>
      </c>
    </row>
    <row r="537" spans="1:8" ht="47.25" x14ac:dyDescent="0.25">
      <c r="A537" s="45" t="s">
        <v>261</v>
      </c>
      <c r="B537" s="462" t="s">
        <v>1214</v>
      </c>
      <c r="C537" s="469" t="s">
        <v>299</v>
      </c>
      <c r="D537" s="469" t="s">
        <v>118</v>
      </c>
      <c r="E537" s="469" t="s">
        <v>209</v>
      </c>
      <c r="F537" s="2">
        <v>903</v>
      </c>
      <c r="G537" s="10">
        <f>G536</f>
        <v>875</v>
      </c>
      <c r="H537" s="10">
        <f>H536</f>
        <v>875</v>
      </c>
    </row>
    <row r="538" spans="1:8" ht="15.75" x14ac:dyDescent="0.25">
      <c r="A538" s="68" t="s">
        <v>582</v>
      </c>
      <c r="B538" s="462" t="s">
        <v>1213</v>
      </c>
      <c r="C538" s="469" t="s">
        <v>238</v>
      </c>
      <c r="D538" s="73"/>
      <c r="E538" s="73"/>
      <c r="F538" s="2"/>
      <c r="G538" s="10">
        <f t="shared" ref="G538:H541" si="66">G539</f>
        <v>276</v>
      </c>
      <c r="H538" s="10">
        <f t="shared" si="66"/>
        <v>276</v>
      </c>
    </row>
    <row r="539" spans="1:8" ht="15.75" x14ac:dyDescent="0.25">
      <c r="A539" s="466" t="s">
        <v>583</v>
      </c>
      <c r="B539" s="462" t="s">
        <v>1213</v>
      </c>
      <c r="C539" s="469" t="s">
        <v>238</v>
      </c>
      <c r="D539" s="469" t="s">
        <v>213</v>
      </c>
      <c r="E539" s="73"/>
      <c r="F539" s="2"/>
      <c r="G539" s="10">
        <f t="shared" si="66"/>
        <v>276</v>
      </c>
      <c r="H539" s="10">
        <f t="shared" si="66"/>
        <v>276</v>
      </c>
    </row>
    <row r="540" spans="1:8" ht="47.25" x14ac:dyDescent="0.25">
      <c r="A540" s="466" t="s">
        <v>839</v>
      </c>
      <c r="B540" s="462" t="s">
        <v>1214</v>
      </c>
      <c r="C540" s="469" t="s">
        <v>238</v>
      </c>
      <c r="D540" s="469" t="s">
        <v>213</v>
      </c>
      <c r="E540" s="469"/>
      <c r="F540" s="2"/>
      <c r="G540" s="10">
        <f t="shared" si="66"/>
        <v>276</v>
      </c>
      <c r="H540" s="10">
        <f t="shared" si="66"/>
        <v>276</v>
      </c>
    </row>
    <row r="541" spans="1:8" ht="94.5" x14ac:dyDescent="0.25">
      <c r="A541" s="466" t="s">
        <v>127</v>
      </c>
      <c r="B541" s="462" t="s">
        <v>1214</v>
      </c>
      <c r="C541" s="469" t="s">
        <v>238</v>
      </c>
      <c r="D541" s="469" t="s">
        <v>213</v>
      </c>
      <c r="E541" s="469" t="s">
        <v>128</v>
      </c>
      <c r="F541" s="2"/>
      <c r="G541" s="10">
        <f t="shared" si="66"/>
        <v>276</v>
      </c>
      <c r="H541" s="10">
        <f t="shared" si="66"/>
        <v>276</v>
      </c>
    </row>
    <row r="542" spans="1:8" ht="31.5" x14ac:dyDescent="0.25">
      <c r="A542" s="466" t="s">
        <v>129</v>
      </c>
      <c r="B542" s="462" t="s">
        <v>1214</v>
      </c>
      <c r="C542" s="469" t="s">
        <v>238</v>
      </c>
      <c r="D542" s="469" t="s">
        <v>213</v>
      </c>
      <c r="E542" s="469" t="s">
        <v>209</v>
      </c>
      <c r="F542" s="2"/>
      <c r="G542" s="10">
        <f>'пр.6.1.ведом.22-23 (2)'!G482</f>
        <v>276</v>
      </c>
      <c r="H542" s="10">
        <f>'пр.6.1.ведом.22-23 (2)'!H482</f>
        <v>276</v>
      </c>
    </row>
    <row r="543" spans="1:8" ht="47.25" x14ac:dyDescent="0.25">
      <c r="A543" s="45" t="s">
        <v>261</v>
      </c>
      <c r="B543" s="462" t="s">
        <v>1214</v>
      </c>
      <c r="C543" s="469" t="s">
        <v>238</v>
      </c>
      <c r="D543" s="469" t="s">
        <v>213</v>
      </c>
      <c r="E543" s="469" t="s">
        <v>209</v>
      </c>
      <c r="F543" s="2">
        <v>903</v>
      </c>
      <c r="G543" s="10">
        <f>G542</f>
        <v>276</v>
      </c>
      <c r="H543" s="10">
        <f>H542</f>
        <v>276</v>
      </c>
    </row>
    <row r="544" spans="1:8" ht="47.25" x14ac:dyDescent="0.25">
      <c r="A544" s="217" t="s">
        <v>900</v>
      </c>
      <c r="B544" s="465" t="s">
        <v>1215</v>
      </c>
      <c r="C544" s="7"/>
      <c r="D544" s="7"/>
      <c r="E544" s="7"/>
      <c r="F544" s="3"/>
      <c r="G544" s="59">
        <f>G545+G559</f>
        <v>3517.4</v>
      </c>
      <c r="H544" s="59">
        <f>H545+H559</f>
        <v>3517.4</v>
      </c>
    </row>
    <row r="545" spans="1:8" ht="15.75" x14ac:dyDescent="0.25">
      <c r="A545" s="466" t="s">
        <v>263</v>
      </c>
      <c r="B545" s="462" t="s">
        <v>1215</v>
      </c>
      <c r="C545" s="469" t="s">
        <v>264</v>
      </c>
      <c r="D545" s="469"/>
      <c r="E545" s="469"/>
      <c r="F545" s="2"/>
      <c r="G545" s="10">
        <f>G546</f>
        <v>1075.4000000000001</v>
      </c>
      <c r="H545" s="10">
        <f>H546</f>
        <v>1075.4000000000001</v>
      </c>
    </row>
    <row r="546" spans="1:8" ht="15.75" x14ac:dyDescent="0.25">
      <c r="A546" s="466" t="s">
        <v>265</v>
      </c>
      <c r="B546" s="462" t="s">
        <v>1215</v>
      </c>
      <c r="C546" s="469" t="s">
        <v>264</v>
      </c>
      <c r="D546" s="469" t="s">
        <v>215</v>
      </c>
      <c r="E546" s="469"/>
      <c r="F546" s="2"/>
      <c r="G546" s="10">
        <f>G551+G555+G547</f>
        <v>1075.4000000000001</v>
      </c>
      <c r="H546" s="10">
        <f>H551+H555+H547</f>
        <v>1075.4000000000001</v>
      </c>
    </row>
    <row r="547" spans="1:8" ht="110.25" x14ac:dyDescent="0.25">
      <c r="A547" s="31" t="s">
        <v>293</v>
      </c>
      <c r="B547" s="462" t="s">
        <v>1414</v>
      </c>
      <c r="C547" s="469" t="s">
        <v>264</v>
      </c>
      <c r="D547" s="469" t="s">
        <v>215</v>
      </c>
      <c r="E547" s="462"/>
      <c r="F547" s="2"/>
      <c r="G547" s="10">
        <f>G548</f>
        <v>671</v>
      </c>
      <c r="H547" s="10">
        <f>H548</f>
        <v>671</v>
      </c>
    </row>
    <row r="548" spans="1:8" ht="94.5" x14ac:dyDescent="0.25">
      <c r="A548" s="466" t="s">
        <v>127</v>
      </c>
      <c r="B548" s="462" t="s">
        <v>1414</v>
      </c>
      <c r="C548" s="469" t="s">
        <v>264</v>
      </c>
      <c r="D548" s="469" t="s">
        <v>215</v>
      </c>
      <c r="E548" s="462" t="s">
        <v>128</v>
      </c>
      <c r="F548" s="2"/>
      <c r="G548" s="10">
        <f>G549</f>
        <v>671</v>
      </c>
      <c r="H548" s="10">
        <f>H549</f>
        <v>671</v>
      </c>
    </row>
    <row r="549" spans="1:8" ht="31.5" x14ac:dyDescent="0.25">
      <c r="A549" s="46" t="s">
        <v>342</v>
      </c>
      <c r="B549" s="462" t="s">
        <v>1414</v>
      </c>
      <c r="C549" s="469" t="s">
        <v>264</v>
      </c>
      <c r="D549" s="469" t="s">
        <v>215</v>
      </c>
      <c r="E549" s="462" t="s">
        <v>209</v>
      </c>
      <c r="F549" s="2"/>
      <c r="G549" s="10">
        <f>'пр.6.1.ведом.22-23 (2)'!G320</f>
        <v>671</v>
      </c>
      <c r="H549" s="10">
        <f>'пр.6.1.ведом.22-23 (2)'!H320</f>
        <v>671</v>
      </c>
    </row>
    <row r="550" spans="1:8" ht="47.25" x14ac:dyDescent="0.25">
      <c r="A550" s="45" t="s">
        <v>261</v>
      </c>
      <c r="B550" s="462" t="s">
        <v>1414</v>
      </c>
      <c r="C550" s="469" t="s">
        <v>264</v>
      </c>
      <c r="D550" s="469" t="s">
        <v>215</v>
      </c>
      <c r="E550" s="462" t="s">
        <v>209</v>
      </c>
      <c r="F550" s="2">
        <v>903</v>
      </c>
      <c r="G550" s="10">
        <f>G549</f>
        <v>671</v>
      </c>
      <c r="H550" s="10">
        <f>H549</f>
        <v>671</v>
      </c>
    </row>
    <row r="551" spans="1:8" ht="78.75" x14ac:dyDescent="0.25">
      <c r="A551" s="31" t="s">
        <v>289</v>
      </c>
      <c r="B551" s="462" t="s">
        <v>1216</v>
      </c>
      <c r="C551" s="469" t="s">
        <v>264</v>
      </c>
      <c r="D551" s="469" t="s">
        <v>215</v>
      </c>
      <c r="E551" s="462"/>
      <c r="F551" s="2"/>
      <c r="G551" s="10">
        <f>G552</f>
        <v>106</v>
      </c>
      <c r="H551" s="10">
        <f>H552</f>
        <v>106</v>
      </c>
    </row>
    <row r="552" spans="1:8" ht="94.5" x14ac:dyDescent="0.25">
      <c r="A552" s="466" t="s">
        <v>127</v>
      </c>
      <c r="B552" s="462" t="s">
        <v>1216</v>
      </c>
      <c r="C552" s="469" t="s">
        <v>264</v>
      </c>
      <c r="D552" s="469" t="s">
        <v>215</v>
      </c>
      <c r="E552" s="462" t="s">
        <v>128</v>
      </c>
      <c r="F552" s="2"/>
      <c r="G552" s="10">
        <f>G553</f>
        <v>106</v>
      </c>
      <c r="H552" s="10">
        <f>H553</f>
        <v>106</v>
      </c>
    </row>
    <row r="553" spans="1:8" ht="31.5" x14ac:dyDescent="0.25">
      <c r="A553" s="46" t="s">
        <v>342</v>
      </c>
      <c r="B553" s="462" t="s">
        <v>1216</v>
      </c>
      <c r="C553" s="469" t="s">
        <v>264</v>
      </c>
      <c r="D553" s="469" t="s">
        <v>215</v>
      </c>
      <c r="E553" s="462" t="s">
        <v>209</v>
      </c>
      <c r="F553" s="2"/>
      <c r="G553" s="10">
        <f>'пр.6.1.ведом.22-23 (2)'!G323</f>
        <v>106</v>
      </c>
      <c r="H553" s="10">
        <f>'пр.6.1.ведом.22-23 (2)'!H323</f>
        <v>106</v>
      </c>
    </row>
    <row r="554" spans="1:8" ht="47.25" x14ac:dyDescent="0.25">
      <c r="A554" s="45" t="s">
        <v>261</v>
      </c>
      <c r="B554" s="462" t="s">
        <v>1216</v>
      </c>
      <c r="C554" s="469" t="s">
        <v>264</v>
      </c>
      <c r="D554" s="469" t="s">
        <v>215</v>
      </c>
      <c r="E554" s="462" t="s">
        <v>209</v>
      </c>
      <c r="F554" s="2">
        <v>903</v>
      </c>
      <c r="G554" s="10">
        <f>G553</f>
        <v>106</v>
      </c>
      <c r="H554" s="10">
        <f>H553</f>
        <v>106</v>
      </c>
    </row>
    <row r="555" spans="1:8" ht="94.5" x14ac:dyDescent="0.25">
      <c r="A555" s="31" t="s">
        <v>291</v>
      </c>
      <c r="B555" s="462" t="s">
        <v>1217</v>
      </c>
      <c r="C555" s="469" t="s">
        <v>264</v>
      </c>
      <c r="D555" s="469" t="s">
        <v>215</v>
      </c>
      <c r="E555" s="462"/>
      <c r="F555" s="2"/>
      <c r="G555" s="10">
        <f>G556</f>
        <v>298.39999999999998</v>
      </c>
      <c r="H555" s="10">
        <f>H556</f>
        <v>298.39999999999998</v>
      </c>
    </row>
    <row r="556" spans="1:8" ht="94.5" x14ac:dyDescent="0.25">
      <c r="A556" s="466" t="s">
        <v>127</v>
      </c>
      <c r="B556" s="462" t="s">
        <v>1217</v>
      </c>
      <c r="C556" s="469" t="s">
        <v>264</v>
      </c>
      <c r="D556" s="469" t="s">
        <v>215</v>
      </c>
      <c r="E556" s="462" t="s">
        <v>128</v>
      </c>
      <c r="F556" s="2"/>
      <c r="G556" s="10">
        <f>G557</f>
        <v>298.39999999999998</v>
      </c>
      <c r="H556" s="10">
        <f>H557</f>
        <v>298.39999999999998</v>
      </c>
    </row>
    <row r="557" spans="1:8" ht="31.5" x14ac:dyDescent="0.25">
      <c r="A557" s="46" t="s">
        <v>342</v>
      </c>
      <c r="B557" s="462" t="s">
        <v>1217</v>
      </c>
      <c r="C557" s="469" t="s">
        <v>264</v>
      </c>
      <c r="D557" s="469" t="s">
        <v>215</v>
      </c>
      <c r="E557" s="462" t="s">
        <v>209</v>
      </c>
      <c r="F557" s="2"/>
      <c r="G557" s="10">
        <f>'пр.6.1.ведом.22-23 (2)'!G326</f>
        <v>298.39999999999998</v>
      </c>
      <c r="H557" s="10">
        <f>'пр.6.1.ведом.22-23 (2)'!H326</f>
        <v>298.39999999999998</v>
      </c>
    </row>
    <row r="558" spans="1:8" ht="47.25" x14ac:dyDescent="0.25">
      <c r="A558" s="45" t="s">
        <v>261</v>
      </c>
      <c r="B558" s="462" t="s">
        <v>1217</v>
      </c>
      <c r="C558" s="469" t="s">
        <v>264</v>
      </c>
      <c r="D558" s="469" t="s">
        <v>215</v>
      </c>
      <c r="E558" s="462" t="s">
        <v>209</v>
      </c>
      <c r="F558" s="2">
        <v>903</v>
      </c>
      <c r="G558" s="10">
        <f>G557</f>
        <v>298.39999999999998</v>
      </c>
      <c r="H558" s="10">
        <f>H557</f>
        <v>298.39999999999998</v>
      </c>
    </row>
    <row r="559" spans="1:8" ht="15.75" x14ac:dyDescent="0.25">
      <c r="A559" s="73" t="s">
        <v>298</v>
      </c>
      <c r="B559" s="462" t="s">
        <v>1215</v>
      </c>
      <c r="C559" s="469" t="s">
        <v>299</v>
      </c>
      <c r="D559" s="73"/>
      <c r="E559" s="73"/>
      <c r="F559" s="2"/>
      <c r="G559" s="10">
        <f t="shared" ref="G559:H559" si="67">G560</f>
        <v>2442</v>
      </c>
      <c r="H559" s="10">
        <f t="shared" si="67"/>
        <v>2442</v>
      </c>
    </row>
    <row r="560" spans="1:8" ht="15.75" x14ac:dyDescent="0.25">
      <c r="A560" s="73" t="s">
        <v>300</v>
      </c>
      <c r="B560" s="462" t="s">
        <v>1215</v>
      </c>
      <c r="C560" s="469" t="s">
        <v>299</v>
      </c>
      <c r="D560" s="469" t="s">
        <v>118</v>
      </c>
      <c r="E560" s="73"/>
      <c r="F560" s="2"/>
      <c r="G560" s="10">
        <f>G561+G565</f>
        <v>2442</v>
      </c>
      <c r="H560" s="10">
        <f>H561+H565</f>
        <v>2442</v>
      </c>
    </row>
    <row r="561" spans="1:8" ht="110.25" x14ac:dyDescent="0.25">
      <c r="A561" s="31" t="s">
        <v>293</v>
      </c>
      <c r="B561" s="462" t="s">
        <v>1414</v>
      </c>
      <c r="C561" s="469" t="s">
        <v>299</v>
      </c>
      <c r="D561" s="469" t="s">
        <v>118</v>
      </c>
      <c r="E561" s="469"/>
      <c r="F561" s="2"/>
      <c r="G561" s="10">
        <f>G562</f>
        <v>2100.6</v>
      </c>
      <c r="H561" s="10">
        <f>H562</f>
        <v>2100.6</v>
      </c>
    </row>
    <row r="562" spans="1:8" ht="94.5" x14ac:dyDescent="0.25">
      <c r="A562" s="466" t="s">
        <v>127</v>
      </c>
      <c r="B562" s="462" t="s">
        <v>1414</v>
      </c>
      <c r="C562" s="469" t="s">
        <v>299</v>
      </c>
      <c r="D562" s="469" t="s">
        <v>118</v>
      </c>
      <c r="E562" s="469" t="s">
        <v>128</v>
      </c>
      <c r="F562" s="2"/>
      <c r="G562" s="10">
        <f>G563</f>
        <v>2100.6</v>
      </c>
      <c r="H562" s="10">
        <f>H563</f>
        <v>2100.6</v>
      </c>
    </row>
    <row r="563" spans="1:8" ht="31.5" x14ac:dyDescent="0.25">
      <c r="A563" s="466" t="s">
        <v>208</v>
      </c>
      <c r="B563" s="462" t="s">
        <v>1414</v>
      </c>
      <c r="C563" s="469" t="s">
        <v>299</v>
      </c>
      <c r="D563" s="469" t="s">
        <v>118</v>
      </c>
      <c r="E563" s="469" t="s">
        <v>209</v>
      </c>
      <c r="F563" s="2"/>
      <c r="G563" s="10">
        <f>'пр.6.1.ведом.22-23 (2)'!G381</f>
        <v>2100.6</v>
      </c>
      <c r="H563" s="10">
        <f>'пр.6.1.ведом.22-23 (2)'!H381</f>
        <v>2100.6</v>
      </c>
    </row>
    <row r="564" spans="1:8" ht="47.25" x14ac:dyDescent="0.25">
      <c r="A564" s="45" t="s">
        <v>261</v>
      </c>
      <c r="B564" s="462" t="s">
        <v>1414</v>
      </c>
      <c r="C564" s="469" t="s">
        <v>299</v>
      </c>
      <c r="D564" s="469" t="s">
        <v>118</v>
      </c>
      <c r="E564" s="469" t="s">
        <v>209</v>
      </c>
      <c r="F564" s="2">
        <v>903</v>
      </c>
      <c r="G564" s="10">
        <f>G563</f>
        <v>2100.6</v>
      </c>
      <c r="H564" s="10">
        <f>H563</f>
        <v>2100.6</v>
      </c>
    </row>
    <row r="565" spans="1:8" ht="94.5" x14ac:dyDescent="0.25">
      <c r="A565" s="466" t="s">
        <v>331</v>
      </c>
      <c r="B565" s="462" t="s">
        <v>1296</v>
      </c>
      <c r="C565" s="462" t="s">
        <v>299</v>
      </c>
      <c r="D565" s="462" t="s">
        <v>118</v>
      </c>
      <c r="E565" s="462"/>
      <c r="F565" s="462"/>
      <c r="G565" s="10">
        <f>G566</f>
        <v>341.4</v>
      </c>
      <c r="H565" s="10">
        <f>H566</f>
        <v>341.4</v>
      </c>
    </row>
    <row r="566" spans="1:8" ht="94.5" x14ac:dyDescent="0.25">
      <c r="A566" s="466" t="s">
        <v>127</v>
      </c>
      <c r="B566" s="462" t="s">
        <v>1296</v>
      </c>
      <c r="C566" s="462" t="s">
        <v>299</v>
      </c>
      <c r="D566" s="462" t="s">
        <v>118</v>
      </c>
      <c r="E566" s="462" t="s">
        <v>128</v>
      </c>
      <c r="F566" s="462"/>
      <c r="G566" s="10">
        <f>G567</f>
        <v>341.4</v>
      </c>
      <c r="H566" s="10">
        <f>H567</f>
        <v>341.4</v>
      </c>
    </row>
    <row r="567" spans="1:8" ht="31.5" x14ac:dyDescent="0.25">
      <c r="A567" s="466" t="s">
        <v>208</v>
      </c>
      <c r="B567" s="462" t="s">
        <v>1296</v>
      </c>
      <c r="C567" s="462" t="s">
        <v>299</v>
      </c>
      <c r="D567" s="462" t="s">
        <v>118</v>
      </c>
      <c r="E567" s="462" t="s">
        <v>209</v>
      </c>
      <c r="F567" s="462"/>
      <c r="G567" s="10">
        <f>'пр.6.1.ведом.22-23 (2)'!G384</f>
        <v>341.4</v>
      </c>
      <c r="H567" s="10">
        <f>'пр.6.1.ведом.22-23 (2)'!H384</f>
        <v>341.4</v>
      </c>
    </row>
    <row r="568" spans="1:8" ht="47.25" x14ac:dyDescent="0.25">
      <c r="A568" s="45" t="s">
        <v>261</v>
      </c>
      <c r="B568" s="462" t="s">
        <v>1296</v>
      </c>
      <c r="C568" s="462" t="s">
        <v>299</v>
      </c>
      <c r="D568" s="462" t="s">
        <v>118</v>
      </c>
      <c r="E568" s="462" t="s">
        <v>209</v>
      </c>
      <c r="F568" s="462" t="s">
        <v>627</v>
      </c>
      <c r="G568" s="10">
        <f>G567</f>
        <v>341.4</v>
      </c>
      <c r="H568" s="10">
        <f>H567</f>
        <v>341.4</v>
      </c>
    </row>
    <row r="569" spans="1:8" ht="47.25" x14ac:dyDescent="0.25">
      <c r="A569" s="464" t="s">
        <v>902</v>
      </c>
      <c r="B569" s="465" t="s">
        <v>1220</v>
      </c>
      <c r="C569" s="7"/>
      <c r="D569" s="7"/>
      <c r="E569" s="7"/>
      <c r="F569" s="3"/>
      <c r="G569" s="59">
        <f>G572</f>
        <v>50</v>
      </c>
      <c r="H569" s="59">
        <f>H572</f>
        <v>50</v>
      </c>
    </row>
    <row r="570" spans="1:8" ht="15.75" x14ac:dyDescent="0.25">
      <c r="A570" s="73" t="s">
        <v>298</v>
      </c>
      <c r="B570" s="462" t="s">
        <v>1220</v>
      </c>
      <c r="C570" s="469" t="s">
        <v>299</v>
      </c>
      <c r="D570" s="469"/>
      <c r="E570" s="469"/>
      <c r="F570" s="74"/>
      <c r="G570" s="10">
        <f t="shared" ref="G570:H573" si="68">G571</f>
        <v>50</v>
      </c>
      <c r="H570" s="10">
        <f t="shared" si="68"/>
        <v>50</v>
      </c>
    </row>
    <row r="571" spans="1:8" ht="15.75" x14ac:dyDescent="0.25">
      <c r="A571" s="73" t="s">
        <v>300</v>
      </c>
      <c r="B571" s="462" t="s">
        <v>1220</v>
      </c>
      <c r="C571" s="469" t="s">
        <v>299</v>
      </c>
      <c r="D571" s="469" t="s">
        <v>118</v>
      </c>
      <c r="E571" s="469"/>
      <c r="F571" s="74"/>
      <c r="G571" s="10">
        <f t="shared" si="68"/>
        <v>50</v>
      </c>
      <c r="H571" s="10">
        <f t="shared" si="68"/>
        <v>50</v>
      </c>
    </row>
    <row r="572" spans="1:8" ht="31.5" x14ac:dyDescent="0.25">
      <c r="A572" s="466" t="s">
        <v>821</v>
      </c>
      <c r="B572" s="462" t="s">
        <v>1221</v>
      </c>
      <c r="C572" s="469" t="s">
        <v>299</v>
      </c>
      <c r="D572" s="469" t="s">
        <v>118</v>
      </c>
      <c r="E572" s="469"/>
      <c r="F572" s="2"/>
      <c r="G572" s="10">
        <f t="shared" si="68"/>
        <v>50</v>
      </c>
      <c r="H572" s="10">
        <f t="shared" si="68"/>
        <v>50</v>
      </c>
    </row>
    <row r="573" spans="1:8" ht="31.5" x14ac:dyDescent="0.25">
      <c r="A573" s="466" t="s">
        <v>131</v>
      </c>
      <c r="B573" s="462" t="s">
        <v>1221</v>
      </c>
      <c r="C573" s="469" t="s">
        <v>299</v>
      </c>
      <c r="D573" s="469" t="s">
        <v>118</v>
      </c>
      <c r="E573" s="469" t="s">
        <v>132</v>
      </c>
      <c r="F573" s="2"/>
      <c r="G573" s="10">
        <f t="shared" si="68"/>
        <v>50</v>
      </c>
      <c r="H573" s="10">
        <f t="shared" si="68"/>
        <v>50</v>
      </c>
    </row>
    <row r="574" spans="1:8" ht="47.25" x14ac:dyDescent="0.25">
      <c r="A574" s="466" t="s">
        <v>133</v>
      </c>
      <c r="B574" s="462" t="s">
        <v>1221</v>
      </c>
      <c r="C574" s="469" t="s">
        <v>299</v>
      </c>
      <c r="D574" s="469" t="s">
        <v>118</v>
      </c>
      <c r="E574" s="469" t="s">
        <v>134</v>
      </c>
      <c r="F574" s="2"/>
      <c r="G574" s="10">
        <f>'пр.6.1.ведом.22-23 (2)'!G388</f>
        <v>50</v>
      </c>
      <c r="H574" s="10">
        <f>'пр.6.1.ведом.22-23 (2)'!H388</f>
        <v>50</v>
      </c>
    </row>
    <row r="575" spans="1:8" ht="47.25" x14ac:dyDescent="0.25">
      <c r="A575" s="45" t="s">
        <v>261</v>
      </c>
      <c r="B575" s="462" t="s">
        <v>1221</v>
      </c>
      <c r="C575" s="469" t="s">
        <v>299</v>
      </c>
      <c r="D575" s="469" t="s">
        <v>118</v>
      </c>
      <c r="E575" s="469" t="s">
        <v>134</v>
      </c>
      <c r="F575" s="2">
        <v>903</v>
      </c>
      <c r="G575" s="10">
        <f>G574</f>
        <v>50</v>
      </c>
      <c r="H575" s="10">
        <f>H574</f>
        <v>50</v>
      </c>
    </row>
    <row r="576" spans="1:8" ht="31.5" x14ac:dyDescent="0.25">
      <c r="A576" s="464" t="s">
        <v>1010</v>
      </c>
      <c r="B576" s="465" t="s">
        <v>1222</v>
      </c>
      <c r="C576" s="7"/>
      <c r="D576" s="7"/>
      <c r="E576" s="7"/>
      <c r="F576" s="3"/>
      <c r="G576" s="59">
        <f>G577</f>
        <v>68.7</v>
      </c>
      <c r="H576" s="59">
        <f>H577</f>
        <v>68.7</v>
      </c>
    </row>
    <row r="577" spans="1:8" ht="15.75" x14ac:dyDescent="0.25">
      <c r="A577" s="68" t="s">
        <v>298</v>
      </c>
      <c r="B577" s="462" t="s">
        <v>1222</v>
      </c>
      <c r="C577" s="469" t="s">
        <v>299</v>
      </c>
      <c r="D577" s="469"/>
      <c r="E577" s="469"/>
      <c r="F577" s="74"/>
      <c r="G577" s="10">
        <f t="shared" ref="G577:H580" si="69">G578</f>
        <v>68.7</v>
      </c>
      <c r="H577" s="10">
        <f t="shared" si="69"/>
        <v>68.7</v>
      </c>
    </row>
    <row r="578" spans="1:8" ht="15.75" x14ac:dyDescent="0.25">
      <c r="A578" s="68" t="s">
        <v>300</v>
      </c>
      <c r="B578" s="462" t="s">
        <v>1222</v>
      </c>
      <c r="C578" s="469" t="s">
        <v>299</v>
      </c>
      <c r="D578" s="469" t="s">
        <v>118</v>
      </c>
      <c r="E578" s="469"/>
      <c r="F578" s="74"/>
      <c r="G578" s="10">
        <f t="shared" si="69"/>
        <v>68.7</v>
      </c>
      <c r="H578" s="10">
        <f t="shared" si="69"/>
        <v>68.7</v>
      </c>
    </row>
    <row r="579" spans="1:8" ht="47.25" x14ac:dyDescent="0.25">
      <c r="A579" s="466" t="s">
        <v>1497</v>
      </c>
      <c r="B579" s="462" t="s">
        <v>1223</v>
      </c>
      <c r="C579" s="469" t="s">
        <v>299</v>
      </c>
      <c r="D579" s="469" t="s">
        <v>118</v>
      </c>
      <c r="E579" s="469"/>
      <c r="F579" s="2"/>
      <c r="G579" s="10">
        <f t="shared" si="69"/>
        <v>68.7</v>
      </c>
      <c r="H579" s="10">
        <f t="shared" si="69"/>
        <v>68.7</v>
      </c>
    </row>
    <row r="580" spans="1:8" ht="31.5" x14ac:dyDescent="0.25">
      <c r="A580" s="466" t="s">
        <v>131</v>
      </c>
      <c r="B580" s="462" t="s">
        <v>1223</v>
      </c>
      <c r="C580" s="469" t="s">
        <v>299</v>
      </c>
      <c r="D580" s="469" t="s">
        <v>118</v>
      </c>
      <c r="E580" s="469" t="s">
        <v>132</v>
      </c>
      <c r="F580" s="2"/>
      <c r="G580" s="10">
        <f t="shared" si="69"/>
        <v>68.7</v>
      </c>
      <c r="H580" s="10">
        <f t="shared" si="69"/>
        <v>68.7</v>
      </c>
    </row>
    <row r="581" spans="1:8" ht="47.25" x14ac:dyDescent="0.25">
      <c r="A581" s="466" t="s">
        <v>133</v>
      </c>
      <c r="B581" s="462" t="s">
        <v>1223</v>
      </c>
      <c r="C581" s="469" t="s">
        <v>299</v>
      </c>
      <c r="D581" s="469" t="s">
        <v>118</v>
      </c>
      <c r="E581" s="469" t="s">
        <v>134</v>
      </c>
      <c r="F581" s="2"/>
      <c r="G581" s="10">
        <f>'пр.6.1.ведом.22-23 (2)'!G392</f>
        <v>68.7</v>
      </c>
      <c r="H581" s="10">
        <f>'пр.6.1.ведом.22-23 (2)'!H392</f>
        <v>68.7</v>
      </c>
    </row>
    <row r="582" spans="1:8" ht="47.25" x14ac:dyDescent="0.25">
      <c r="A582" s="45" t="s">
        <v>261</v>
      </c>
      <c r="B582" s="462" t="s">
        <v>1223</v>
      </c>
      <c r="C582" s="469" t="s">
        <v>299</v>
      </c>
      <c r="D582" s="469" t="s">
        <v>118</v>
      </c>
      <c r="E582" s="469" t="s">
        <v>134</v>
      </c>
      <c r="F582" s="2">
        <v>903</v>
      </c>
      <c r="G582" s="10">
        <f>G581</f>
        <v>68.7</v>
      </c>
      <c r="H582" s="10">
        <f>H581</f>
        <v>68.7</v>
      </c>
    </row>
    <row r="583" spans="1:8" ht="36" customHeight="1" x14ac:dyDescent="0.25">
      <c r="A583" s="257" t="s">
        <v>1184</v>
      </c>
      <c r="B583" s="465" t="s">
        <v>1218</v>
      </c>
      <c r="C583" s="469"/>
      <c r="D583" s="73"/>
      <c r="E583" s="73"/>
      <c r="F583" s="2"/>
      <c r="G583" s="59">
        <f t="shared" ref="G583:H587" si="70">G584</f>
        <v>300</v>
      </c>
      <c r="H583" s="59">
        <f t="shared" si="70"/>
        <v>1500</v>
      </c>
    </row>
    <row r="584" spans="1:8" ht="15.75" x14ac:dyDescent="0.25">
      <c r="A584" s="68" t="s">
        <v>298</v>
      </c>
      <c r="B584" s="462" t="s">
        <v>1218</v>
      </c>
      <c r="C584" s="469" t="s">
        <v>299</v>
      </c>
      <c r="D584" s="73"/>
      <c r="E584" s="73"/>
      <c r="F584" s="2"/>
      <c r="G584" s="10">
        <f t="shared" si="70"/>
        <v>300</v>
      </c>
      <c r="H584" s="10">
        <f t="shared" si="70"/>
        <v>1500</v>
      </c>
    </row>
    <row r="585" spans="1:8" ht="15.75" x14ac:dyDescent="0.25">
      <c r="A585" s="68" t="s">
        <v>300</v>
      </c>
      <c r="B585" s="462" t="s">
        <v>1218</v>
      </c>
      <c r="C585" s="469" t="s">
        <v>299</v>
      </c>
      <c r="D585" s="469" t="s">
        <v>118</v>
      </c>
      <c r="E585" s="73"/>
      <c r="F585" s="2"/>
      <c r="G585" s="10">
        <f t="shared" si="70"/>
        <v>300</v>
      </c>
      <c r="H585" s="10">
        <f t="shared" si="70"/>
        <v>1500</v>
      </c>
    </row>
    <row r="586" spans="1:8" ht="31.5" x14ac:dyDescent="0.25">
      <c r="A586" s="98" t="s">
        <v>1191</v>
      </c>
      <c r="B586" s="462" t="s">
        <v>1219</v>
      </c>
      <c r="C586" s="469" t="s">
        <v>299</v>
      </c>
      <c r="D586" s="469" t="s">
        <v>118</v>
      </c>
      <c r="E586" s="469"/>
      <c r="F586" s="2"/>
      <c r="G586" s="10">
        <f t="shared" si="70"/>
        <v>300</v>
      </c>
      <c r="H586" s="10">
        <f t="shared" si="70"/>
        <v>1500</v>
      </c>
    </row>
    <row r="587" spans="1:8" ht="31.5" x14ac:dyDescent="0.25">
      <c r="A587" s="466" t="s">
        <v>131</v>
      </c>
      <c r="B587" s="462" t="s">
        <v>1219</v>
      </c>
      <c r="C587" s="469" t="s">
        <v>299</v>
      </c>
      <c r="D587" s="469" t="s">
        <v>118</v>
      </c>
      <c r="E587" s="469" t="s">
        <v>132</v>
      </c>
      <c r="F587" s="2"/>
      <c r="G587" s="10">
        <f t="shared" si="70"/>
        <v>300</v>
      </c>
      <c r="H587" s="10">
        <f t="shared" si="70"/>
        <v>1500</v>
      </c>
    </row>
    <row r="588" spans="1:8" ht="47.25" x14ac:dyDescent="0.25">
      <c r="A588" s="466" t="s">
        <v>133</v>
      </c>
      <c r="B588" s="462" t="s">
        <v>1219</v>
      </c>
      <c r="C588" s="469" t="s">
        <v>299</v>
      </c>
      <c r="D588" s="469" t="s">
        <v>118</v>
      </c>
      <c r="E588" s="469" t="s">
        <v>134</v>
      </c>
      <c r="F588" s="2"/>
      <c r="G588" s="10">
        <f>'пр.6.1.ведом.22-23 (2)'!G396</f>
        <v>300</v>
      </c>
      <c r="H588" s="10">
        <f>'пр.6.1.ведом.22-23 (2)'!H396</f>
        <v>1500</v>
      </c>
    </row>
    <row r="589" spans="1:8" ht="47.25" x14ac:dyDescent="0.25">
      <c r="A589" s="45" t="s">
        <v>261</v>
      </c>
      <c r="B589" s="462" t="s">
        <v>1219</v>
      </c>
      <c r="C589" s="469" t="s">
        <v>299</v>
      </c>
      <c r="D589" s="469" t="s">
        <v>118</v>
      </c>
      <c r="E589" s="469" t="s">
        <v>134</v>
      </c>
      <c r="F589" s="2">
        <v>903</v>
      </c>
      <c r="G589" s="10">
        <f>G583</f>
        <v>300</v>
      </c>
      <c r="H589" s="10">
        <f>H583</f>
        <v>1500</v>
      </c>
    </row>
    <row r="590" spans="1:8" ht="54" hidden="1" customHeight="1" x14ac:dyDescent="0.25">
      <c r="A590" s="273" t="s">
        <v>1224</v>
      </c>
      <c r="B590" s="274"/>
      <c r="C590" s="462"/>
      <c r="D590" s="462"/>
      <c r="E590" s="469"/>
      <c r="F590" s="2"/>
      <c r="G590" s="59">
        <f t="shared" ref="G590:H594" si="71">G591</f>
        <v>0</v>
      </c>
      <c r="H590" s="59">
        <f t="shared" si="71"/>
        <v>0</v>
      </c>
    </row>
    <row r="591" spans="1:8" ht="15.75" hidden="1" x14ac:dyDescent="0.25">
      <c r="A591" s="68" t="s">
        <v>298</v>
      </c>
      <c r="B591" s="274"/>
      <c r="C591" s="462" t="s">
        <v>299</v>
      </c>
      <c r="D591" s="462"/>
      <c r="E591" s="469"/>
      <c r="F591" s="2"/>
      <c r="G591" s="10">
        <f t="shared" si="71"/>
        <v>0</v>
      </c>
      <c r="H591" s="10">
        <f t="shared" si="71"/>
        <v>0</v>
      </c>
    </row>
    <row r="592" spans="1:8" ht="15.75" hidden="1" x14ac:dyDescent="0.25">
      <c r="A592" s="68" t="s">
        <v>300</v>
      </c>
      <c r="B592" s="274"/>
      <c r="C592" s="462" t="s">
        <v>299</v>
      </c>
      <c r="D592" s="462" t="s">
        <v>118</v>
      </c>
      <c r="E592" s="469"/>
      <c r="F592" s="2"/>
      <c r="G592" s="10">
        <f t="shared" si="71"/>
        <v>0</v>
      </c>
      <c r="H592" s="10">
        <f t="shared" si="71"/>
        <v>0</v>
      </c>
    </row>
    <row r="593" spans="1:8" ht="15.75" hidden="1" x14ac:dyDescent="0.25">
      <c r="A593" s="282"/>
      <c r="B593" s="274"/>
      <c r="C593" s="462" t="s">
        <v>299</v>
      </c>
      <c r="D593" s="462" t="s">
        <v>118</v>
      </c>
      <c r="E593" s="469"/>
      <c r="F593" s="2"/>
      <c r="G593" s="10">
        <f t="shared" si="71"/>
        <v>0</v>
      </c>
      <c r="H593" s="10">
        <f t="shared" si="71"/>
        <v>0</v>
      </c>
    </row>
    <row r="594" spans="1:8" ht="31.5" hidden="1" x14ac:dyDescent="0.25">
      <c r="A594" s="466" t="s">
        <v>131</v>
      </c>
      <c r="B594" s="274"/>
      <c r="C594" s="462" t="s">
        <v>299</v>
      </c>
      <c r="D594" s="462" t="s">
        <v>118</v>
      </c>
      <c r="E594" s="469" t="s">
        <v>132</v>
      </c>
      <c r="F594" s="2"/>
      <c r="G594" s="10">
        <f t="shared" si="71"/>
        <v>0</v>
      </c>
      <c r="H594" s="10">
        <f t="shared" si="71"/>
        <v>0</v>
      </c>
    </row>
    <row r="595" spans="1:8" ht="47.25" hidden="1" x14ac:dyDescent="0.25">
      <c r="A595" s="466" t="s">
        <v>133</v>
      </c>
      <c r="B595" s="274"/>
      <c r="C595" s="462" t="s">
        <v>299</v>
      </c>
      <c r="D595" s="462" t="s">
        <v>118</v>
      </c>
      <c r="E595" s="469" t="s">
        <v>134</v>
      </c>
      <c r="F595" s="2"/>
      <c r="G595" s="10">
        <f>'пр.6.1.ведом.22-23 (2)'!G400</f>
        <v>0</v>
      </c>
      <c r="H595" s="10">
        <f>'пр.6.1.ведом.22-23 (2)'!H400</f>
        <v>0</v>
      </c>
    </row>
    <row r="596" spans="1:8" ht="47.25" hidden="1" x14ac:dyDescent="0.25">
      <c r="A596" s="45" t="s">
        <v>1322</v>
      </c>
      <c r="B596" s="274"/>
      <c r="C596" s="462" t="s">
        <v>299</v>
      </c>
      <c r="D596" s="462" t="s">
        <v>118</v>
      </c>
      <c r="E596" s="469" t="s">
        <v>134</v>
      </c>
      <c r="F596" s="2">
        <v>903</v>
      </c>
      <c r="G596" s="10">
        <f>G595</f>
        <v>0</v>
      </c>
      <c r="H596" s="10">
        <f>H595</f>
        <v>0</v>
      </c>
    </row>
    <row r="597" spans="1:8" ht="63" x14ac:dyDescent="0.25">
      <c r="A597" s="470" t="s">
        <v>1368</v>
      </c>
      <c r="B597" s="7" t="s">
        <v>324</v>
      </c>
      <c r="C597" s="72"/>
      <c r="D597" s="72"/>
      <c r="E597" s="72"/>
      <c r="F597" s="72"/>
      <c r="G597" s="59">
        <f>G598</f>
        <v>168</v>
      </c>
      <c r="H597" s="59">
        <f>H598</f>
        <v>147</v>
      </c>
    </row>
    <row r="598" spans="1:8" ht="63" x14ac:dyDescent="0.25">
      <c r="A598" s="34" t="s">
        <v>1025</v>
      </c>
      <c r="B598" s="7" t="s">
        <v>934</v>
      </c>
      <c r="C598" s="7"/>
      <c r="D598" s="7"/>
      <c r="E598" s="72"/>
      <c r="F598" s="72"/>
      <c r="G598" s="59">
        <f>G605+G611+G627+G638+G599</f>
        <v>168</v>
      </c>
      <c r="H598" s="59">
        <f>H605+H611+H627+H638+H599</f>
        <v>147</v>
      </c>
    </row>
    <row r="599" spans="1:8" ht="15.75" x14ac:dyDescent="0.25">
      <c r="A599" s="31" t="s">
        <v>117</v>
      </c>
      <c r="B599" s="469" t="s">
        <v>934</v>
      </c>
      <c r="C599" s="469" t="s">
        <v>118</v>
      </c>
      <c r="D599" s="469"/>
      <c r="E599" s="72"/>
      <c r="F599" s="72"/>
      <c r="G599" s="10">
        <f t="shared" ref="G599:H602" si="72">G600</f>
        <v>12</v>
      </c>
      <c r="H599" s="10">
        <f t="shared" si="72"/>
        <v>40</v>
      </c>
    </row>
    <row r="600" spans="1:8" ht="15.75" x14ac:dyDescent="0.25">
      <c r="A600" s="31" t="s">
        <v>139</v>
      </c>
      <c r="B600" s="469" t="s">
        <v>934</v>
      </c>
      <c r="C600" s="469" t="s">
        <v>118</v>
      </c>
      <c r="D600" s="469" t="s">
        <v>140</v>
      </c>
      <c r="E600" s="72"/>
      <c r="F600" s="72"/>
      <c r="G600" s="10">
        <f t="shared" si="72"/>
        <v>12</v>
      </c>
      <c r="H600" s="10">
        <f t="shared" si="72"/>
        <v>40</v>
      </c>
    </row>
    <row r="601" spans="1:8" ht="47.25" x14ac:dyDescent="0.25">
      <c r="A601" s="31" t="s">
        <v>1083</v>
      </c>
      <c r="B601" s="462" t="s">
        <v>1026</v>
      </c>
      <c r="C601" s="469" t="s">
        <v>118</v>
      </c>
      <c r="D601" s="469" t="s">
        <v>140</v>
      </c>
      <c r="E601" s="72"/>
      <c r="F601" s="72"/>
      <c r="G601" s="10">
        <f t="shared" si="72"/>
        <v>12</v>
      </c>
      <c r="H601" s="10">
        <f t="shared" si="72"/>
        <v>40</v>
      </c>
    </row>
    <row r="602" spans="1:8" ht="31.5" x14ac:dyDescent="0.25">
      <c r="A602" s="466" t="s">
        <v>131</v>
      </c>
      <c r="B602" s="462" t="s">
        <v>1026</v>
      </c>
      <c r="C602" s="469" t="s">
        <v>118</v>
      </c>
      <c r="D602" s="469" t="s">
        <v>140</v>
      </c>
      <c r="E602" s="2">
        <v>200</v>
      </c>
      <c r="F602" s="72"/>
      <c r="G602" s="10">
        <f t="shared" si="72"/>
        <v>12</v>
      </c>
      <c r="H602" s="10">
        <f t="shared" si="72"/>
        <v>40</v>
      </c>
    </row>
    <row r="603" spans="1:8" ht="47.25" x14ac:dyDescent="0.25">
      <c r="A603" s="466" t="s">
        <v>133</v>
      </c>
      <c r="B603" s="462" t="s">
        <v>1026</v>
      </c>
      <c r="C603" s="469" t="s">
        <v>118</v>
      </c>
      <c r="D603" s="469" t="s">
        <v>140</v>
      </c>
      <c r="E603" s="2">
        <v>240</v>
      </c>
      <c r="F603" s="72"/>
      <c r="G603" s="10">
        <f>'пр.6.1.ведом.22-23 (2)'!G145</f>
        <v>12</v>
      </c>
      <c r="H603" s="10">
        <f>'пр.6.1.ведом.22-23 (2)'!H145</f>
        <v>40</v>
      </c>
    </row>
    <row r="604" spans="1:8" ht="47.25" x14ac:dyDescent="0.25">
      <c r="A604" s="45" t="s">
        <v>623</v>
      </c>
      <c r="B604" s="462" t="s">
        <v>1026</v>
      </c>
      <c r="C604" s="469" t="s">
        <v>118</v>
      </c>
      <c r="D604" s="469" t="s">
        <v>140</v>
      </c>
      <c r="E604" s="2">
        <v>240</v>
      </c>
      <c r="F604" s="2">
        <v>908</v>
      </c>
      <c r="G604" s="10">
        <f>G603</f>
        <v>12</v>
      </c>
      <c r="H604" s="10">
        <f>H603</f>
        <v>40</v>
      </c>
    </row>
    <row r="605" spans="1:8" ht="15.75" hidden="1" x14ac:dyDescent="0.25">
      <c r="A605" s="31" t="s">
        <v>390</v>
      </c>
      <c r="B605" s="469" t="s">
        <v>934</v>
      </c>
      <c r="C605" s="469" t="s">
        <v>234</v>
      </c>
      <c r="D605" s="469"/>
      <c r="E605" s="72"/>
      <c r="F605" s="72"/>
      <c r="G605" s="10">
        <f t="shared" ref="G605:H608" si="73">G606</f>
        <v>0</v>
      </c>
      <c r="H605" s="10">
        <f t="shared" si="73"/>
        <v>0</v>
      </c>
    </row>
    <row r="606" spans="1:8" ht="31.5" hidden="1" x14ac:dyDescent="0.25">
      <c r="A606" s="31" t="s">
        <v>569</v>
      </c>
      <c r="B606" s="469" t="s">
        <v>934</v>
      </c>
      <c r="C606" s="469" t="s">
        <v>234</v>
      </c>
      <c r="D606" s="469" t="s">
        <v>234</v>
      </c>
      <c r="E606" s="72"/>
      <c r="F606" s="72"/>
      <c r="G606" s="10">
        <f t="shared" si="73"/>
        <v>0</v>
      </c>
      <c r="H606" s="10">
        <f t="shared" si="73"/>
        <v>0</v>
      </c>
    </row>
    <row r="607" spans="1:8" ht="47.25" hidden="1" x14ac:dyDescent="0.25">
      <c r="A607" s="31" t="s">
        <v>1083</v>
      </c>
      <c r="B607" s="462" t="s">
        <v>1026</v>
      </c>
      <c r="C607" s="469" t="s">
        <v>234</v>
      </c>
      <c r="D607" s="469" t="s">
        <v>234</v>
      </c>
      <c r="E607" s="72"/>
      <c r="F607" s="72"/>
      <c r="G607" s="10">
        <f t="shared" si="73"/>
        <v>0</v>
      </c>
      <c r="H607" s="10">
        <f t="shared" si="73"/>
        <v>0</v>
      </c>
    </row>
    <row r="608" spans="1:8" ht="31.5" hidden="1" x14ac:dyDescent="0.25">
      <c r="A608" s="466" t="s">
        <v>131</v>
      </c>
      <c r="B608" s="462" t="s">
        <v>1026</v>
      </c>
      <c r="C608" s="469" t="s">
        <v>234</v>
      </c>
      <c r="D608" s="469" t="s">
        <v>234</v>
      </c>
      <c r="E608" s="2">
        <v>200</v>
      </c>
      <c r="F608" s="72"/>
      <c r="G608" s="10">
        <f t="shared" si="73"/>
        <v>0</v>
      </c>
      <c r="H608" s="10">
        <f t="shared" si="73"/>
        <v>0</v>
      </c>
    </row>
    <row r="609" spans="1:8" ht="47.25" hidden="1" x14ac:dyDescent="0.25">
      <c r="A609" s="466" t="s">
        <v>133</v>
      </c>
      <c r="B609" s="462" t="s">
        <v>1026</v>
      </c>
      <c r="C609" s="469" t="s">
        <v>234</v>
      </c>
      <c r="D609" s="469" t="s">
        <v>234</v>
      </c>
      <c r="E609" s="2">
        <v>240</v>
      </c>
      <c r="F609" s="72"/>
      <c r="G609" s="10">
        <f>'пр.6.1.ведом.22-23 (2)'!G1037</f>
        <v>0</v>
      </c>
      <c r="H609" s="10">
        <f>'пр.6.1.ведом.22-23 (2)'!H1037</f>
        <v>0</v>
      </c>
    </row>
    <row r="610" spans="1:8" ht="47.25" hidden="1" x14ac:dyDescent="0.25">
      <c r="A610" s="45" t="s">
        <v>623</v>
      </c>
      <c r="B610" s="462" t="s">
        <v>1026</v>
      </c>
      <c r="C610" s="469" t="s">
        <v>234</v>
      </c>
      <c r="D610" s="469" t="s">
        <v>234</v>
      </c>
      <c r="E610" s="2">
        <v>240</v>
      </c>
      <c r="F610" s="2">
        <v>908</v>
      </c>
      <c r="G610" s="10">
        <f>G609</f>
        <v>0</v>
      </c>
      <c r="H610" s="10">
        <f>H609</f>
        <v>0</v>
      </c>
    </row>
    <row r="611" spans="1:8" ht="15.75" x14ac:dyDescent="0.25">
      <c r="A611" s="466" t="s">
        <v>263</v>
      </c>
      <c r="B611" s="469" t="s">
        <v>934</v>
      </c>
      <c r="C611" s="469" t="s">
        <v>264</v>
      </c>
      <c r="D611" s="73"/>
      <c r="E611" s="73"/>
      <c r="F611" s="73"/>
      <c r="G611" s="10">
        <f>G612+G617+G622</f>
        <v>146</v>
      </c>
      <c r="H611" s="10">
        <f>H612+H617+H622</f>
        <v>95</v>
      </c>
    </row>
    <row r="612" spans="1:8" ht="15.75" x14ac:dyDescent="0.25">
      <c r="A612" s="466" t="s">
        <v>404</v>
      </c>
      <c r="B612" s="469" t="s">
        <v>934</v>
      </c>
      <c r="C612" s="469" t="s">
        <v>264</v>
      </c>
      <c r="D612" s="469" t="s">
        <v>118</v>
      </c>
      <c r="E612" s="73"/>
      <c r="F612" s="73"/>
      <c r="G612" s="10">
        <f t="shared" ref="G612:H614" si="74">G613</f>
        <v>80</v>
      </c>
      <c r="H612" s="10">
        <f t="shared" si="74"/>
        <v>25</v>
      </c>
    </row>
    <row r="613" spans="1:8" ht="47.25" x14ac:dyDescent="0.25">
      <c r="A613" s="31" t="s">
        <v>1084</v>
      </c>
      <c r="B613" s="462" t="s">
        <v>935</v>
      </c>
      <c r="C613" s="469" t="s">
        <v>264</v>
      </c>
      <c r="D613" s="469" t="s">
        <v>118</v>
      </c>
      <c r="E613" s="72"/>
      <c r="F613" s="72"/>
      <c r="G613" s="10">
        <f t="shared" si="74"/>
        <v>80</v>
      </c>
      <c r="H613" s="10">
        <f t="shared" si="74"/>
        <v>25</v>
      </c>
    </row>
    <row r="614" spans="1:8" ht="47.25" x14ac:dyDescent="0.25">
      <c r="A614" s="31" t="s">
        <v>272</v>
      </c>
      <c r="B614" s="462" t="s">
        <v>935</v>
      </c>
      <c r="C614" s="469" t="s">
        <v>264</v>
      </c>
      <c r="D614" s="469" t="s">
        <v>118</v>
      </c>
      <c r="E614" s="469" t="s">
        <v>273</v>
      </c>
      <c r="F614" s="72"/>
      <c r="G614" s="10">
        <f t="shared" si="74"/>
        <v>80</v>
      </c>
      <c r="H614" s="10">
        <f t="shared" si="74"/>
        <v>25</v>
      </c>
    </row>
    <row r="615" spans="1:8" ht="15.75" x14ac:dyDescent="0.25">
      <c r="A615" s="31" t="s">
        <v>274</v>
      </c>
      <c r="B615" s="462" t="s">
        <v>935</v>
      </c>
      <c r="C615" s="469" t="s">
        <v>264</v>
      </c>
      <c r="D615" s="469" t="s">
        <v>118</v>
      </c>
      <c r="E615" s="469" t="s">
        <v>275</v>
      </c>
      <c r="F615" s="72"/>
      <c r="G615" s="10">
        <f>'пр.6.1.ведом.22-23 (2)'!G603</f>
        <v>80</v>
      </c>
      <c r="H615" s="10">
        <f>'пр.6.1.ведом.22-23 (2)'!H603</f>
        <v>25</v>
      </c>
    </row>
    <row r="616" spans="1:8" ht="31.5" x14ac:dyDescent="0.25">
      <c r="A616" s="31" t="s">
        <v>403</v>
      </c>
      <c r="B616" s="462" t="s">
        <v>935</v>
      </c>
      <c r="C616" s="469" t="s">
        <v>264</v>
      </c>
      <c r="D616" s="469" t="s">
        <v>118</v>
      </c>
      <c r="E616" s="469" t="s">
        <v>275</v>
      </c>
      <c r="F616" s="2">
        <v>906</v>
      </c>
      <c r="G616" s="10">
        <f>G615</f>
        <v>80</v>
      </c>
      <c r="H616" s="10">
        <f>H615</f>
        <v>25</v>
      </c>
    </row>
    <row r="617" spans="1:8" ht="15.75" x14ac:dyDescent="0.25">
      <c r="A617" s="29" t="s">
        <v>425</v>
      </c>
      <c r="B617" s="469" t="s">
        <v>934</v>
      </c>
      <c r="C617" s="469" t="s">
        <v>264</v>
      </c>
      <c r="D617" s="469" t="s">
        <v>213</v>
      </c>
      <c r="E617" s="469"/>
      <c r="F617" s="73"/>
      <c r="G617" s="10">
        <f t="shared" ref="G617:H619" si="75">G618</f>
        <v>60</v>
      </c>
      <c r="H617" s="10">
        <f t="shared" si="75"/>
        <v>70</v>
      </c>
    </row>
    <row r="618" spans="1:8" ht="47.25" x14ac:dyDescent="0.25">
      <c r="A618" s="31" t="s">
        <v>1084</v>
      </c>
      <c r="B618" s="462" t="s">
        <v>935</v>
      </c>
      <c r="C618" s="469" t="s">
        <v>264</v>
      </c>
      <c r="D618" s="469" t="s">
        <v>213</v>
      </c>
      <c r="E618" s="469"/>
      <c r="F618" s="72"/>
      <c r="G618" s="10">
        <f t="shared" si="75"/>
        <v>60</v>
      </c>
      <c r="H618" s="10">
        <f t="shared" si="75"/>
        <v>70</v>
      </c>
    </row>
    <row r="619" spans="1:8" ht="47.25" x14ac:dyDescent="0.25">
      <c r="A619" s="31" t="s">
        <v>272</v>
      </c>
      <c r="B619" s="462" t="s">
        <v>935</v>
      </c>
      <c r="C619" s="469" t="s">
        <v>264</v>
      </c>
      <c r="D619" s="469" t="s">
        <v>213</v>
      </c>
      <c r="E619" s="469" t="s">
        <v>273</v>
      </c>
      <c r="F619" s="72"/>
      <c r="G619" s="10">
        <f t="shared" si="75"/>
        <v>60</v>
      </c>
      <c r="H619" s="10">
        <f t="shared" si="75"/>
        <v>70</v>
      </c>
    </row>
    <row r="620" spans="1:8" ht="15.75" x14ac:dyDescent="0.25">
      <c r="A620" s="31" t="s">
        <v>274</v>
      </c>
      <c r="B620" s="462" t="s">
        <v>935</v>
      </c>
      <c r="C620" s="469" t="s">
        <v>264</v>
      </c>
      <c r="D620" s="469" t="s">
        <v>213</v>
      </c>
      <c r="E620" s="469" t="s">
        <v>275</v>
      </c>
      <c r="F620" s="72"/>
      <c r="G620" s="10">
        <f>'пр.6.1.ведом.22-23 (2)'!G685</f>
        <v>60</v>
      </c>
      <c r="H620" s="10">
        <f>'пр.6.1.ведом.22-23 (2)'!H685</f>
        <v>70</v>
      </c>
    </row>
    <row r="621" spans="1:8" ht="31.5" x14ac:dyDescent="0.25">
      <c r="A621" s="31" t="s">
        <v>403</v>
      </c>
      <c r="B621" s="462" t="s">
        <v>935</v>
      </c>
      <c r="C621" s="469" t="s">
        <v>264</v>
      </c>
      <c r="D621" s="469" t="s">
        <v>213</v>
      </c>
      <c r="E621" s="469" t="s">
        <v>275</v>
      </c>
      <c r="F621" s="2">
        <v>906</v>
      </c>
      <c r="G621" s="10">
        <f>G620</f>
        <v>60</v>
      </c>
      <c r="H621" s="10">
        <f>H620</f>
        <v>70</v>
      </c>
    </row>
    <row r="622" spans="1:8" ht="15.75" x14ac:dyDescent="0.25">
      <c r="A622" s="29" t="s">
        <v>265</v>
      </c>
      <c r="B622" s="469" t="s">
        <v>934</v>
      </c>
      <c r="C622" s="469" t="s">
        <v>264</v>
      </c>
      <c r="D622" s="469" t="s">
        <v>215</v>
      </c>
      <c r="E622" s="469"/>
      <c r="F622" s="73"/>
      <c r="G622" s="10">
        <f t="shared" ref="G622:H624" si="76">G623</f>
        <v>6</v>
      </c>
      <c r="H622" s="10">
        <f t="shared" si="76"/>
        <v>0</v>
      </c>
    </row>
    <row r="623" spans="1:8" ht="47.25" x14ac:dyDescent="0.25">
      <c r="A623" s="31" t="s">
        <v>1083</v>
      </c>
      <c r="B623" s="462" t="s">
        <v>1026</v>
      </c>
      <c r="C623" s="469" t="s">
        <v>264</v>
      </c>
      <c r="D623" s="469" t="s">
        <v>215</v>
      </c>
      <c r="E623" s="469"/>
      <c r="F623" s="72"/>
      <c r="G623" s="10">
        <f t="shared" si="76"/>
        <v>6</v>
      </c>
      <c r="H623" s="10">
        <f t="shared" si="76"/>
        <v>0</v>
      </c>
    </row>
    <row r="624" spans="1:8" ht="47.25" x14ac:dyDescent="0.25">
      <c r="A624" s="31" t="s">
        <v>272</v>
      </c>
      <c r="B624" s="462" t="s">
        <v>1026</v>
      </c>
      <c r="C624" s="469" t="s">
        <v>264</v>
      </c>
      <c r="D624" s="469" t="s">
        <v>215</v>
      </c>
      <c r="E624" s="469" t="s">
        <v>132</v>
      </c>
      <c r="F624" s="72"/>
      <c r="G624" s="10">
        <f t="shared" si="76"/>
        <v>6</v>
      </c>
      <c r="H624" s="10">
        <f t="shared" si="76"/>
        <v>0</v>
      </c>
    </row>
    <row r="625" spans="1:8" ht="15.75" x14ac:dyDescent="0.25">
      <c r="A625" s="31" t="s">
        <v>274</v>
      </c>
      <c r="B625" s="462" t="s">
        <v>1026</v>
      </c>
      <c r="C625" s="469" t="s">
        <v>264</v>
      </c>
      <c r="D625" s="469" t="s">
        <v>215</v>
      </c>
      <c r="E625" s="469" t="s">
        <v>134</v>
      </c>
      <c r="F625" s="72"/>
      <c r="G625" s="10">
        <f>'пр.6.1.ведом.22-23 (2)'!G331</f>
        <v>6</v>
      </c>
      <c r="H625" s="10">
        <f>'пр.6.1.ведом.22-23 (2)'!H331</f>
        <v>0</v>
      </c>
    </row>
    <row r="626" spans="1:8" ht="47.25" x14ac:dyDescent="0.25">
      <c r="A626" s="45" t="s">
        <v>261</v>
      </c>
      <c r="B626" s="462" t="s">
        <v>1026</v>
      </c>
      <c r="C626" s="469" t="s">
        <v>264</v>
      </c>
      <c r="D626" s="469" t="s">
        <v>215</v>
      </c>
      <c r="E626" s="469" t="s">
        <v>134</v>
      </c>
      <c r="F626" s="2">
        <v>903</v>
      </c>
      <c r="G626" s="10">
        <f>G625</f>
        <v>6</v>
      </c>
      <c r="H626" s="10">
        <f>H623</f>
        <v>0</v>
      </c>
    </row>
    <row r="627" spans="1:8" ht="15.75" x14ac:dyDescent="0.25">
      <c r="A627" s="31" t="s">
        <v>298</v>
      </c>
      <c r="B627" s="462" t="s">
        <v>934</v>
      </c>
      <c r="C627" s="469" t="s">
        <v>299</v>
      </c>
      <c r="D627" s="469"/>
      <c r="E627" s="469"/>
      <c r="F627" s="2"/>
      <c r="G627" s="10">
        <f>G628+G633</f>
        <v>10</v>
      </c>
      <c r="H627" s="10">
        <f>H628+H633</f>
        <v>4</v>
      </c>
    </row>
    <row r="628" spans="1:8" ht="15.75" x14ac:dyDescent="0.25">
      <c r="A628" s="31" t="s">
        <v>300</v>
      </c>
      <c r="B628" s="462" t="s">
        <v>934</v>
      </c>
      <c r="C628" s="469" t="s">
        <v>299</v>
      </c>
      <c r="D628" s="469" t="s">
        <v>118</v>
      </c>
      <c r="E628" s="469"/>
      <c r="F628" s="2"/>
      <c r="G628" s="10">
        <f t="shared" ref="G628:H630" si="77">G629</f>
        <v>10</v>
      </c>
      <c r="H628" s="10">
        <f t="shared" si="77"/>
        <v>0</v>
      </c>
    </row>
    <row r="629" spans="1:8" ht="48.95" customHeight="1" x14ac:dyDescent="0.25">
      <c r="A629" s="31" t="s">
        <v>1083</v>
      </c>
      <c r="B629" s="462" t="s">
        <v>1026</v>
      </c>
      <c r="C629" s="469" t="s">
        <v>299</v>
      </c>
      <c r="D629" s="469" t="s">
        <v>118</v>
      </c>
      <c r="E629" s="469"/>
      <c r="F629" s="2"/>
      <c r="G629" s="10">
        <f t="shared" si="77"/>
        <v>10</v>
      </c>
      <c r="H629" s="10">
        <f t="shared" si="77"/>
        <v>0</v>
      </c>
    </row>
    <row r="630" spans="1:8" ht="31.5" x14ac:dyDescent="0.25">
      <c r="A630" s="466" t="s">
        <v>131</v>
      </c>
      <c r="B630" s="462" t="s">
        <v>1026</v>
      </c>
      <c r="C630" s="469" t="s">
        <v>299</v>
      </c>
      <c r="D630" s="469" t="s">
        <v>118</v>
      </c>
      <c r="E630" s="469" t="s">
        <v>132</v>
      </c>
      <c r="F630" s="2"/>
      <c r="G630" s="10">
        <f t="shared" si="77"/>
        <v>10</v>
      </c>
      <c r="H630" s="10">
        <f t="shared" si="77"/>
        <v>0</v>
      </c>
    </row>
    <row r="631" spans="1:8" ht="47.25" x14ac:dyDescent="0.25">
      <c r="A631" s="466" t="s">
        <v>133</v>
      </c>
      <c r="B631" s="462" t="s">
        <v>1026</v>
      </c>
      <c r="C631" s="469" t="s">
        <v>299</v>
      </c>
      <c r="D631" s="469" t="s">
        <v>118</v>
      </c>
      <c r="E631" s="469" t="s">
        <v>134</v>
      </c>
      <c r="F631" s="2"/>
      <c r="G631" s="10">
        <f>'пр.6.1.ведом.22-23 (2)'!G405</f>
        <v>10</v>
      </c>
      <c r="H631" s="10">
        <f>'пр.6.1.ведом.22-23 (2)'!H405</f>
        <v>0</v>
      </c>
    </row>
    <row r="632" spans="1:8" ht="47.25" x14ac:dyDescent="0.25">
      <c r="A632" s="45" t="s">
        <v>261</v>
      </c>
      <c r="B632" s="462" t="s">
        <v>1026</v>
      </c>
      <c r="C632" s="469" t="s">
        <v>299</v>
      </c>
      <c r="D632" s="469" t="s">
        <v>118</v>
      </c>
      <c r="E632" s="469" t="s">
        <v>134</v>
      </c>
      <c r="F632" s="2">
        <v>903</v>
      </c>
      <c r="G632" s="10">
        <f>G631</f>
        <v>10</v>
      </c>
      <c r="H632" s="10">
        <f>H631</f>
        <v>0</v>
      </c>
    </row>
    <row r="633" spans="1:8" ht="31.5" x14ac:dyDescent="0.25">
      <c r="A633" s="31" t="s">
        <v>333</v>
      </c>
      <c r="B633" s="462" t="s">
        <v>934</v>
      </c>
      <c r="C633" s="469" t="s">
        <v>299</v>
      </c>
      <c r="D633" s="469" t="s">
        <v>150</v>
      </c>
      <c r="E633" s="469"/>
      <c r="F633" s="2"/>
      <c r="G633" s="10">
        <f t="shared" ref="G633:H635" si="78">G634</f>
        <v>0</v>
      </c>
      <c r="H633" s="10">
        <f t="shared" si="78"/>
        <v>4</v>
      </c>
    </row>
    <row r="634" spans="1:8" ht="52.35" customHeight="1" x14ac:dyDescent="0.25">
      <c r="A634" s="31" t="s">
        <v>1083</v>
      </c>
      <c r="B634" s="462" t="s">
        <v>1026</v>
      </c>
      <c r="C634" s="469" t="s">
        <v>299</v>
      </c>
      <c r="D634" s="469" t="s">
        <v>150</v>
      </c>
      <c r="E634" s="469"/>
      <c r="F634" s="2"/>
      <c r="G634" s="10">
        <f t="shared" si="78"/>
        <v>0</v>
      </c>
      <c r="H634" s="10">
        <f t="shared" si="78"/>
        <v>4</v>
      </c>
    </row>
    <row r="635" spans="1:8" ht="31.5" x14ac:dyDescent="0.25">
      <c r="A635" s="466" t="s">
        <v>131</v>
      </c>
      <c r="B635" s="462" t="s">
        <v>1026</v>
      </c>
      <c r="C635" s="469" t="s">
        <v>299</v>
      </c>
      <c r="D635" s="469" t="s">
        <v>150</v>
      </c>
      <c r="E635" s="469" t="s">
        <v>132</v>
      </c>
      <c r="F635" s="2"/>
      <c r="G635" s="10">
        <f t="shared" si="78"/>
        <v>0</v>
      </c>
      <c r="H635" s="10">
        <f t="shared" si="78"/>
        <v>4</v>
      </c>
    </row>
    <row r="636" spans="1:8" ht="47.25" x14ac:dyDescent="0.25">
      <c r="A636" s="466" t="s">
        <v>133</v>
      </c>
      <c r="B636" s="462" t="s">
        <v>1026</v>
      </c>
      <c r="C636" s="469" t="s">
        <v>299</v>
      </c>
      <c r="D636" s="469" t="s">
        <v>150</v>
      </c>
      <c r="E636" s="469" t="s">
        <v>134</v>
      </c>
      <c r="F636" s="2"/>
      <c r="G636" s="10">
        <f>'пр.6.1.ведом.22-23 (2)'!G444</f>
        <v>0</v>
      </c>
      <c r="H636" s="10">
        <f>'пр.6.1.ведом.22-23 (2)'!H444</f>
        <v>4</v>
      </c>
    </row>
    <row r="637" spans="1:8" ht="47.25" x14ac:dyDescent="0.25">
      <c r="A637" s="45" t="s">
        <v>261</v>
      </c>
      <c r="B637" s="462" t="s">
        <v>1026</v>
      </c>
      <c r="C637" s="469" t="s">
        <v>299</v>
      </c>
      <c r="D637" s="469" t="s">
        <v>150</v>
      </c>
      <c r="E637" s="469" t="s">
        <v>134</v>
      </c>
      <c r="F637" s="2">
        <v>903</v>
      </c>
      <c r="G637" s="10">
        <f>G634</f>
        <v>0</v>
      </c>
      <c r="H637" s="10">
        <f>H634</f>
        <v>4</v>
      </c>
    </row>
    <row r="638" spans="1:8" ht="15.75" x14ac:dyDescent="0.25">
      <c r="A638" s="73" t="s">
        <v>490</v>
      </c>
      <c r="B638" s="469" t="s">
        <v>934</v>
      </c>
      <c r="C638" s="469" t="s">
        <v>491</v>
      </c>
      <c r="D638" s="73"/>
      <c r="E638" s="73"/>
      <c r="F638" s="73"/>
      <c r="G638" s="10">
        <f t="shared" ref="G638:H639" si="79">G639</f>
        <v>0</v>
      </c>
      <c r="H638" s="10">
        <f t="shared" si="79"/>
        <v>8</v>
      </c>
    </row>
    <row r="639" spans="1:8" ht="15.75" x14ac:dyDescent="0.25">
      <c r="A639" s="73" t="s">
        <v>492</v>
      </c>
      <c r="B639" s="469" t="s">
        <v>934</v>
      </c>
      <c r="C639" s="469" t="s">
        <v>491</v>
      </c>
      <c r="D639" s="469" t="s">
        <v>118</v>
      </c>
      <c r="E639" s="73"/>
      <c r="F639" s="73"/>
      <c r="G639" s="10">
        <f t="shared" si="79"/>
        <v>0</v>
      </c>
      <c r="H639" s="10">
        <f t="shared" si="79"/>
        <v>8</v>
      </c>
    </row>
    <row r="640" spans="1:8" ht="47.25" x14ac:dyDescent="0.25">
      <c r="A640" s="31" t="s">
        <v>1084</v>
      </c>
      <c r="B640" s="469" t="s">
        <v>935</v>
      </c>
      <c r="C640" s="469" t="s">
        <v>491</v>
      </c>
      <c r="D640" s="469" t="s">
        <v>118</v>
      </c>
      <c r="E640" s="73"/>
      <c r="F640" s="73"/>
      <c r="G640" s="10">
        <f>G641</f>
        <v>0</v>
      </c>
      <c r="H640" s="10">
        <f>H641</f>
        <v>8</v>
      </c>
    </row>
    <row r="641" spans="1:8" ht="47.25" x14ac:dyDescent="0.25">
      <c r="A641" s="466" t="s">
        <v>272</v>
      </c>
      <c r="B641" s="469" t="s">
        <v>935</v>
      </c>
      <c r="C641" s="469" t="s">
        <v>491</v>
      </c>
      <c r="D641" s="469" t="s">
        <v>118</v>
      </c>
      <c r="E641" s="469" t="s">
        <v>273</v>
      </c>
      <c r="F641" s="73"/>
      <c r="G641" s="10">
        <f>G642</f>
        <v>0</v>
      </c>
      <c r="H641" s="10">
        <f>H642</f>
        <v>8</v>
      </c>
    </row>
    <row r="642" spans="1:8" ht="15.75" x14ac:dyDescent="0.25">
      <c r="A642" s="466" t="s">
        <v>274</v>
      </c>
      <c r="B642" s="469" t="s">
        <v>935</v>
      </c>
      <c r="C642" s="469" t="s">
        <v>491</v>
      </c>
      <c r="D642" s="469" t="s">
        <v>118</v>
      </c>
      <c r="E642" s="469" t="s">
        <v>275</v>
      </c>
      <c r="F642" s="73"/>
      <c r="G642" s="10">
        <f>'пр.6.1.ведом.22-23 (2)'!G797</f>
        <v>0</v>
      </c>
      <c r="H642" s="10">
        <f>'пр.6.1.ведом.22-23 (2)'!H797</f>
        <v>8</v>
      </c>
    </row>
    <row r="643" spans="1:8" ht="47.25" x14ac:dyDescent="0.25">
      <c r="A643" s="45" t="s">
        <v>480</v>
      </c>
      <c r="B643" s="469" t="s">
        <v>935</v>
      </c>
      <c r="C643" s="469" t="s">
        <v>491</v>
      </c>
      <c r="D643" s="469" t="s">
        <v>118</v>
      </c>
      <c r="E643" s="469" t="s">
        <v>275</v>
      </c>
      <c r="F643" s="2">
        <v>907</v>
      </c>
      <c r="G643" s="10">
        <f>G642</f>
        <v>0</v>
      </c>
      <c r="H643" s="10">
        <f>H642</f>
        <v>8</v>
      </c>
    </row>
    <row r="644" spans="1:8" ht="47.25" x14ac:dyDescent="0.25">
      <c r="A644" s="470" t="s">
        <v>1373</v>
      </c>
      <c r="B644" s="7" t="s">
        <v>543</v>
      </c>
      <c r="C644" s="2"/>
      <c r="D644" s="2"/>
      <c r="E644" s="2"/>
      <c r="F644" s="2"/>
      <c r="G644" s="59">
        <f>G645+G685</f>
        <v>1920</v>
      </c>
      <c r="H644" s="59">
        <f>H645+H685</f>
        <v>2173</v>
      </c>
    </row>
    <row r="645" spans="1:8" ht="49.7" customHeight="1" x14ac:dyDescent="0.25">
      <c r="A645" s="464" t="s">
        <v>1446</v>
      </c>
      <c r="B645" s="7" t="s">
        <v>1279</v>
      </c>
      <c r="C645" s="7"/>
      <c r="D645" s="7"/>
      <c r="E645" s="3"/>
      <c r="F645" s="3"/>
      <c r="G645" s="59">
        <f>G646</f>
        <v>1920</v>
      </c>
      <c r="H645" s="59">
        <f>H646</f>
        <v>2173</v>
      </c>
    </row>
    <row r="646" spans="1:8" ht="15.75" x14ac:dyDescent="0.25">
      <c r="A646" s="73" t="s">
        <v>390</v>
      </c>
      <c r="B646" s="469" t="s">
        <v>1279</v>
      </c>
      <c r="C646" s="469" t="s">
        <v>234</v>
      </c>
      <c r="D646" s="469"/>
      <c r="E646" s="2"/>
      <c r="F646" s="2"/>
      <c r="G646" s="10">
        <f t="shared" ref="G646:H646" si="80">G647</f>
        <v>1920</v>
      </c>
      <c r="H646" s="10">
        <f t="shared" si="80"/>
        <v>2173</v>
      </c>
    </row>
    <row r="647" spans="1:8" ht="15.75" x14ac:dyDescent="0.25">
      <c r="A647" s="73" t="s">
        <v>541</v>
      </c>
      <c r="B647" s="469" t="s">
        <v>1279</v>
      </c>
      <c r="C647" s="469" t="s">
        <v>234</v>
      </c>
      <c r="D647" s="469" t="s">
        <v>215</v>
      </c>
      <c r="E647" s="2"/>
      <c r="F647" s="2"/>
      <c r="G647" s="10">
        <f>G648+G652+G662+G666+G670+G677+G681</f>
        <v>1920</v>
      </c>
      <c r="H647" s="10">
        <f>H648+H652+H662+H666+H670+H677+H681</f>
        <v>2173</v>
      </c>
    </row>
    <row r="648" spans="1:8" ht="31.5" x14ac:dyDescent="0.25">
      <c r="A648" s="466" t="s">
        <v>546</v>
      </c>
      <c r="B648" s="462" t="s">
        <v>1442</v>
      </c>
      <c r="C648" s="469" t="s">
        <v>234</v>
      </c>
      <c r="D648" s="469" t="s">
        <v>215</v>
      </c>
      <c r="E648" s="2"/>
      <c r="F648" s="2"/>
      <c r="G648" s="10">
        <f t="shared" ref="G648:H649" si="81">G649</f>
        <v>365</v>
      </c>
      <c r="H648" s="10">
        <f t="shared" si="81"/>
        <v>365</v>
      </c>
    </row>
    <row r="649" spans="1:8" ht="31.5" x14ac:dyDescent="0.25">
      <c r="A649" s="466" t="s">
        <v>131</v>
      </c>
      <c r="B649" s="462" t="s">
        <v>1442</v>
      </c>
      <c r="C649" s="469" t="s">
        <v>234</v>
      </c>
      <c r="D649" s="469" t="s">
        <v>215</v>
      </c>
      <c r="E649" s="2">
        <v>200</v>
      </c>
      <c r="F649" s="2"/>
      <c r="G649" s="10">
        <f t="shared" si="81"/>
        <v>365</v>
      </c>
      <c r="H649" s="10">
        <f t="shared" si="81"/>
        <v>365</v>
      </c>
    </row>
    <row r="650" spans="1:8" ht="47.25" x14ac:dyDescent="0.25">
      <c r="A650" s="466" t="s">
        <v>133</v>
      </c>
      <c r="B650" s="462" t="s">
        <v>1442</v>
      </c>
      <c r="C650" s="469" t="s">
        <v>234</v>
      </c>
      <c r="D650" s="469" t="s">
        <v>215</v>
      </c>
      <c r="E650" s="2">
        <v>240</v>
      </c>
      <c r="F650" s="2"/>
      <c r="G650" s="10">
        <f>'пр.6.1.ведом.22-23 (2)'!G967</f>
        <v>365</v>
      </c>
      <c r="H650" s="10">
        <f>'пр.6.1.ведом.22-23 (2)'!H967</f>
        <v>365</v>
      </c>
    </row>
    <row r="651" spans="1:8" ht="47.25" x14ac:dyDescent="0.25">
      <c r="A651" s="45" t="s">
        <v>623</v>
      </c>
      <c r="B651" s="462" t="s">
        <v>1442</v>
      </c>
      <c r="C651" s="469" t="s">
        <v>234</v>
      </c>
      <c r="D651" s="469" t="s">
        <v>215</v>
      </c>
      <c r="E651" s="2">
        <v>240</v>
      </c>
      <c r="F651" s="2">
        <v>908</v>
      </c>
      <c r="G651" s="10">
        <f>G650</f>
        <v>365</v>
      </c>
      <c r="H651" s="10">
        <f>H650</f>
        <v>365</v>
      </c>
    </row>
    <row r="652" spans="1:8" ht="15.75" x14ac:dyDescent="0.25">
      <c r="A652" s="466" t="s">
        <v>548</v>
      </c>
      <c r="B652" s="462" t="s">
        <v>1430</v>
      </c>
      <c r="C652" s="469" t="s">
        <v>234</v>
      </c>
      <c r="D652" s="469" t="s">
        <v>215</v>
      </c>
      <c r="E652" s="2"/>
      <c r="F652" s="2"/>
      <c r="G652" s="10">
        <f>G653+G656+G659</f>
        <v>1080</v>
      </c>
      <c r="H652" s="10">
        <f>H653+H656+H659</f>
        <v>1188</v>
      </c>
    </row>
    <row r="653" spans="1:8" ht="31.5" x14ac:dyDescent="0.25">
      <c r="A653" s="466" t="s">
        <v>131</v>
      </c>
      <c r="B653" s="462" t="s">
        <v>1430</v>
      </c>
      <c r="C653" s="469" t="s">
        <v>234</v>
      </c>
      <c r="D653" s="469" t="s">
        <v>215</v>
      </c>
      <c r="E653" s="2">
        <v>200</v>
      </c>
      <c r="F653" s="2"/>
      <c r="G653" s="10">
        <f t="shared" ref="G653:H653" si="82">G654</f>
        <v>1080</v>
      </c>
      <c r="H653" s="10">
        <f t="shared" si="82"/>
        <v>1188</v>
      </c>
    </row>
    <row r="654" spans="1:8" ht="47.25" x14ac:dyDescent="0.25">
      <c r="A654" s="466" t="s">
        <v>133</v>
      </c>
      <c r="B654" s="462" t="s">
        <v>1430</v>
      </c>
      <c r="C654" s="469" t="s">
        <v>234</v>
      </c>
      <c r="D654" s="469" t="s">
        <v>215</v>
      </c>
      <c r="E654" s="2">
        <v>240</v>
      </c>
      <c r="F654" s="2"/>
      <c r="G654" s="10">
        <f>'пр.6.1.ведом.22-23 (2)'!G970</f>
        <v>1080</v>
      </c>
      <c r="H654" s="10">
        <f>'пр.6.1.ведом.22-23 (2)'!H970</f>
        <v>1188</v>
      </c>
    </row>
    <row r="655" spans="1:8" ht="47.25" x14ac:dyDescent="0.25">
      <c r="A655" s="45" t="s">
        <v>623</v>
      </c>
      <c r="B655" s="462" t="s">
        <v>1430</v>
      </c>
      <c r="C655" s="469" t="s">
        <v>234</v>
      </c>
      <c r="D655" s="469" t="s">
        <v>215</v>
      </c>
      <c r="E655" s="2">
        <v>240</v>
      </c>
      <c r="F655" s="2">
        <v>908</v>
      </c>
      <c r="G655" s="10">
        <f>G654</f>
        <v>1080</v>
      </c>
      <c r="H655" s="10">
        <f>H654</f>
        <v>1188</v>
      </c>
    </row>
    <row r="656" spans="1:8" ht="15.75" hidden="1" x14ac:dyDescent="0.25">
      <c r="A656" s="466" t="s">
        <v>135</v>
      </c>
      <c r="B656" s="462" t="s">
        <v>1430</v>
      </c>
      <c r="C656" s="469" t="s">
        <v>234</v>
      </c>
      <c r="D656" s="469" t="s">
        <v>215</v>
      </c>
      <c r="E656" s="2">
        <v>800</v>
      </c>
      <c r="F656" s="2"/>
      <c r="G656" s="10">
        <f>G657</f>
        <v>0</v>
      </c>
      <c r="H656" s="10">
        <f>H657</f>
        <v>0</v>
      </c>
    </row>
    <row r="657" spans="1:8" ht="47.25" hidden="1" x14ac:dyDescent="0.25">
      <c r="A657" s="466" t="s">
        <v>836</v>
      </c>
      <c r="B657" s="462" t="s">
        <v>1430</v>
      </c>
      <c r="C657" s="469" t="s">
        <v>234</v>
      </c>
      <c r="D657" s="469" t="s">
        <v>215</v>
      </c>
      <c r="E657" s="2">
        <v>830</v>
      </c>
      <c r="F657" s="2"/>
      <c r="G657" s="10">
        <f>'пр.6.1.ведом.22-23 (2)'!G972</f>
        <v>0</v>
      </c>
      <c r="H657" s="10">
        <f>'пр.6.1.ведом.22-23 (2)'!H972</f>
        <v>0</v>
      </c>
    </row>
    <row r="658" spans="1:8" ht="47.25" hidden="1" x14ac:dyDescent="0.25">
      <c r="A658" s="45" t="s">
        <v>623</v>
      </c>
      <c r="B658" s="462" t="s">
        <v>1430</v>
      </c>
      <c r="C658" s="469" t="s">
        <v>234</v>
      </c>
      <c r="D658" s="469" t="s">
        <v>215</v>
      </c>
      <c r="E658" s="2">
        <v>830</v>
      </c>
      <c r="F658" s="2">
        <v>908</v>
      </c>
      <c r="G658" s="10">
        <f>G657</f>
        <v>0</v>
      </c>
      <c r="H658" s="10">
        <f>H657</f>
        <v>0</v>
      </c>
    </row>
    <row r="659" spans="1:8" ht="15.75" hidden="1" x14ac:dyDescent="0.25">
      <c r="A659" s="466" t="s">
        <v>135</v>
      </c>
      <c r="B659" s="462" t="s">
        <v>1430</v>
      </c>
      <c r="C659" s="469" t="s">
        <v>234</v>
      </c>
      <c r="D659" s="469" t="s">
        <v>215</v>
      </c>
      <c r="E659" s="2">
        <v>800</v>
      </c>
      <c r="F659" s="2"/>
      <c r="G659" s="10">
        <f>G660</f>
        <v>0</v>
      </c>
      <c r="H659" s="10">
        <f>H660</f>
        <v>0</v>
      </c>
    </row>
    <row r="660" spans="1:8" ht="15.75" hidden="1" x14ac:dyDescent="0.25">
      <c r="A660" s="466" t="s">
        <v>1080</v>
      </c>
      <c r="B660" s="462" t="s">
        <v>1430</v>
      </c>
      <c r="C660" s="469" t="s">
        <v>234</v>
      </c>
      <c r="D660" s="469" t="s">
        <v>215</v>
      </c>
      <c r="E660" s="2">
        <v>850</v>
      </c>
      <c r="F660" s="2"/>
      <c r="G660" s="10">
        <f>'пр.6.1.ведом.22-23 (2)'!G973</f>
        <v>0</v>
      </c>
      <c r="H660" s="10">
        <f>'пр.6.1.ведом.22-23 (2)'!H973</f>
        <v>0</v>
      </c>
    </row>
    <row r="661" spans="1:8" ht="47.25" hidden="1" x14ac:dyDescent="0.25">
      <c r="A661" s="45" t="s">
        <v>623</v>
      </c>
      <c r="B661" s="462" t="s">
        <v>1430</v>
      </c>
      <c r="C661" s="469" t="s">
        <v>234</v>
      </c>
      <c r="D661" s="469" t="s">
        <v>215</v>
      </c>
      <c r="E661" s="2">
        <v>850</v>
      </c>
      <c r="F661" s="2">
        <v>908</v>
      </c>
      <c r="G661" s="10">
        <f>G660</f>
        <v>0</v>
      </c>
      <c r="H661" s="10">
        <f>H660</f>
        <v>0</v>
      </c>
    </row>
    <row r="662" spans="1:8" ht="15.75" hidden="1" x14ac:dyDescent="0.25">
      <c r="A662" s="466" t="s">
        <v>550</v>
      </c>
      <c r="B662" s="462" t="s">
        <v>1303</v>
      </c>
      <c r="C662" s="469" t="s">
        <v>234</v>
      </c>
      <c r="D662" s="469" t="s">
        <v>215</v>
      </c>
      <c r="E662" s="2"/>
      <c r="F662" s="2"/>
      <c r="G662" s="10">
        <f t="shared" ref="G662:H662" si="83">G663</f>
        <v>0</v>
      </c>
      <c r="H662" s="10">
        <f t="shared" si="83"/>
        <v>0</v>
      </c>
    </row>
    <row r="663" spans="1:8" ht="31.5" hidden="1" x14ac:dyDescent="0.25">
      <c r="A663" s="466" t="s">
        <v>131</v>
      </c>
      <c r="B663" s="462" t="s">
        <v>1303</v>
      </c>
      <c r="C663" s="469" t="s">
        <v>234</v>
      </c>
      <c r="D663" s="469" t="s">
        <v>215</v>
      </c>
      <c r="E663" s="2">
        <v>200</v>
      </c>
      <c r="F663" s="2"/>
      <c r="G663" s="10">
        <f>G664</f>
        <v>0</v>
      </c>
      <c r="H663" s="10">
        <f>H664</f>
        <v>0</v>
      </c>
    </row>
    <row r="664" spans="1:8" ht="47.25" hidden="1" x14ac:dyDescent="0.25">
      <c r="A664" s="466" t="s">
        <v>133</v>
      </c>
      <c r="B664" s="462" t="s">
        <v>1303</v>
      </c>
      <c r="C664" s="469" t="s">
        <v>234</v>
      </c>
      <c r="D664" s="469" t="s">
        <v>215</v>
      </c>
      <c r="E664" s="2">
        <v>240</v>
      </c>
      <c r="F664" s="2"/>
      <c r="G664" s="10">
        <f>'пр.6.1.ведом.22-23 (2)'!G976</f>
        <v>0</v>
      </c>
      <c r="H664" s="10">
        <f>'пр.6.1.ведом.22-23 (2)'!H976</f>
        <v>0</v>
      </c>
    </row>
    <row r="665" spans="1:8" ht="47.25" hidden="1" x14ac:dyDescent="0.25">
      <c r="A665" s="45" t="s">
        <v>623</v>
      </c>
      <c r="B665" s="462" t="s">
        <v>1303</v>
      </c>
      <c r="C665" s="469" t="s">
        <v>234</v>
      </c>
      <c r="D665" s="469" t="s">
        <v>215</v>
      </c>
      <c r="E665" s="2">
        <v>240</v>
      </c>
      <c r="F665" s="2">
        <v>908</v>
      </c>
      <c r="G665" s="10">
        <f>G664</f>
        <v>0</v>
      </c>
      <c r="H665" s="10">
        <f>H664</f>
        <v>0</v>
      </c>
    </row>
    <row r="666" spans="1:8" ht="15.75" x14ac:dyDescent="0.25">
      <c r="A666" s="466" t="s">
        <v>555</v>
      </c>
      <c r="B666" s="462" t="s">
        <v>1280</v>
      </c>
      <c r="C666" s="469" t="s">
        <v>234</v>
      </c>
      <c r="D666" s="469" t="s">
        <v>215</v>
      </c>
      <c r="E666" s="2"/>
      <c r="F666" s="2"/>
      <c r="G666" s="10">
        <f t="shared" ref="G666:H667" si="84">G667</f>
        <v>50</v>
      </c>
      <c r="H666" s="10">
        <f t="shared" si="84"/>
        <v>55</v>
      </c>
    </row>
    <row r="667" spans="1:8" ht="31.5" x14ac:dyDescent="0.25">
      <c r="A667" s="466" t="s">
        <v>131</v>
      </c>
      <c r="B667" s="462" t="s">
        <v>1280</v>
      </c>
      <c r="C667" s="469" t="s">
        <v>234</v>
      </c>
      <c r="D667" s="469" t="s">
        <v>215</v>
      </c>
      <c r="E667" s="2">
        <v>200</v>
      </c>
      <c r="F667" s="2"/>
      <c r="G667" s="10">
        <f t="shared" si="84"/>
        <v>50</v>
      </c>
      <c r="H667" s="10">
        <f t="shared" si="84"/>
        <v>55</v>
      </c>
    </row>
    <row r="668" spans="1:8" ht="47.25" x14ac:dyDescent="0.25">
      <c r="A668" s="466" t="s">
        <v>133</v>
      </c>
      <c r="B668" s="462" t="s">
        <v>1280</v>
      </c>
      <c r="C668" s="469" t="s">
        <v>234</v>
      </c>
      <c r="D668" s="469" t="s">
        <v>215</v>
      </c>
      <c r="E668" s="2">
        <v>240</v>
      </c>
      <c r="F668" s="2"/>
      <c r="G668" s="10">
        <f>'пр.6.1.ведом.22-23 (2)'!G979</f>
        <v>50</v>
      </c>
      <c r="H668" s="10">
        <f>'пр.6.1.ведом.22-23 (2)'!H979</f>
        <v>55</v>
      </c>
    </row>
    <row r="669" spans="1:8" ht="47.25" x14ac:dyDescent="0.25">
      <c r="A669" s="45" t="s">
        <v>623</v>
      </c>
      <c r="B669" s="462" t="s">
        <v>1280</v>
      </c>
      <c r="C669" s="469" t="s">
        <v>234</v>
      </c>
      <c r="D669" s="469" t="s">
        <v>215</v>
      </c>
      <c r="E669" s="2">
        <v>240</v>
      </c>
      <c r="F669" s="2">
        <v>908</v>
      </c>
      <c r="G669" s="10">
        <f>G668</f>
        <v>50</v>
      </c>
      <c r="H669" s="10">
        <f>H668</f>
        <v>55</v>
      </c>
    </row>
    <row r="670" spans="1:8" ht="31.5" x14ac:dyDescent="0.25">
      <c r="A670" s="300" t="s">
        <v>1284</v>
      </c>
      <c r="B670" s="462" t="s">
        <v>1281</v>
      </c>
      <c r="C670" s="469" t="s">
        <v>234</v>
      </c>
      <c r="D670" s="469" t="s">
        <v>215</v>
      </c>
      <c r="E670" s="2"/>
      <c r="F670" s="2"/>
      <c r="G670" s="10">
        <f>G671+G674</f>
        <v>375</v>
      </c>
      <c r="H670" s="10">
        <f>H671+H674</f>
        <v>375</v>
      </c>
    </row>
    <row r="671" spans="1:8" ht="31.5" x14ac:dyDescent="0.25">
      <c r="A671" s="466" t="s">
        <v>131</v>
      </c>
      <c r="B671" s="462" t="s">
        <v>1281</v>
      </c>
      <c r="C671" s="469" t="s">
        <v>234</v>
      </c>
      <c r="D671" s="469" t="s">
        <v>215</v>
      </c>
      <c r="E671" s="2">
        <v>200</v>
      </c>
      <c r="F671" s="2"/>
      <c r="G671" s="10">
        <f t="shared" ref="G671:H671" si="85">G672</f>
        <v>300</v>
      </c>
      <c r="H671" s="10">
        <f t="shared" si="85"/>
        <v>300</v>
      </c>
    </row>
    <row r="672" spans="1:8" ht="47.25" x14ac:dyDescent="0.25">
      <c r="A672" s="466" t="s">
        <v>133</v>
      </c>
      <c r="B672" s="462" t="s">
        <v>1281</v>
      </c>
      <c r="C672" s="469" t="s">
        <v>234</v>
      </c>
      <c r="D672" s="469" t="s">
        <v>215</v>
      </c>
      <c r="E672" s="2">
        <v>240</v>
      </c>
      <c r="F672" s="2"/>
      <c r="G672" s="10">
        <f>'пр.6.1.ведом.22-23 (2)'!G982</f>
        <v>300</v>
      </c>
      <c r="H672" s="10">
        <f>'пр.6.1.ведом.22-23 (2)'!H982</f>
        <v>300</v>
      </c>
    </row>
    <row r="673" spans="1:8" ht="47.25" x14ac:dyDescent="0.25">
      <c r="A673" s="45" t="s">
        <v>623</v>
      </c>
      <c r="B673" s="462" t="s">
        <v>1281</v>
      </c>
      <c r="C673" s="469" t="s">
        <v>234</v>
      </c>
      <c r="D673" s="469" t="s">
        <v>215</v>
      </c>
      <c r="E673" s="2">
        <v>240</v>
      </c>
      <c r="F673" s="2">
        <v>908</v>
      </c>
      <c r="G673" s="10">
        <f>G672</f>
        <v>300</v>
      </c>
      <c r="H673" s="10">
        <f>H672</f>
        <v>300</v>
      </c>
    </row>
    <row r="674" spans="1:8" ht="15.75" x14ac:dyDescent="0.25">
      <c r="A674" s="29" t="s">
        <v>135</v>
      </c>
      <c r="B674" s="462" t="s">
        <v>1281</v>
      </c>
      <c r="C674" s="469" t="s">
        <v>234</v>
      </c>
      <c r="D674" s="469" t="s">
        <v>215</v>
      </c>
      <c r="E674" s="2">
        <v>800</v>
      </c>
      <c r="F674" s="2"/>
      <c r="G674" s="10">
        <f>G675</f>
        <v>75</v>
      </c>
      <c r="H674" s="10">
        <f>H675</f>
        <v>75</v>
      </c>
    </row>
    <row r="675" spans="1:8" ht="15.75" x14ac:dyDescent="0.25">
      <c r="A675" s="466" t="s">
        <v>704</v>
      </c>
      <c r="B675" s="462" t="s">
        <v>1281</v>
      </c>
      <c r="C675" s="469" t="s">
        <v>234</v>
      </c>
      <c r="D675" s="469" t="s">
        <v>215</v>
      </c>
      <c r="E675" s="2">
        <v>850</v>
      </c>
      <c r="F675" s="2"/>
      <c r="G675" s="10">
        <f>'пр.6.1.ведом.22-23 (2)'!G984</f>
        <v>75</v>
      </c>
      <c r="H675" s="10">
        <f>'пр.6.1.ведом.22-23 (2)'!H984</f>
        <v>75</v>
      </c>
    </row>
    <row r="676" spans="1:8" ht="47.25" x14ac:dyDescent="0.25">
      <c r="A676" s="45" t="s">
        <v>623</v>
      </c>
      <c r="B676" s="462" t="s">
        <v>1281</v>
      </c>
      <c r="C676" s="469" t="s">
        <v>234</v>
      </c>
      <c r="D676" s="469" t="s">
        <v>215</v>
      </c>
      <c r="E676" s="2">
        <v>850</v>
      </c>
      <c r="F676" s="2">
        <v>908</v>
      </c>
      <c r="G676" s="10">
        <f>G675</f>
        <v>75</v>
      </c>
      <c r="H676" s="10">
        <f>H675</f>
        <v>75</v>
      </c>
    </row>
    <row r="677" spans="1:8" ht="31.5" x14ac:dyDescent="0.25">
      <c r="A677" s="45" t="s">
        <v>559</v>
      </c>
      <c r="B677" s="462" t="s">
        <v>1282</v>
      </c>
      <c r="C677" s="469" t="s">
        <v>234</v>
      </c>
      <c r="D677" s="469" t="s">
        <v>215</v>
      </c>
      <c r="E677" s="2"/>
      <c r="F677" s="2"/>
      <c r="G677" s="10">
        <f t="shared" ref="G677:H678" si="86">G678</f>
        <v>0</v>
      </c>
      <c r="H677" s="10">
        <f t="shared" si="86"/>
        <v>130</v>
      </c>
    </row>
    <row r="678" spans="1:8" ht="31.5" x14ac:dyDescent="0.25">
      <c r="A678" s="466" t="s">
        <v>131</v>
      </c>
      <c r="B678" s="462" t="s">
        <v>1282</v>
      </c>
      <c r="C678" s="469" t="s">
        <v>234</v>
      </c>
      <c r="D678" s="469" t="s">
        <v>215</v>
      </c>
      <c r="E678" s="2">
        <v>200</v>
      </c>
      <c r="F678" s="2"/>
      <c r="G678" s="10">
        <f t="shared" si="86"/>
        <v>0</v>
      </c>
      <c r="H678" s="10">
        <f t="shared" si="86"/>
        <v>130</v>
      </c>
    </row>
    <row r="679" spans="1:8" ht="47.25" x14ac:dyDescent="0.25">
      <c r="A679" s="466" t="s">
        <v>133</v>
      </c>
      <c r="B679" s="462" t="s">
        <v>1282</v>
      </c>
      <c r="C679" s="469" t="s">
        <v>234</v>
      </c>
      <c r="D679" s="469" t="s">
        <v>215</v>
      </c>
      <c r="E679" s="2">
        <v>240</v>
      </c>
      <c r="F679" s="2"/>
      <c r="G679" s="10">
        <f>'пр.6.1.ведом.22-23 (2)'!G987</f>
        <v>0</v>
      </c>
      <c r="H679" s="10">
        <f>'пр.6.1.ведом.22-23 (2)'!H987</f>
        <v>130</v>
      </c>
    </row>
    <row r="680" spans="1:8" ht="47.25" x14ac:dyDescent="0.25">
      <c r="A680" s="45" t="s">
        <v>623</v>
      </c>
      <c r="B680" s="462" t="s">
        <v>1282</v>
      </c>
      <c r="C680" s="469" t="s">
        <v>234</v>
      </c>
      <c r="D680" s="469" t="s">
        <v>215</v>
      </c>
      <c r="E680" s="2">
        <v>850</v>
      </c>
      <c r="F680" s="2">
        <v>908</v>
      </c>
      <c r="G680" s="10">
        <f>G679</f>
        <v>0</v>
      </c>
      <c r="H680" s="10">
        <f>H679</f>
        <v>130</v>
      </c>
    </row>
    <row r="681" spans="1:8" ht="31.5" x14ac:dyDescent="0.25">
      <c r="A681" s="228" t="s">
        <v>1092</v>
      </c>
      <c r="B681" s="462" t="s">
        <v>1283</v>
      </c>
      <c r="C681" s="469" t="s">
        <v>234</v>
      </c>
      <c r="D681" s="469" t="s">
        <v>215</v>
      </c>
      <c r="E681" s="2"/>
      <c r="F681" s="2"/>
      <c r="G681" s="10">
        <f>G682</f>
        <v>50</v>
      </c>
      <c r="H681" s="10">
        <f>H682</f>
        <v>60</v>
      </c>
    </row>
    <row r="682" spans="1:8" ht="31.5" x14ac:dyDescent="0.25">
      <c r="A682" s="466" t="s">
        <v>131</v>
      </c>
      <c r="B682" s="462" t="s">
        <v>1283</v>
      </c>
      <c r="C682" s="469" t="s">
        <v>234</v>
      </c>
      <c r="D682" s="469" t="s">
        <v>215</v>
      </c>
      <c r="E682" s="2">
        <v>200</v>
      </c>
      <c r="F682" s="2"/>
      <c r="G682" s="10">
        <f>G683</f>
        <v>50</v>
      </c>
      <c r="H682" s="10">
        <f>H683</f>
        <v>60</v>
      </c>
    </row>
    <row r="683" spans="1:8" ht="47.25" x14ac:dyDescent="0.25">
      <c r="A683" s="466" t="s">
        <v>133</v>
      </c>
      <c r="B683" s="462" t="s">
        <v>1283</v>
      </c>
      <c r="C683" s="469" t="s">
        <v>234</v>
      </c>
      <c r="D683" s="469" t="s">
        <v>215</v>
      </c>
      <c r="E683" s="2">
        <v>240</v>
      </c>
      <c r="F683" s="2"/>
      <c r="G683" s="10">
        <f>'пр.6.1.ведом.22-23 (2)'!G990</f>
        <v>50</v>
      </c>
      <c r="H683" s="10">
        <f>'пр.6.1.ведом.22-23 (2)'!H990</f>
        <v>60</v>
      </c>
    </row>
    <row r="684" spans="1:8" ht="47.25" x14ac:dyDescent="0.25">
      <c r="A684" s="45" t="s">
        <v>623</v>
      </c>
      <c r="B684" s="462" t="s">
        <v>1283</v>
      </c>
      <c r="C684" s="469" t="s">
        <v>234</v>
      </c>
      <c r="D684" s="469" t="s">
        <v>215</v>
      </c>
      <c r="E684" s="2">
        <v>240</v>
      </c>
      <c r="F684" s="2">
        <v>908</v>
      </c>
      <c r="G684" s="10">
        <f>G683</f>
        <v>50</v>
      </c>
      <c r="H684" s="10">
        <f>H683</f>
        <v>60</v>
      </c>
    </row>
    <row r="685" spans="1:8" ht="31.5" hidden="1" x14ac:dyDescent="0.25">
      <c r="A685" s="464" t="s">
        <v>891</v>
      </c>
      <c r="B685" s="465" t="s">
        <v>1301</v>
      </c>
      <c r="C685" s="7"/>
      <c r="D685" s="7"/>
      <c r="E685" s="3"/>
      <c r="F685" s="3"/>
      <c r="G685" s="59">
        <f>G686</f>
        <v>0</v>
      </c>
      <c r="H685" s="59">
        <f>H686</f>
        <v>0</v>
      </c>
    </row>
    <row r="686" spans="1:8" ht="15.75" hidden="1" x14ac:dyDescent="0.25">
      <c r="A686" s="73" t="s">
        <v>390</v>
      </c>
      <c r="B686" s="462" t="s">
        <v>1301</v>
      </c>
      <c r="C686" s="469" t="s">
        <v>234</v>
      </c>
      <c r="D686" s="469"/>
      <c r="E686" s="2"/>
      <c r="F686" s="2"/>
      <c r="G686" s="10">
        <f t="shared" ref="G686:H686" si="87">G687</f>
        <v>0</v>
      </c>
      <c r="H686" s="10">
        <f t="shared" si="87"/>
        <v>0</v>
      </c>
    </row>
    <row r="687" spans="1:8" ht="15.75" hidden="1" x14ac:dyDescent="0.25">
      <c r="A687" s="73" t="s">
        <v>541</v>
      </c>
      <c r="B687" s="462" t="s">
        <v>1301</v>
      </c>
      <c r="C687" s="469" t="s">
        <v>234</v>
      </c>
      <c r="D687" s="469" t="s">
        <v>215</v>
      </c>
      <c r="E687" s="2"/>
      <c r="F687" s="2"/>
      <c r="G687" s="10">
        <f>G688+G692</f>
        <v>0</v>
      </c>
      <c r="H687" s="10">
        <f>H688+H692</f>
        <v>0</v>
      </c>
    </row>
    <row r="688" spans="1:8" ht="47.25" hidden="1" x14ac:dyDescent="0.25">
      <c r="A688" s="466" t="s">
        <v>690</v>
      </c>
      <c r="B688" s="462" t="s">
        <v>1334</v>
      </c>
      <c r="C688" s="469" t="s">
        <v>234</v>
      </c>
      <c r="D688" s="469" t="s">
        <v>215</v>
      </c>
      <c r="E688" s="2"/>
      <c r="F688" s="2"/>
      <c r="G688" s="10">
        <f>G689</f>
        <v>0</v>
      </c>
      <c r="H688" s="10">
        <f>H689</f>
        <v>0</v>
      </c>
    </row>
    <row r="689" spans="1:8" ht="31.5" hidden="1" x14ac:dyDescent="0.25">
      <c r="A689" s="466" t="s">
        <v>131</v>
      </c>
      <c r="B689" s="462" t="s">
        <v>1334</v>
      </c>
      <c r="C689" s="469" t="s">
        <v>234</v>
      </c>
      <c r="D689" s="469" t="s">
        <v>215</v>
      </c>
      <c r="E689" s="462" t="s">
        <v>132</v>
      </c>
      <c r="F689" s="2"/>
      <c r="G689" s="10">
        <f>G690</f>
        <v>0</v>
      </c>
      <c r="H689" s="10">
        <f>H690</f>
        <v>0</v>
      </c>
    </row>
    <row r="690" spans="1:8" ht="47.25" hidden="1" x14ac:dyDescent="0.25">
      <c r="A690" s="466" t="s">
        <v>133</v>
      </c>
      <c r="B690" s="462" t="s">
        <v>1334</v>
      </c>
      <c r="C690" s="469" t="s">
        <v>234</v>
      </c>
      <c r="D690" s="469" t="s">
        <v>215</v>
      </c>
      <c r="E690" s="462" t="s">
        <v>134</v>
      </c>
      <c r="F690" s="2"/>
      <c r="G690" s="10">
        <f>'пр.6.1.ведом.22-23 (2)'!G994</f>
        <v>0</v>
      </c>
      <c r="H690" s="10">
        <f>'пр.6.1.ведом.22-23 (2)'!H994</f>
        <v>0</v>
      </c>
    </row>
    <row r="691" spans="1:8" ht="47.25" hidden="1" x14ac:dyDescent="0.25">
      <c r="A691" s="45" t="s">
        <v>623</v>
      </c>
      <c r="B691" s="462" t="s">
        <v>1334</v>
      </c>
      <c r="C691" s="469" t="s">
        <v>234</v>
      </c>
      <c r="D691" s="469" t="s">
        <v>215</v>
      </c>
      <c r="E691" s="462" t="s">
        <v>134</v>
      </c>
      <c r="F691" s="2">
        <v>908</v>
      </c>
      <c r="G691" s="10">
        <f>G690</f>
        <v>0</v>
      </c>
      <c r="H691" s="10">
        <f>H690</f>
        <v>0</v>
      </c>
    </row>
    <row r="692" spans="1:8" ht="63" hidden="1" x14ac:dyDescent="0.25">
      <c r="A692" s="466" t="s">
        <v>1073</v>
      </c>
      <c r="B692" s="462" t="s">
        <v>1300</v>
      </c>
      <c r="C692" s="469" t="s">
        <v>234</v>
      </c>
      <c r="D692" s="469" t="s">
        <v>215</v>
      </c>
      <c r="E692" s="462"/>
      <c r="F692" s="2"/>
      <c r="G692" s="10">
        <f>G693</f>
        <v>0</v>
      </c>
      <c r="H692" s="10">
        <f>H693</f>
        <v>0</v>
      </c>
    </row>
    <row r="693" spans="1:8" ht="31.5" hidden="1" x14ac:dyDescent="0.25">
      <c r="A693" s="466" t="s">
        <v>131</v>
      </c>
      <c r="B693" s="462" t="s">
        <v>1300</v>
      </c>
      <c r="C693" s="469" t="s">
        <v>234</v>
      </c>
      <c r="D693" s="469" t="s">
        <v>215</v>
      </c>
      <c r="E693" s="462" t="s">
        <v>132</v>
      </c>
      <c r="F693" s="2"/>
      <c r="G693" s="10">
        <f>G694</f>
        <v>0</v>
      </c>
      <c r="H693" s="10">
        <f>H694</f>
        <v>0</v>
      </c>
    </row>
    <row r="694" spans="1:8" ht="47.25" hidden="1" x14ac:dyDescent="0.25">
      <c r="A694" s="466" t="s">
        <v>133</v>
      </c>
      <c r="B694" s="462" t="s">
        <v>1300</v>
      </c>
      <c r="C694" s="469" t="s">
        <v>234</v>
      </c>
      <c r="D694" s="469" t="s">
        <v>215</v>
      </c>
      <c r="E694" s="462" t="s">
        <v>134</v>
      </c>
      <c r="F694" s="2"/>
      <c r="G694" s="10">
        <f>'пр.6.1.ведом.22-23 (2)'!G997</f>
        <v>0</v>
      </c>
      <c r="H694" s="10">
        <f>'пр.6.1.ведом.22-23 (2)'!H997</f>
        <v>0</v>
      </c>
    </row>
    <row r="695" spans="1:8" ht="47.25" hidden="1" x14ac:dyDescent="0.25">
      <c r="A695" s="45" t="s">
        <v>623</v>
      </c>
      <c r="B695" s="462" t="s">
        <v>1300</v>
      </c>
      <c r="C695" s="469" t="s">
        <v>234</v>
      </c>
      <c r="D695" s="469" t="s">
        <v>215</v>
      </c>
      <c r="E695" s="462" t="s">
        <v>134</v>
      </c>
      <c r="F695" s="2">
        <v>908</v>
      </c>
      <c r="G695" s="10">
        <f>G694</f>
        <v>0</v>
      </c>
      <c r="H695" s="10">
        <f>H694</f>
        <v>0</v>
      </c>
    </row>
    <row r="696" spans="1:8" ht="47.25" x14ac:dyDescent="0.25">
      <c r="A696" s="34" t="s">
        <v>1355</v>
      </c>
      <c r="B696" s="194" t="s">
        <v>182</v>
      </c>
      <c r="C696" s="7"/>
      <c r="D696" s="7"/>
      <c r="E696" s="7"/>
      <c r="F696" s="3"/>
      <c r="G696" s="59">
        <f>G697+G704</f>
        <v>274</v>
      </c>
      <c r="H696" s="59">
        <f>H697+H704</f>
        <v>274</v>
      </c>
    </row>
    <row r="697" spans="1:8" ht="47.25" x14ac:dyDescent="0.25">
      <c r="A697" s="34" t="s">
        <v>1006</v>
      </c>
      <c r="B697" s="194" t="s">
        <v>877</v>
      </c>
      <c r="C697" s="7"/>
      <c r="D697" s="7"/>
      <c r="E697" s="7"/>
      <c r="F697" s="3"/>
      <c r="G697" s="59">
        <f>G698</f>
        <v>274</v>
      </c>
      <c r="H697" s="59">
        <f>H698</f>
        <v>274</v>
      </c>
    </row>
    <row r="698" spans="1:8" ht="15.75" x14ac:dyDescent="0.25">
      <c r="A698" s="29" t="s">
        <v>232</v>
      </c>
      <c r="B698" s="5" t="s">
        <v>877</v>
      </c>
      <c r="C698" s="469" t="s">
        <v>150</v>
      </c>
      <c r="D698" s="469"/>
      <c r="E698" s="469"/>
      <c r="F698" s="2"/>
      <c r="G698" s="10">
        <f t="shared" ref="G698:H701" si="88">G699</f>
        <v>274</v>
      </c>
      <c r="H698" s="10">
        <f t="shared" si="88"/>
        <v>274</v>
      </c>
    </row>
    <row r="699" spans="1:8" ht="15.75" x14ac:dyDescent="0.25">
      <c r="A699" s="29" t="s">
        <v>233</v>
      </c>
      <c r="B699" s="30" t="s">
        <v>877</v>
      </c>
      <c r="C699" s="469" t="s">
        <v>150</v>
      </c>
      <c r="D699" s="469" t="s">
        <v>234</v>
      </c>
      <c r="E699" s="469"/>
      <c r="F699" s="2"/>
      <c r="G699" s="10">
        <f>G700</f>
        <v>274</v>
      </c>
      <c r="H699" s="10">
        <f>H700</f>
        <v>274</v>
      </c>
    </row>
    <row r="700" spans="1:8" ht="31.5" x14ac:dyDescent="0.25">
      <c r="A700" s="466" t="s">
        <v>235</v>
      </c>
      <c r="B700" s="462" t="s">
        <v>898</v>
      </c>
      <c r="C700" s="469" t="s">
        <v>150</v>
      </c>
      <c r="D700" s="469" t="s">
        <v>234</v>
      </c>
      <c r="E700" s="469"/>
      <c r="F700" s="2"/>
      <c r="G700" s="10">
        <f t="shared" si="88"/>
        <v>274</v>
      </c>
      <c r="H700" s="10">
        <f t="shared" si="88"/>
        <v>274</v>
      </c>
    </row>
    <row r="701" spans="1:8" ht="15.75" x14ac:dyDescent="0.25">
      <c r="A701" s="29" t="s">
        <v>135</v>
      </c>
      <c r="B701" s="462" t="s">
        <v>898</v>
      </c>
      <c r="C701" s="469" t="s">
        <v>150</v>
      </c>
      <c r="D701" s="469" t="s">
        <v>234</v>
      </c>
      <c r="E701" s="469" t="s">
        <v>145</v>
      </c>
      <c r="F701" s="2"/>
      <c r="G701" s="10">
        <f t="shared" si="88"/>
        <v>274</v>
      </c>
      <c r="H701" s="10">
        <f t="shared" si="88"/>
        <v>274</v>
      </c>
    </row>
    <row r="702" spans="1:8" ht="63" x14ac:dyDescent="0.25">
      <c r="A702" s="29" t="s">
        <v>184</v>
      </c>
      <c r="B702" s="462" t="s">
        <v>898</v>
      </c>
      <c r="C702" s="469" t="s">
        <v>150</v>
      </c>
      <c r="D702" s="469" t="s">
        <v>234</v>
      </c>
      <c r="E702" s="469" t="s">
        <v>160</v>
      </c>
      <c r="F702" s="2"/>
      <c r="G702" s="10">
        <f>'пр.6.1.ведом.22-23 (2)'!G197</f>
        <v>274</v>
      </c>
      <c r="H702" s="10">
        <f>'пр.6.1.ведом.22-23 (2)'!H197</f>
        <v>274</v>
      </c>
    </row>
    <row r="703" spans="1:8" ht="31.5" x14ac:dyDescent="0.25">
      <c r="A703" s="29" t="s">
        <v>148</v>
      </c>
      <c r="B703" s="462" t="s">
        <v>898</v>
      </c>
      <c r="C703" s="469" t="s">
        <v>150</v>
      </c>
      <c r="D703" s="469" t="s">
        <v>234</v>
      </c>
      <c r="E703" s="469" t="s">
        <v>160</v>
      </c>
      <c r="F703" s="2">
        <v>902</v>
      </c>
      <c r="G703" s="10">
        <f>G702</f>
        <v>274</v>
      </c>
      <c r="H703" s="10">
        <f>H702</f>
        <v>274</v>
      </c>
    </row>
    <row r="704" spans="1:8" ht="47.25" hidden="1" x14ac:dyDescent="0.25">
      <c r="A704" s="213" t="s">
        <v>1007</v>
      </c>
      <c r="B704" s="465" t="s">
        <v>879</v>
      </c>
      <c r="C704" s="469"/>
      <c r="D704" s="469"/>
      <c r="E704" s="469"/>
      <c r="F704" s="2"/>
      <c r="G704" s="10">
        <f t="shared" ref="G704:H708" si="89">G705</f>
        <v>0</v>
      </c>
      <c r="H704" s="10">
        <f t="shared" si="89"/>
        <v>0</v>
      </c>
    </row>
    <row r="705" spans="1:8" ht="15.75" hidden="1" x14ac:dyDescent="0.25">
      <c r="A705" s="29" t="s">
        <v>232</v>
      </c>
      <c r="B705" s="5" t="s">
        <v>877</v>
      </c>
      <c r="C705" s="469" t="s">
        <v>150</v>
      </c>
      <c r="D705" s="469"/>
      <c r="E705" s="469"/>
      <c r="F705" s="2"/>
      <c r="G705" s="10">
        <f t="shared" si="89"/>
        <v>0</v>
      </c>
      <c r="H705" s="10">
        <f t="shared" si="89"/>
        <v>0</v>
      </c>
    </row>
    <row r="706" spans="1:8" ht="15.75" hidden="1" x14ac:dyDescent="0.25">
      <c r="A706" s="29" t="s">
        <v>233</v>
      </c>
      <c r="B706" s="30" t="s">
        <v>877</v>
      </c>
      <c r="C706" s="469" t="s">
        <v>150</v>
      </c>
      <c r="D706" s="469" t="s">
        <v>234</v>
      </c>
      <c r="E706" s="469"/>
      <c r="F706" s="2"/>
      <c r="G706" s="10">
        <f t="shared" si="89"/>
        <v>0</v>
      </c>
      <c r="H706" s="10">
        <f t="shared" si="89"/>
        <v>0</v>
      </c>
    </row>
    <row r="707" spans="1:8" ht="15.75" hidden="1" x14ac:dyDescent="0.25">
      <c r="A707" s="466" t="s">
        <v>878</v>
      </c>
      <c r="B707" s="5" t="s">
        <v>899</v>
      </c>
      <c r="C707" s="469" t="s">
        <v>150</v>
      </c>
      <c r="D707" s="469" t="s">
        <v>234</v>
      </c>
      <c r="E707" s="469"/>
      <c r="F707" s="2"/>
      <c r="G707" s="10">
        <f t="shared" si="89"/>
        <v>0</v>
      </c>
      <c r="H707" s="10">
        <f t="shared" si="89"/>
        <v>0</v>
      </c>
    </row>
    <row r="708" spans="1:8" ht="15.75" hidden="1" x14ac:dyDescent="0.25">
      <c r="A708" s="29" t="s">
        <v>135</v>
      </c>
      <c r="B708" s="5" t="s">
        <v>899</v>
      </c>
      <c r="C708" s="469" t="s">
        <v>150</v>
      </c>
      <c r="D708" s="469" t="s">
        <v>234</v>
      </c>
      <c r="E708" s="469" t="s">
        <v>145</v>
      </c>
      <c r="F708" s="2"/>
      <c r="G708" s="10">
        <f t="shared" si="89"/>
        <v>0</v>
      </c>
      <c r="H708" s="10">
        <f t="shared" si="89"/>
        <v>0</v>
      </c>
    </row>
    <row r="709" spans="1:8" ht="63" hidden="1" x14ac:dyDescent="0.25">
      <c r="A709" s="29" t="s">
        <v>184</v>
      </c>
      <c r="B709" s="5" t="s">
        <v>899</v>
      </c>
      <c r="C709" s="469" t="s">
        <v>150</v>
      </c>
      <c r="D709" s="469" t="s">
        <v>234</v>
      </c>
      <c r="E709" s="469" t="s">
        <v>160</v>
      </c>
      <c r="F709" s="2"/>
      <c r="G709" s="10">
        <f>'пр.6.1.ведом.22-23 (2)'!G204</f>
        <v>0</v>
      </c>
      <c r="H709" s="10">
        <f>'пр.6.1.ведом.22-23 (2)'!H204</f>
        <v>0</v>
      </c>
    </row>
    <row r="710" spans="1:8" ht="31.5" hidden="1" x14ac:dyDescent="0.25">
      <c r="A710" s="29" t="s">
        <v>148</v>
      </c>
      <c r="B710" s="5" t="s">
        <v>899</v>
      </c>
      <c r="C710" s="469" t="s">
        <v>150</v>
      </c>
      <c r="D710" s="469" t="s">
        <v>234</v>
      </c>
      <c r="E710" s="469" t="s">
        <v>160</v>
      </c>
      <c r="F710" s="2">
        <v>902</v>
      </c>
      <c r="G710" s="10">
        <f>G709</f>
        <v>0</v>
      </c>
      <c r="H710" s="10">
        <f>H709</f>
        <v>0</v>
      </c>
    </row>
    <row r="711" spans="1:8" ht="78.75" x14ac:dyDescent="0.25">
      <c r="A711" s="470" t="s">
        <v>1543</v>
      </c>
      <c r="B711" s="7" t="s">
        <v>518</v>
      </c>
      <c r="C711" s="7"/>
      <c r="D711" s="7"/>
      <c r="E711" s="72"/>
      <c r="F711" s="3"/>
      <c r="G711" s="59">
        <f>G712+G719+G726+G733+G740+G747+G754</f>
        <v>700</v>
      </c>
      <c r="H711" s="59">
        <f>H712+H719+H726+H733+H740+H747+H754</f>
        <v>700</v>
      </c>
    </row>
    <row r="712" spans="1:8" ht="31.5" x14ac:dyDescent="0.25">
      <c r="A712" s="464" t="s">
        <v>963</v>
      </c>
      <c r="B712" s="465" t="s">
        <v>965</v>
      </c>
      <c r="C712" s="469"/>
      <c r="D712" s="469"/>
      <c r="E712" s="469"/>
      <c r="F712" s="2"/>
      <c r="G712" s="59">
        <f>G713</f>
        <v>700</v>
      </c>
      <c r="H712" s="59">
        <f>H713</f>
        <v>700</v>
      </c>
    </row>
    <row r="713" spans="1:8" ht="15.75" x14ac:dyDescent="0.25">
      <c r="A713" s="29" t="s">
        <v>390</v>
      </c>
      <c r="B713" s="469" t="s">
        <v>965</v>
      </c>
      <c r="C713" s="469" t="s">
        <v>234</v>
      </c>
      <c r="D713" s="469"/>
      <c r="E713" s="73"/>
      <c r="F713" s="2"/>
      <c r="G713" s="10">
        <f t="shared" ref="G713:H713" si="90">G714</f>
        <v>700</v>
      </c>
      <c r="H713" s="10">
        <f t="shared" si="90"/>
        <v>700</v>
      </c>
    </row>
    <row r="714" spans="1:8" ht="15.75" x14ac:dyDescent="0.25">
      <c r="A714" s="29" t="s">
        <v>517</v>
      </c>
      <c r="B714" s="469" t="s">
        <v>965</v>
      </c>
      <c r="C714" s="469" t="s">
        <v>234</v>
      </c>
      <c r="D714" s="469" t="s">
        <v>213</v>
      </c>
      <c r="E714" s="73"/>
      <c r="F714" s="2"/>
      <c r="G714" s="10">
        <f>G715</f>
        <v>700</v>
      </c>
      <c r="H714" s="10">
        <f>H715</f>
        <v>700</v>
      </c>
    </row>
    <row r="715" spans="1:8" ht="15.75" x14ac:dyDescent="0.25">
      <c r="A715" s="45" t="s">
        <v>521</v>
      </c>
      <c r="B715" s="462" t="s">
        <v>966</v>
      </c>
      <c r="C715" s="469" t="s">
        <v>234</v>
      </c>
      <c r="D715" s="469" t="s">
        <v>213</v>
      </c>
      <c r="E715" s="469"/>
      <c r="F715" s="2"/>
      <c r="G715" s="10">
        <f t="shared" ref="G715:H716" si="91">G716</f>
        <v>700</v>
      </c>
      <c r="H715" s="10">
        <f t="shared" si="91"/>
        <v>700</v>
      </c>
    </row>
    <row r="716" spans="1:8" ht="31.5" x14ac:dyDescent="0.25">
      <c r="A716" s="31" t="s">
        <v>131</v>
      </c>
      <c r="B716" s="462" t="s">
        <v>966</v>
      </c>
      <c r="C716" s="469" t="s">
        <v>234</v>
      </c>
      <c r="D716" s="469" t="s">
        <v>213</v>
      </c>
      <c r="E716" s="469" t="s">
        <v>132</v>
      </c>
      <c r="F716" s="2"/>
      <c r="G716" s="10">
        <f t="shared" si="91"/>
        <v>700</v>
      </c>
      <c r="H716" s="10">
        <f t="shared" si="91"/>
        <v>700</v>
      </c>
    </row>
    <row r="717" spans="1:8" ht="47.25" x14ac:dyDescent="0.25">
      <c r="A717" s="31" t="s">
        <v>133</v>
      </c>
      <c r="B717" s="462" t="s">
        <v>966</v>
      </c>
      <c r="C717" s="469" t="s">
        <v>234</v>
      </c>
      <c r="D717" s="469" t="s">
        <v>213</v>
      </c>
      <c r="E717" s="469" t="s">
        <v>134</v>
      </c>
      <c r="F717" s="2"/>
      <c r="G717" s="10">
        <f>'пр.6.1.ведом.22-23 (2)'!G923</f>
        <v>700</v>
      </c>
      <c r="H717" s="10">
        <f>'пр.6.1.ведом.22-23 (2)'!H923</f>
        <v>700</v>
      </c>
    </row>
    <row r="718" spans="1:8" ht="47.25" x14ac:dyDescent="0.25">
      <c r="A718" s="45" t="s">
        <v>623</v>
      </c>
      <c r="B718" s="462" t="s">
        <v>966</v>
      </c>
      <c r="C718" s="469" t="s">
        <v>234</v>
      </c>
      <c r="D718" s="469" t="s">
        <v>213</v>
      </c>
      <c r="E718" s="469" t="s">
        <v>134</v>
      </c>
      <c r="F718" s="2">
        <v>908</v>
      </c>
      <c r="G718" s="459">
        <f>G717</f>
        <v>700</v>
      </c>
      <c r="H718" s="459">
        <f>H717</f>
        <v>700</v>
      </c>
    </row>
    <row r="719" spans="1:8" ht="31.5" hidden="1" x14ac:dyDescent="0.25">
      <c r="A719" s="34" t="s">
        <v>967</v>
      </c>
      <c r="B719" s="465" t="s">
        <v>968</v>
      </c>
      <c r="C719" s="469"/>
      <c r="D719" s="469"/>
      <c r="E719" s="469"/>
      <c r="F719" s="2"/>
      <c r="G719" s="59">
        <f>G720</f>
        <v>0</v>
      </c>
      <c r="H719" s="59">
        <f>H720</f>
        <v>0</v>
      </c>
    </row>
    <row r="720" spans="1:8" ht="15.75" hidden="1" x14ac:dyDescent="0.25">
      <c r="A720" s="29" t="s">
        <v>390</v>
      </c>
      <c r="B720" s="469" t="s">
        <v>968</v>
      </c>
      <c r="C720" s="469" t="s">
        <v>234</v>
      </c>
      <c r="D720" s="469"/>
      <c r="E720" s="73"/>
      <c r="F720" s="2"/>
      <c r="G720" s="10">
        <f t="shared" ref="G720:H720" si="92">G721</f>
        <v>0</v>
      </c>
      <c r="H720" s="10">
        <f t="shared" si="92"/>
        <v>0</v>
      </c>
    </row>
    <row r="721" spans="1:8" ht="15.75" hidden="1" x14ac:dyDescent="0.25">
      <c r="A721" s="29" t="s">
        <v>517</v>
      </c>
      <c r="B721" s="469" t="s">
        <v>968</v>
      </c>
      <c r="C721" s="469" t="s">
        <v>234</v>
      </c>
      <c r="D721" s="469" t="s">
        <v>213</v>
      </c>
      <c r="E721" s="73"/>
      <c r="F721" s="2"/>
      <c r="G721" s="10">
        <f>G722</f>
        <v>0</v>
      </c>
      <c r="H721" s="10">
        <f>H722</f>
        <v>0</v>
      </c>
    </row>
    <row r="722" spans="1:8" ht="15.75" hidden="1" x14ac:dyDescent="0.25">
      <c r="A722" s="45" t="s">
        <v>523</v>
      </c>
      <c r="B722" s="462" t="s">
        <v>971</v>
      </c>
      <c r="C722" s="469" t="s">
        <v>234</v>
      </c>
      <c r="D722" s="469" t="s">
        <v>213</v>
      </c>
      <c r="E722" s="469"/>
      <c r="F722" s="2"/>
      <c r="G722" s="10">
        <f>G723</f>
        <v>0</v>
      </c>
      <c r="H722" s="10">
        <f>H723</f>
        <v>0</v>
      </c>
    </row>
    <row r="723" spans="1:8" ht="31.5" hidden="1" x14ac:dyDescent="0.25">
      <c r="A723" s="31" t="s">
        <v>131</v>
      </c>
      <c r="B723" s="462" t="s">
        <v>971</v>
      </c>
      <c r="C723" s="469" t="s">
        <v>234</v>
      </c>
      <c r="D723" s="469" t="s">
        <v>213</v>
      </c>
      <c r="E723" s="469" t="s">
        <v>132</v>
      </c>
      <c r="F723" s="2"/>
      <c r="G723" s="10">
        <f t="shared" ref="G723:H723" si="93">G724</f>
        <v>0</v>
      </c>
      <c r="H723" s="10">
        <f t="shared" si="93"/>
        <v>0</v>
      </c>
    </row>
    <row r="724" spans="1:8" ht="47.25" hidden="1" x14ac:dyDescent="0.25">
      <c r="A724" s="31" t="s">
        <v>133</v>
      </c>
      <c r="B724" s="462" t="s">
        <v>971</v>
      </c>
      <c r="C724" s="469" t="s">
        <v>234</v>
      </c>
      <c r="D724" s="469" t="s">
        <v>213</v>
      </c>
      <c r="E724" s="469" t="s">
        <v>134</v>
      </c>
      <c r="F724" s="2"/>
      <c r="G724" s="10">
        <f>'пр.6.1.ведом.22-23 (2)'!G927</f>
        <v>0</v>
      </c>
      <c r="H724" s="10">
        <f>'пр.6.1.ведом.22-23 (2)'!H927</f>
        <v>0</v>
      </c>
    </row>
    <row r="725" spans="1:8" ht="47.25" hidden="1" x14ac:dyDescent="0.25">
      <c r="A725" s="45" t="s">
        <v>623</v>
      </c>
      <c r="B725" s="462" t="s">
        <v>971</v>
      </c>
      <c r="C725" s="469" t="s">
        <v>234</v>
      </c>
      <c r="D725" s="469" t="s">
        <v>213</v>
      </c>
      <c r="E725" s="469" t="s">
        <v>134</v>
      </c>
      <c r="F725" s="2">
        <v>908</v>
      </c>
      <c r="G725" s="459">
        <f>G724</f>
        <v>0</v>
      </c>
      <c r="H725" s="459">
        <f>H724</f>
        <v>0</v>
      </c>
    </row>
    <row r="726" spans="1:8" ht="31.5" hidden="1" x14ac:dyDescent="0.25">
      <c r="A726" s="58" t="s">
        <v>969</v>
      </c>
      <c r="B726" s="465" t="s">
        <v>970</v>
      </c>
      <c r="C726" s="469"/>
      <c r="D726" s="469"/>
      <c r="E726" s="469"/>
      <c r="F726" s="2"/>
      <c r="G726" s="59">
        <f>G727</f>
        <v>0</v>
      </c>
      <c r="H726" s="59">
        <f>H727</f>
        <v>0</v>
      </c>
    </row>
    <row r="727" spans="1:8" ht="15.75" hidden="1" x14ac:dyDescent="0.25">
      <c r="A727" s="29" t="s">
        <v>390</v>
      </c>
      <c r="B727" s="469" t="s">
        <v>970</v>
      </c>
      <c r="C727" s="469" t="s">
        <v>234</v>
      </c>
      <c r="D727" s="469"/>
      <c r="E727" s="73"/>
      <c r="F727" s="2"/>
      <c r="G727" s="10">
        <f t="shared" ref="G727:H727" si="94">G728</f>
        <v>0</v>
      </c>
      <c r="H727" s="10">
        <f t="shared" si="94"/>
        <v>0</v>
      </c>
    </row>
    <row r="728" spans="1:8" ht="15.75" hidden="1" x14ac:dyDescent="0.25">
      <c r="A728" s="29" t="s">
        <v>517</v>
      </c>
      <c r="B728" s="469" t="s">
        <v>970</v>
      </c>
      <c r="C728" s="469" t="s">
        <v>234</v>
      </c>
      <c r="D728" s="469" t="s">
        <v>213</v>
      </c>
      <c r="E728" s="73"/>
      <c r="F728" s="2"/>
      <c r="G728" s="10">
        <f>G729</f>
        <v>0</v>
      </c>
      <c r="H728" s="10">
        <f>H729</f>
        <v>0</v>
      </c>
    </row>
    <row r="729" spans="1:8" ht="15.75" hidden="1" x14ac:dyDescent="0.25">
      <c r="A729" s="45" t="s">
        <v>525</v>
      </c>
      <c r="B729" s="462" t="s">
        <v>972</v>
      </c>
      <c r="C729" s="469" t="s">
        <v>234</v>
      </c>
      <c r="D729" s="469" t="s">
        <v>213</v>
      </c>
      <c r="E729" s="469"/>
      <c r="F729" s="2"/>
      <c r="G729" s="10">
        <f>G730</f>
        <v>0</v>
      </c>
      <c r="H729" s="10">
        <f>H730</f>
        <v>0</v>
      </c>
    </row>
    <row r="730" spans="1:8" ht="31.5" hidden="1" x14ac:dyDescent="0.25">
      <c r="A730" s="31" t="s">
        <v>131</v>
      </c>
      <c r="B730" s="462" t="s">
        <v>972</v>
      </c>
      <c r="C730" s="469" t="s">
        <v>234</v>
      </c>
      <c r="D730" s="469" t="s">
        <v>213</v>
      </c>
      <c r="E730" s="469" t="s">
        <v>132</v>
      </c>
      <c r="F730" s="2"/>
      <c r="G730" s="10">
        <f t="shared" ref="G730:H730" si="95">G731</f>
        <v>0</v>
      </c>
      <c r="H730" s="10">
        <f t="shared" si="95"/>
        <v>0</v>
      </c>
    </row>
    <row r="731" spans="1:8" ht="47.25" hidden="1" x14ac:dyDescent="0.25">
      <c r="A731" s="31" t="s">
        <v>133</v>
      </c>
      <c r="B731" s="462" t="s">
        <v>972</v>
      </c>
      <c r="C731" s="469" t="s">
        <v>234</v>
      </c>
      <c r="D731" s="469" t="s">
        <v>213</v>
      </c>
      <c r="E731" s="469" t="s">
        <v>134</v>
      </c>
      <c r="F731" s="2"/>
      <c r="G731" s="10">
        <f>'пр.6.1.ведом.22-23 (2)'!G931</f>
        <v>0</v>
      </c>
      <c r="H731" s="10">
        <f>'пр.6.1.ведом.22-23 (2)'!H931</f>
        <v>0</v>
      </c>
    </row>
    <row r="732" spans="1:8" ht="47.25" hidden="1" x14ac:dyDescent="0.25">
      <c r="A732" s="45" t="s">
        <v>623</v>
      </c>
      <c r="B732" s="462" t="s">
        <v>972</v>
      </c>
      <c r="C732" s="469" t="s">
        <v>234</v>
      </c>
      <c r="D732" s="469" t="s">
        <v>213</v>
      </c>
      <c r="E732" s="469" t="s">
        <v>134</v>
      </c>
      <c r="F732" s="2">
        <v>908</v>
      </c>
      <c r="G732" s="459">
        <f>G731</f>
        <v>0</v>
      </c>
      <c r="H732" s="459">
        <f>H731</f>
        <v>0</v>
      </c>
    </row>
    <row r="733" spans="1:8" ht="31.5" hidden="1" x14ac:dyDescent="0.25">
      <c r="A733" s="58" t="s">
        <v>973</v>
      </c>
      <c r="B733" s="465" t="s">
        <v>974</v>
      </c>
      <c r="C733" s="469"/>
      <c r="D733" s="469"/>
      <c r="E733" s="469"/>
      <c r="F733" s="2"/>
      <c r="G733" s="59">
        <f t="shared" ref="G733:H737" si="96">G734</f>
        <v>0</v>
      </c>
      <c r="H733" s="59">
        <f t="shared" si="96"/>
        <v>0</v>
      </c>
    </row>
    <row r="734" spans="1:8" ht="15.75" hidden="1" x14ac:dyDescent="0.25">
      <c r="A734" s="29" t="s">
        <v>390</v>
      </c>
      <c r="B734" s="469" t="s">
        <v>974</v>
      </c>
      <c r="C734" s="469" t="s">
        <v>234</v>
      </c>
      <c r="D734" s="469"/>
      <c r="E734" s="73"/>
      <c r="F734" s="2"/>
      <c r="G734" s="10">
        <f t="shared" si="96"/>
        <v>0</v>
      </c>
      <c r="H734" s="10">
        <f t="shared" si="96"/>
        <v>0</v>
      </c>
    </row>
    <row r="735" spans="1:8" ht="15.75" hidden="1" x14ac:dyDescent="0.25">
      <c r="A735" s="29" t="s">
        <v>517</v>
      </c>
      <c r="B735" s="469" t="s">
        <v>974</v>
      </c>
      <c r="C735" s="469" t="s">
        <v>234</v>
      </c>
      <c r="D735" s="469" t="s">
        <v>213</v>
      </c>
      <c r="E735" s="73"/>
      <c r="F735" s="2"/>
      <c r="G735" s="10">
        <f t="shared" si="96"/>
        <v>0</v>
      </c>
      <c r="H735" s="10">
        <f t="shared" si="96"/>
        <v>0</v>
      </c>
    </row>
    <row r="736" spans="1:8" ht="31.5" hidden="1" x14ac:dyDescent="0.25">
      <c r="A736" s="45" t="s">
        <v>527</v>
      </c>
      <c r="B736" s="462" t="s">
        <v>975</v>
      </c>
      <c r="C736" s="469" t="s">
        <v>234</v>
      </c>
      <c r="D736" s="469" t="s">
        <v>213</v>
      </c>
      <c r="E736" s="469"/>
      <c r="F736" s="2"/>
      <c r="G736" s="10">
        <f t="shared" si="96"/>
        <v>0</v>
      </c>
      <c r="H736" s="10">
        <f t="shared" si="96"/>
        <v>0</v>
      </c>
    </row>
    <row r="737" spans="1:8" ht="31.5" hidden="1" x14ac:dyDescent="0.25">
      <c r="A737" s="31" t="s">
        <v>131</v>
      </c>
      <c r="B737" s="462" t="s">
        <v>975</v>
      </c>
      <c r="C737" s="469" t="s">
        <v>234</v>
      </c>
      <c r="D737" s="469" t="s">
        <v>213</v>
      </c>
      <c r="E737" s="469" t="s">
        <v>132</v>
      </c>
      <c r="F737" s="2"/>
      <c r="G737" s="10">
        <f t="shared" si="96"/>
        <v>0</v>
      </c>
      <c r="H737" s="10">
        <f t="shared" si="96"/>
        <v>0</v>
      </c>
    </row>
    <row r="738" spans="1:8" ht="47.25" hidden="1" x14ac:dyDescent="0.25">
      <c r="A738" s="31" t="s">
        <v>133</v>
      </c>
      <c r="B738" s="462" t="s">
        <v>975</v>
      </c>
      <c r="C738" s="469" t="s">
        <v>234</v>
      </c>
      <c r="D738" s="469" t="s">
        <v>213</v>
      </c>
      <c r="E738" s="469" t="s">
        <v>134</v>
      </c>
      <c r="F738" s="2"/>
      <c r="G738" s="10">
        <f>'пр.6.1.ведом.22-23 (2)'!G935</f>
        <v>0</v>
      </c>
      <c r="H738" s="10">
        <f>'пр.6.1.ведом.22-23 (2)'!H935</f>
        <v>0</v>
      </c>
    </row>
    <row r="739" spans="1:8" ht="47.25" hidden="1" x14ac:dyDescent="0.25">
      <c r="A739" s="45" t="s">
        <v>623</v>
      </c>
      <c r="B739" s="462" t="s">
        <v>975</v>
      </c>
      <c r="C739" s="469" t="s">
        <v>234</v>
      </c>
      <c r="D739" s="469" t="s">
        <v>213</v>
      </c>
      <c r="E739" s="469" t="s">
        <v>134</v>
      </c>
      <c r="F739" s="2">
        <v>908</v>
      </c>
      <c r="G739" s="459">
        <f>G738</f>
        <v>0</v>
      </c>
      <c r="H739" s="459">
        <f>H738</f>
        <v>0</v>
      </c>
    </row>
    <row r="740" spans="1:8" ht="31.5" hidden="1" x14ac:dyDescent="0.25">
      <c r="A740" s="34" t="s">
        <v>1014</v>
      </c>
      <c r="B740" s="465" t="s">
        <v>1015</v>
      </c>
      <c r="C740" s="469"/>
      <c r="D740" s="469"/>
      <c r="E740" s="469"/>
      <c r="F740" s="2"/>
      <c r="G740" s="59">
        <f>G741</f>
        <v>0</v>
      </c>
      <c r="H740" s="59">
        <f>H741</f>
        <v>0</v>
      </c>
    </row>
    <row r="741" spans="1:8" ht="15.75" hidden="1" x14ac:dyDescent="0.25">
      <c r="A741" s="29" t="s">
        <v>390</v>
      </c>
      <c r="B741" s="469" t="s">
        <v>518</v>
      </c>
      <c r="C741" s="469" t="s">
        <v>234</v>
      </c>
      <c r="D741" s="469"/>
      <c r="E741" s="73"/>
      <c r="F741" s="2"/>
      <c r="G741" s="10">
        <f t="shared" ref="G741:H741" si="97">G742</f>
        <v>0</v>
      </c>
      <c r="H741" s="10">
        <f t="shared" si="97"/>
        <v>0</v>
      </c>
    </row>
    <row r="742" spans="1:8" ht="15.75" hidden="1" x14ac:dyDescent="0.25">
      <c r="A742" s="29" t="s">
        <v>517</v>
      </c>
      <c r="B742" s="469" t="s">
        <v>518</v>
      </c>
      <c r="C742" s="469" t="s">
        <v>234</v>
      </c>
      <c r="D742" s="469" t="s">
        <v>213</v>
      </c>
      <c r="E742" s="73"/>
      <c r="F742" s="2"/>
      <c r="G742" s="10">
        <f>G743</f>
        <v>0</v>
      </c>
      <c r="H742" s="10">
        <f>H743</f>
        <v>0</v>
      </c>
    </row>
    <row r="743" spans="1:8" ht="15.75" hidden="1" x14ac:dyDescent="0.25">
      <c r="A743" s="45" t="s">
        <v>529</v>
      </c>
      <c r="B743" s="462" t="s">
        <v>1018</v>
      </c>
      <c r="C743" s="469" t="s">
        <v>234</v>
      </c>
      <c r="D743" s="469" t="s">
        <v>213</v>
      </c>
      <c r="E743" s="469"/>
      <c r="F743" s="2"/>
      <c r="G743" s="10">
        <f t="shared" ref="G743:H744" si="98">G744</f>
        <v>0</v>
      </c>
      <c r="H743" s="10">
        <f t="shared" si="98"/>
        <v>0</v>
      </c>
    </row>
    <row r="744" spans="1:8" ht="31.5" hidden="1" x14ac:dyDescent="0.25">
      <c r="A744" s="31" t="s">
        <v>131</v>
      </c>
      <c r="B744" s="462" t="s">
        <v>1018</v>
      </c>
      <c r="C744" s="469" t="s">
        <v>234</v>
      </c>
      <c r="D744" s="469" t="s">
        <v>213</v>
      </c>
      <c r="E744" s="469" t="s">
        <v>132</v>
      </c>
      <c r="F744" s="2"/>
      <c r="G744" s="10">
        <f t="shared" si="98"/>
        <v>0</v>
      </c>
      <c r="H744" s="10">
        <f t="shared" si="98"/>
        <v>0</v>
      </c>
    </row>
    <row r="745" spans="1:8" ht="47.25" hidden="1" x14ac:dyDescent="0.25">
      <c r="A745" s="31" t="s">
        <v>133</v>
      </c>
      <c r="B745" s="462" t="s">
        <v>1018</v>
      </c>
      <c r="C745" s="469" t="s">
        <v>234</v>
      </c>
      <c r="D745" s="469" t="s">
        <v>213</v>
      </c>
      <c r="E745" s="469" t="s">
        <v>134</v>
      </c>
      <c r="F745" s="2"/>
      <c r="G745" s="10">
        <f>'пр.6.1.ведом.22-23 (2)'!G939</f>
        <v>0</v>
      </c>
      <c r="H745" s="10">
        <f>'пр.6.1.ведом.22-23 (2)'!H939</f>
        <v>0</v>
      </c>
    </row>
    <row r="746" spans="1:8" ht="47.25" hidden="1" x14ac:dyDescent="0.25">
      <c r="A746" s="45" t="s">
        <v>623</v>
      </c>
      <c r="B746" s="462" t="s">
        <v>1018</v>
      </c>
      <c r="C746" s="469" t="s">
        <v>234</v>
      </c>
      <c r="D746" s="469" t="s">
        <v>213</v>
      </c>
      <c r="E746" s="469" t="s">
        <v>134</v>
      </c>
      <c r="F746" s="2">
        <v>908</v>
      </c>
      <c r="G746" s="459">
        <f>G745</f>
        <v>0</v>
      </c>
      <c r="H746" s="459">
        <f>H745</f>
        <v>0</v>
      </c>
    </row>
    <row r="747" spans="1:8" ht="47.25" hidden="1" x14ac:dyDescent="0.25">
      <c r="A747" s="219" t="s">
        <v>1016</v>
      </c>
      <c r="B747" s="465" t="s">
        <v>1017</v>
      </c>
      <c r="C747" s="469"/>
      <c r="D747" s="469"/>
      <c r="E747" s="469"/>
      <c r="F747" s="2"/>
      <c r="G747" s="59">
        <f>G748</f>
        <v>0</v>
      </c>
      <c r="H747" s="59">
        <f>H748</f>
        <v>0</v>
      </c>
    </row>
    <row r="748" spans="1:8" ht="15.75" hidden="1" x14ac:dyDescent="0.25">
      <c r="A748" s="29" t="s">
        <v>390</v>
      </c>
      <c r="B748" s="469" t="s">
        <v>518</v>
      </c>
      <c r="C748" s="469" t="s">
        <v>234</v>
      </c>
      <c r="D748" s="469"/>
      <c r="E748" s="73"/>
      <c r="F748" s="2"/>
      <c r="G748" s="10">
        <f t="shared" ref="G748:H748" si="99">G749</f>
        <v>0</v>
      </c>
      <c r="H748" s="10">
        <f t="shared" si="99"/>
        <v>0</v>
      </c>
    </row>
    <row r="749" spans="1:8" ht="15.75" hidden="1" x14ac:dyDescent="0.25">
      <c r="A749" s="29" t="s">
        <v>517</v>
      </c>
      <c r="B749" s="469" t="s">
        <v>518</v>
      </c>
      <c r="C749" s="469" t="s">
        <v>234</v>
      </c>
      <c r="D749" s="469" t="s">
        <v>213</v>
      </c>
      <c r="E749" s="73"/>
      <c r="F749" s="2"/>
      <c r="G749" s="10">
        <f>G750</f>
        <v>0</v>
      </c>
      <c r="H749" s="10">
        <f>H750</f>
        <v>0</v>
      </c>
    </row>
    <row r="750" spans="1:8" ht="31.5" hidden="1" x14ac:dyDescent="0.25">
      <c r="A750" s="174" t="s">
        <v>531</v>
      </c>
      <c r="B750" s="462" t="s">
        <v>1019</v>
      </c>
      <c r="C750" s="469" t="s">
        <v>234</v>
      </c>
      <c r="D750" s="469" t="s">
        <v>213</v>
      </c>
      <c r="E750" s="469"/>
      <c r="F750" s="2"/>
      <c r="G750" s="10">
        <f t="shared" ref="G750:H751" si="100">G751</f>
        <v>0</v>
      </c>
      <c r="H750" s="10">
        <f t="shared" si="100"/>
        <v>0</v>
      </c>
    </row>
    <row r="751" spans="1:8" ht="31.5" hidden="1" x14ac:dyDescent="0.25">
      <c r="A751" s="31" t="s">
        <v>131</v>
      </c>
      <c r="B751" s="462" t="s">
        <v>1019</v>
      </c>
      <c r="C751" s="469" t="s">
        <v>234</v>
      </c>
      <c r="D751" s="469" t="s">
        <v>213</v>
      </c>
      <c r="E751" s="469" t="s">
        <v>132</v>
      </c>
      <c r="F751" s="2"/>
      <c r="G751" s="10">
        <f t="shared" si="100"/>
        <v>0</v>
      </c>
      <c r="H751" s="10">
        <f t="shared" si="100"/>
        <v>0</v>
      </c>
    </row>
    <row r="752" spans="1:8" ht="47.25" hidden="1" x14ac:dyDescent="0.25">
      <c r="A752" s="31" t="s">
        <v>133</v>
      </c>
      <c r="B752" s="462" t="s">
        <v>1019</v>
      </c>
      <c r="C752" s="469" t="s">
        <v>234</v>
      </c>
      <c r="D752" s="469" t="s">
        <v>213</v>
      </c>
      <c r="E752" s="469" t="s">
        <v>134</v>
      </c>
      <c r="F752" s="2"/>
      <c r="G752" s="10">
        <f>'пр.6.1.ведом.22-23 (2)'!G943</f>
        <v>0</v>
      </c>
      <c r="H752" s="10">
        <f>'пр.6.1.ведом.22-23 (2)'!H943</f>
        <v>0</v>
      </c>
    </row>
    <row r="753" spans="1:8" ht="47.25" hidden="1" x14ac:dyDescent="0.25">
      <c r="A753" s="45" t="s">
        <v>623</v>
      </c>
      <c r="B753" s="462" t="s">
        <v>1019</v>
      </c>
      <c r="C753" s="469" t="s">
        <v>234</v>
      </c>
      <c r="D753" s="469" t="s">
        <v>213</v>
      </c>
      <c r="E753" s="469" t="s">
        <v>134</v>
      </c>
      <c r="F753" s="2">
        <v>908</v>
      </c>
      <c r="G753" s="459">
        <f>G752</f>
        <v>0</v>
      </c>
      <c r="H753" s="459">
        <f>H752</f>
        <v>0</v>
      </c>
    </row>
    <row r="754" spans="1:8" ht="31.5" hidden="1" x14ac:dyDescent="0.25">
      <c r="A754" s="219" t="s">
        <v>977</v>
      </c>
      <c r="B754" s="465" t="s">
        <v>978</v>
      </c>
      <c r="C754" s="469"/>
      <c r="D754" s="469"/>
      <c r="E754" s="469"/>
      <c r="F754" s="2"/>
      <c r="G754" s="59">
        <f t="shared" ref="G754:H758" si="101">G755</f>
        <v>0</v>
      </c>
      <c r="H754" s="59">
        <f t="shared" si="101"/>
        <v>0</v>
      </c>
    </row>
    <row r="755" spans="1:8" ht="15.75" hidden="1" x14ac:dyDescent="0.25">
      <c r="A755" s="29" t="s">
        <v>390</v>
      </c>
      <c r="B755" s="469" t="s">
        <v>518</v>
      </c>
      <c r="C755" s="469" t="s">
        <v>234</v>
      </c>
      <c r="D755" s="469"/>
      <c r="E755" s="73"/>
      <c r="F755" s="2"/>
      <c r="G755" s="10">
        <f t="shared" si="101"/>
        <v>0</v>
      </c>
      <c r="H755" s="10">
        <f t="shared" si="101"/>
        <v>0</v>
      </c>
    </row>
    <row r="756" spans="1:8" ht="15.75" hidden="1" x14ac:dyDescent="0.25">
      <c r="A756" s="29" t="s">
        <v>517</v>
      </c>
      <c r="B756" s="469" t="s">
        <v>518</v>
      </c>
      <c r="C756" s="469" t="s">
        <v>234</v>
      </c>
      <c r="D756" s="469" t="s">
        <v>213</v>
      </c>
      <c r="E756" s="73"/>
      <c r="F756" s="2"/>
      <c r="G756" s="10">
        <f t="shared" si="101"/>
        <v>0</v>
      </c>
      <c r="H756" s="10">
        <f t="shared" si="101"/>
        <v>0</v>
      </c>
    </row>
    <row r="757" spans="1:8" ht="15.75" hidden="1" x14ac:dyDescent="0.25">
      <c r="A757" s="174" t="s">
        <v>533</v>
      </c>
      <c r="B757" s="462" t="s">
        <v>976</v>
      </c>
      <c r="C757" s="469" t="s">
        <v>234</v>
      </c>
      <c r="D757" s="469" t="s">
        <v>213</v>
      </c>
      <c r="E757" s="469"/>
      <c r="F757" s="2"/>
      <c r="G757" s="10">
        <f t="shared" si="101"/>
        <v>0</v>
      </c>
      <c r="H757" s="10">
        <f t="shared" si="101"/>
        <v>0</v>
      </c>
    </row>
    <row r="758" spans="1:8" ht="31.5" hidden="1" x14ac:dyDescent="0.3">
      <c r="A758" s="466" t="s">
        <v>131</v>
      </c>
      <c r="B758" s="462" t="s">
        <v>976</v>
      </c>
      <c r="C758" s="469" t="s">
        <v>234</v>
      </c>
      <c r="D758" s="469" t="s">
        <v>213</v>
      </c>
      <c r="E758" s="2">
        <v>200</v>
      </c>
      <c r="F758" s="77"/>
      <c r="G758" s="459">
        <f t="shared" si="101"/>
        <v>0</v>
      </c>
      <c r="H758" s="459">
        <f t="shared" si="101"/>
        <v>0</v>
      </c>
    </row>
    <row r="759" spans="1:8" ht="47.25" hidden="1" x14ac:dyDescent="0.3">
      <c r="A759" s="466" t="s">
        <v>133</v>
      </c>
      <c r="B759" s="462" t="s">
        <v>976</v>
      </c>
      <c r="C759" s="469" t="s">
        <v>234</v>
      </c>
      <c r="D759" s="469" t="s">
        <v>213</v>
      </c>
      <c r="E759" s="2">
        <v>240</v>
      </c>
      <c r="F759" s="77"/>
      <c r="G759" s="459">
        <f>'пр.6.1.ведом.22-23 (2)'!G947</f>
        <v>0</v>
      </c>
      <c r="H759" s="459">
        <f>'пр.6.1.ведом.22-23 (2)'!H947</f>
        <v>0</v>
      </c>
    </row>
    <row r="760" spans="1:8" ht="47.25" hidden="1" x14ac:dyDescent="0.25">
      <c r="A760" s="45" t="s">
        <v>623</v>
      </c>
      <c r="B760" s="462" t="s">
        <v>976</v>
      </c>
      <c r="C760" s="469" t="s">
        <v>234</v>
      </c>
      <c r="D760" s="469" t="s">
        <v>213</v>
      </c>
      <c r="E760" s="2">
        <v>240</v>
      </c>
      <c r="F760" s="2">
        <v>908</v>
      </c>
      <c r="G760" s="459">
        <f>G759</f>
        <v>0</v>
      </c>
      <c r="H760" s="459">
        <f>H759</f>
        <v>0</v>
      </c>
    </row>
    <row r="761" spans="1:8" ht="47.25" x14ac:dyDescent="0.25">
      <c r="A761" s="464" t="s">
        <v>1360</v>
      </c>
      <c r="B761" s="465" t="s">
        <v>335</v>
      </c>
      <c r="C761" s="7"/>
      <c r="D761" s="7"/>
      <c r="E761" s="3"/>
      <c r="F761" s="3"/>
      <c r="G761" s="458">
        <f t="shared" ref="G761:H763" si="102">G762</f>
        <v>120</v>
      </c>
      <c r="H761" s="458">
        <f t="shared" si="102"/>
        <v>120</v>
      </c>
    </row>
    <row r="762" spans="1:8" ht="31.5" x14ac:dyDescent="0.25">
      <c r="A762" s="464" t="s">
        <v>1052</v>
      </c>
      <c r="B762" s="465" t="s">
        <v>1053</v>
      </c>
      <c r="C762" s="7"/>
      <c r="D762" s="7"/>
      <c r="E762" s="3"/>
      <c r="F762" s="3"/>
      <c r="G762" s="458">
        <f t="shared" si="102"/>
        <v>120</v>
      </c>
      <c r="H762" s="458">
        <f t="shared" si="102"/>
        <v>120</v>
      </c>
    </row>
    <row r="763" spans="1:8" ht="15.75" x14ac:dyDescent="0.25">
      <c r="A763" s="29" t="s">
        <v>117</v>
      </c>
      <c r="B763" s="462" t="s">
        <v>1053</v>
      </c>
      <c r="C763" s="469" t="s">
        <v>118</v>
      </c>
      <c r="D763" s="469"/>
      <c r="E763" s="2"/>
      <c r="F763" s="2"/>
      <c r="G763" s="459">
        <f t="shared" si="102"/>
        <v>120</v>
      </c>
      <c r="H763" s="459">
        <f t="shared" si="102"/>
        <v>120</v>
      </c>
    </row>
    <row r="764" spans="1:8" ht="15.75" x14ac:dyDescent="0.25">
      <c r="A764" s="29" t="s">
        <v>139</v>
      </c>
      <c r="B764" s="462" t="s">
        <v>1053</v>
      </c>
      <c r="C764" s="469" t="s">
        <v>118</v>
      </c>
      <c r="D764" s="469" t="s">
        <v>140</v>
      </c>
      <c r="E764" s="2"/>
      <c r="F764" s="2"/>
      <c r="G764" s="459">
        <f>G765+G775+G779+G783+G787+G791</f>
        <v>120</v>
      </c>
      <c r="H764" s="459">
        <f>H765+H775+H779+H783+H787+H791</f>
        <v>120</v>
      </c>
    </row>
    <row r="765" spans="1:8" ht="31.5" x14ac:dyDescent="0.25">
      <c r="A765" s="466" t="s">
        <v>336</v>
      </c>
      <c r="B765" s="462" t="s">
        <v>1054</v>
      </c>
      <c r="C765" s="469" t="s">
        <v>118</v>
      </c>
      <c r="D765" s="469" t="s">
        <v>140</v>
      </c>
      <c r="E765" s="2"/>
      <c r="F765" s="2"/>
      <c r="G765" s="459">
        <f>G766+G769+G772</f>
        <v>100</v>
      </c>
      <c r="H765" s="459">
        <f>H766+H769+H772</f>
        <v>100</v>
      </c>
    </row>
    <row r="766" spans="1:8" ht="31.5" hidden="1" x14ac:dyDescent="0.25">
      <c r="A766" s="466" t="s">
        <v>131</v>
      </c>
      <c r="B766" s="462" t="s">
        <v>1054</v>
      </c>
      <c r="C766" s="469" t="s">
        <v>118</v>
      </c>
      <c r="D766" s="469" t="s">
        <v>140</v>
      </c>
      <c r="E766" s="2">
        <v>200</v>
      </c>
      <c r="F766" s="2"/>
      <c r="G766" s="459">
        <f t="shared" ref="G766:H766" si="103">G767</f>
        <v>0</v>
      </c>
      <c r="H766" s="459">
        <f t="shared" si="103"/>
        <v>100</v>
      </c>
    </row>
    <row r="767" spans="1:8" ht="47.25" hidden="1" x14ac:dyDescent="0.25">
      <c r="A767" s="466" t="s">
        <v>133</v>
      </c>
      <c r="B767" s="462" t="s">
        <v>1054</v>
      </c>
      <c r="C767" s="469" t="s">
        <v>118</v>
      </c>
      <c r="D767" s="469" t="s">
        <v>140</v>
      </c>
      <c r="E767" s="2">
        <v>240</v>
      </c>
      <c r="F767" s="2"/>
      <c r="G767" s="459">
        <f>'пр.6.1.ведом.22-23 (2)'!G255</f>
        <v>0</v>
      </c>
      <c r="H767" s="459">
        <f>'пр.6.1.ведом.22-23 (2)'!H255</f>
        <v>100</v>
      </c>
    </row>
    <row r="768" spans="1:8" ht="31.5" hidden="1" x14ac:dyDescent="0.25">
      <c r="A768" s="45" t="s">
        <v>403</v>
      </c>
      <c r="B768" s="462" t="s">
        <v>1054</v>
      </c>
      <c r="C768" s="469" t="s">
        <v>118</v>
      </c>
      <c r="D768" s="469" t="s">
        <v>140</v>
      </c>
      <c r="E768" s="2">
        <v>240</v>
      </c>
      <c r="F768" s="2">
        <v>903</v>
      </c>
      <c r="G768" s="459">
        <f>G767</f>
        <v>0</v>
      </c>
      <c r="H768" s="459">
        <f>H767</f>
        <v>100</v>
      </c>
    </row>
    <row r="769" spans="1:8" ht="31.5" hidden="1" x14ac:dyDescent="0.25">
      <c r="A769" s="466" t="s">
        <v>131</v>
      </c>
      <c r="B769" s="462" t="s">
        <v>1054</v>
      </c>
      <c r="C769" s="469" t="s">
        <v>118</v>
      </c>
      <c r="D769" s="469" t="s">
        <v>140</v>
      </c>
      <c r="E769" s="2">
        <v>200</v>
      </c>
      <c r="F769" s="2"/>
      <c r="G769" s="459">
        <f t="shared" ref="G769:H769" si="104">G770</f>
        <v>0</v>
      </c>
      <c r="H769" s="459">
        <f t="shared" si="104"/>
        <v>0</v>
      </c>
    </row>
    <row r="770" spans="1:8" ht="47.25" hidden="1" x14ac:dyDescent="0.25">
      <c r="A770" s="466" t="s">
        <v>133</v>
      </c>
      <c r="B770" s="462" t="s">
        <v>1054</v>
      </c>
      <c r="C770" s="469" t="s">
        <v>118</v>
      </c>
      <c r="D770" s="469" t="s">
        <v>140</v>
      </c>
      <c r="E770" s="2">
        <v>240</v>
      </c>
      <c r="F770" s="2"/>
      <c r="G770" s="459">
        <f>'пр.6.1.ведом.22-23 (2)'!G544</f>
        <v>0</v>
      </c>
      <c r="H770" s="459">
        <f>'пр.6.1.ведом.22-23 (2)'!H544</f>
        <v>0</v>
      </c>
    </row>
    <row r="771" spans="1:8" ht="31.5" hidden="1" x14ac:dyDescent="0.25">
      <c r="A771" s="45" t="s">
        <v>403</v>
      </c>
      <c r="B771" s="462" t="s">
        <v>1054</v>
      </c>
      <c r="C771" s="469" t="s">
        <v>118</v>
      </c>
      <c r="D771" s="469" t="s">
        <v>140</v>
      </c>
      <c r="E771" s="2">
        <v>240</v>
      </c>
      <c r="F771" s="2">
        <v>906</v>
      </c>
      <c r="G771" s="459">
        <f>G770</f>
        <v>0</v>
      </c>
      <c r="H771" s="459">
        <f>H770</f>
        <v>0</v>
      </c>
    </row>
    <row r="772" spans="1:8" ht="31.5" x14ac:dyDescent="0.25">
      <c r="A772" s="466" t="s">
        <v>131</v>
      </c>
      <c r="B772" s="462" t="s">
        <v>1054</v>
      </c>
      <c r="C772" s="469" t="s">
        <v>118</v>
      </c>
      <c r="D772" s="469" t="s">
        <v>140</v>
      </c>
      <c r="E772" s="2">
        <v>200</v>
      </c>
      <c r="F772" s="2"/>
      <c r="G772" s="459">
        <f t="shared" ref="G772:H772" si="105">G773</f>
        <v>100</v>
      </c>
      <c r="H772" s="459">
        <f t="shared" si="105"/>
        <v>0</v>
      </c>
    </row>
    <row r="773" spans="1:8" ht="47.25" x14ac:dyDescent="0.25">
      <c r="A773" s="466" t="s">
        <v>133</v>
      </c>
      <c r="B773" s="462" t="s">
        <v>1054</v>
      </c>
      <c r="C773" s="469" t="s">
        <v>118</v>
      </c>
      <c r="D773" s="469" t="s">
        <v>140</v>
      </c>
      <c r="E773" s="2">
        <v>240</v>
      </c>
      <c r="F773" s="2"/>
      <c r="G773" s="459">
        <f>'пр.6.1.ведом.22-23 (2)'!G763</f>
        <v>100</v>
      </c>
      <c r="H773" s="459">
        <f>'пр.6.1.ведом.22-23 (2)'!H763</f>
        <v>0</v>
      </c>
    </row>
    <row r="774" spans="1:8" ht="47.25" x14ac:dyDescent="0.25">
      <c r="A774" s="45" t="s">
        <v>480</v>
      </c>
      <c r="B774" s="462" t="s">
        <v>1054</v>
      </c>
      <c r="C774" s="469" t="s">
        <v>118</v>
      </c>
      <c r="D774" s="469" t="s">
        <v>140</v>
      </c>
      <c r="E774" s="2">
        <v>240</v>
      </c>
      <c r="F774" s="2">
        <v>907</v>
      </c>
      <c r="G774" s="459">
        <f>G773</f>
        <v>100</v>
      </c>
      <c r="H774" s="459">
        <f>H773</f>
        <v>0</v>
      </c>
    </row>
    <row r="775" spans="1:8" ht="31.5" hidden="1" x14ac:dyDescent="0.25">
      <c r="A775" s="466" t="s">
        <v>336</v>
      </c>
      <c r="B775" s="462" t="s">
        <v>1059</v>
      </c>
      <c r="C775" s="469" t="s">
        <v>118</v>
      </c>
      <c r="D775" s="469" t="s">
        <v>140</v>
      </c>
      <c r="E775" s="2"/>
      <c r="F775" s="2"/>
      <c r="G775" s="459">
        <f>G776</f>
        <v>0</v>
      </c>
      <c r="H775" s="459">
        <f>H776</f>
        <v>0</v>
      </c>
    </row>
    <row r="776" spans="1:8" ht="31.5" hidden="1" x14ac:dyDescent="0.25">
      <c r="A776" s="466" t="s">
        <v>131</v>
      </c>
      <c r="B776" s="462" t="s">
        <v>1059</v>
      </c>
      <c r="C776" s="469" t="s">
        <v>118</v>
      </c>
      <c r="D776" s="469" t="s">
        <v>140</v>
      </c>
      <c r="E776" s="2">
        <v>200</v>
      </c>
      <c r="F776" s="2"/>
      <c r="G776" s="459">
        <f t="shared" ref="G776:H776" si="106">G777</f>
        <v>0</v>
      </c>
      <c r="H776" s="459">
        <f t="shared" si="106"/>
        <v>0</v>
      </c>
    </row>
    <row r="777" spans="1:8" ht="47.25" hidden="1" x14ac:dyDescent="0.25">
      <c r="A777" s="466" t="s">
        <v>133</v>
      </c>
      <c r="B777" s="462" t="s">
        <v>1059</v>
      </c>
      <c r="C777" s="469" t="s">
        <v>118</v>
      </c>
      <c r="D777" s="469" t="s">
        <v>140</v>
      </c>
      <c r="E777" s="2">
        <v>240</v>
      </c>
      <c r="F777" s="2"/>
      <c r="G777" s="459">
        <v>0</v>
      </c>
      <c r="H777" s="459">
        <v>0</v>
      </c>
    </row>
    <row r="778" spans="1:8" ht="31.5" hidden="1" x14ac:dyDescent="0.25">
      <c r="A778" s="45" t="s">
        <v>403</v>
      </c>
      <c r="B778" s="462" t="s">
        <v>1059</v>
      </c>
      <c r="C778" s="469" t="s">
        <v>118</v>
      </c>
      <c r="D778" s="469" t="s">
        <v>140</v>
      </c>
      <c r="E778" s="2">
        <v>240</v>
      </c>
      <c r="F778" s="2">
        <v>906</v>
      </c>
      <c r="G778" s="459">
        <f>G777</f>
        <v>0</v>
      </c>
      <c r="H778" s="459">
        <f>H777</f>
        <v>0</v>
      </c>
    </row>
    <row r="779" spans="1:8" ht="31.5" x14ac:dyDescent="0.25">
      <c r="A779" s="466" t="s">
        <v>338</v>
      </c>
      <c r="B779" s="462" t="s">
        <v>1055</v>
      </c>
      <c r="C779" s="469" t="s">
        <v>118</v>
      </c>
      <c r="D779" s="469" t="s">
        <v>140</v>
      </c>
      <c r="E779" s="2"/>
      <c r="F779" s="2"/>
      <c r="G779" s="459">
        <f t="shared" ref="G779:H780" si="107">G780</f>
        <v>20</v>
      </c>
      <c r="H779" s="459">
        <f t="shared" si="107"/>
        <v>20</v>
      </c>
    </row>
    <row r="780" spans="1:8" ht="31.5" x14ac:dyDescent="0.25">
      <c r="A780" s="466" t="s">
        <v>131</v>
      </c>
      <c r="B780" s="462" t="s">
        <v>1055</v>
      </c>
      <c r="C780" s="469" t="s">
        <v>118</v>
      </c>
      <c r="D780" s="469" t="s">
        <v>140</v>
      </c>
      <c r="E780" s="2">
        <v>200</v>
      </c>
      <c r="F780" s="2"/>
      <c r="G780" s="459">
        <f t="shared" si="107"/>
        <v>20</v>
      </c>
      <c r="H780" s="459">
        <f t="shared" si="107"/>
        <v>20</v>
      </c>
    </row>
    <row r="781" spans="1:8" ht="47.25" x14ac:dyDescent="0.25">
      <c r="A781" s="466" t="s">
        <v>133</v>
      </c>
      <c r="B781" s="462" t="s">
        <v>1055</v>
      </c>
      <c r="C781" s="469" t="s">
        <v>118</v>
      </c>
      <c r="D781" s="469" t="s">
        <v>140</v>
      </c>
      <c r="E781" s="2">
        <v>240</v>
      </c>
      <c r="F781" s="2"/>
      <c r="G781" s="459">
        <f>'пр.6.1.ведом.22-23 (2)'!G264</f>
        <v>20</v>
      </c>
      <c r="H781" s="459">
        <f>'пр.6.1.ведом.22-23 (2)'!H264</f>
        <v>20</v>
      </c>
    </row>
    <row r="782" spans="1:8" ht="47.25" x14ac:dyDescent="0.25">
      <c r="A782" s="466" t="s">
        <v>1079</v>
      </c>
      <c r="B782" s="462" t="s">
        <v>1055</v>
      </c>
      <c r="C782" s="469" t="s">
        <v>118</v>
      </c>
      <c r="D782" s="469" t="s">
        <v>140</v>
      </c>
      <c r="E782" s="2">
        <v>240</v>
      </c>
      <c r="F782" s="2">
        <v>903</v>
      </c>
      <c r="G782" s="459">
        <f>G781</f>
        <v>20</v>
      </c>
      <c r="H782" s="459">
        <f>H781</f>
        <v>20</v>
      </c>
    </row>
    <row r="783" spans="1:8" ht="63" hidden="1" x14ac:dyDescent="0.25">
      <c r="A783" s="31" t="s">
        <v>771</v>
      </c>
      <c r="B783" s="462" t="s">
        <v>1056</v>
      </c>
      <c r="C783" s="469" t="s">
        <v>118</v>
      </c>
      <c r="D783" s="469" t="s">
        <v>140</v>
      </c>
      <c r="E783" s="2"/>
      <c r="F783" s="2"/>
      <c r="G783" s="459">
        <f t="shared" ref="G783:H784" si="108">G784</f>
        <v>0</v>
      </c>
      <c r="H783" s="459">
        <f t="shared" si="108"/>
        <v>0</v>
      </c>
    </row>
    <row r="784" spans="1:8" ht="31.5" hidden="1" x14ac:dyDescent="0.25">
      <c r="A784" s="466" t="s">
        <v>131</v>
      </c>
      <c r="B784" s="462" t="s">
        <v>1056</v>
      </c>
      <c r="C784" s="462" t="s">
        <v>118</v>
      </c>
      <c r="D784" s="462" t="s">
        <v>140</v>
      </c>
      <c r="E784" s="462" t="s">
        <v>132</v>
      </c>
      <c r="F784" s="177"/>
      <c r="G784" s="459">
        <f t="shared" si="108"/>
        <v>0</v>
      </c>
      <c r="H784" s="459">
        <f t="shared" si="108"/>
        <v>0</v>
      </c>
    </row>
    <row r="785" spans="1:8" ht="47.25" hidden="1" x14ac:dyDescent="0.25">
      <c r="A785" s="466" t="s">
        <v>133</v>
      </c>
      <c r="B785" s="462" t="s">
        <v>1056</v>
      </c>
      <c r="C785" s="462" t="s">
        <v>118</v>
      </c>
      <c r="D785" s="462" t="s">
        <v>140</v>
      </c>
      <c r="E785" s="462" t="s">
        <v>134</v>
      </c>
      <c r="F785" s="177"/>
      <c r="G785" s="459">
        <f>'пр.6.1.ведом.22-23 (2)'!G258</f>
        <v>0</v>
      </c>
      <c r="H785" s="459">
        <f>'пр.6.1.ведом.22-23 (2)'!H258</f>
        <v>0</v>
      </c>
    </row>
    <row r="786" spans="1:8" ht="31.5" hidden="1" x14ac:dyDescent="0.25">
      <c r="A786" s="466" t="s">
        <v>403</v>
      </c>
      <c r="B786" s="462" t="s">
        <v>1056</v>
      </c>
      <c r="C786" s="469" t="s">
        <v>118</v>
      </c>
      <c r="D786" s="469" t="s">
        <v>140</v>
      </c>
      <c r="E786" s="2">
        <v>240</v>
      </c>
      <c r="F786" s="2">
        <v>906</v>
      </c>
      <c r="G786" s="459">
        <f>G785</f>
        <v>0</v>
      </c>
      <c r="H786" s="459">
        <f>H785</f>
        <v>0</v>
      </c>
    </row>
    <row r="787" spans="1:8" ht="47.25" hidden="1" x14ac:dyDescent="0.25">
      <c r="A787" s="466" t="s">
        <v>679</v>
      </c>
      <c r="B787" s="462" t="s">
        <v>1057</v>
      </c>
      <c r="C787" s="469" t="s">
        <v>118</v>
      </c>
      <c r="D787" s="469" t="s">
        <v>140</v>
      </c>
      <c r="E787" s="2"/>
      <c r="F787" s="177"/>
      <c r="G787" s="459">
        <f t="shared" ref="G787:H788" si="109">G788</f>
        <v>0</v>
      </c>
      <c r="H787" s="459">
        <f t="shared" si="109"/>
        <v>0</v>
      </c>
    </row>
    <row r="788" spans="1:8" ht="31.5" hidden="1" x14ac:dyDescent="0.25">
      <c r="A788" s="466" t="s">
        <v>131</v>
      </c>
      <c r="B788" s="462" t="s">
        <v>1057</v>
      </c>
      <c r="C788" s="469" t="s">
        <v>118</v>
      </c>
      <c r="D788" s="469" t="s">
        <v>140</v>
      </c>
      <c r="E788" s="2">
        <v>200</v>
      </c>
      <c r="F788" s="177"/>
      <c r="G788" s="459">
        <f t="shared" si="109"/>
        <v>0</v>
      </c>
      <c r="H788" s="459">
        <f t="shared" si="109"/>
        <v>0</v>
      </c>
    </row>
    <row r="789" spans="1:8" ht="47.25" hidden="1" x14ac:dyDescent="0.25">
      <c r="A789" s="466" t="s">
        <v>133</v>
      </c>
      <c r="B789" s="462" t="s">
        <v>1057</v>
      </c>
      <c r="C789" s="469" t="s">
        <v>118</v>
      </c>
      <c r="D789" s="469" t="s">
        <v>140</v>
      </c>
      <c r="E789" s="2">
        <v>240</v>
      </c>
      <c r="F789" s="177"/>
      <c r="G789" s="459">
        <f>'пр.6.1.ведом.22-23 (2)'!G261</f>
        <v>0</v>
      </c>
      <c r="H789" s="459">
        <f>'пр.6.1.ведом.22-23 (2)'!H261</f>
        <v>0</v>
      </c>
    </row>
    <row r="790" spans="1:8" ht="47.25" hidden="1" x14ac:dyDescent="0.25">
      <c r="A790" s="45" t="s">
        <v>261</v>
      </c>
      <c r="B790" s="462" t="s">
        <v>1057</v>
      </c>
      <c r="C790" s="469" t="s">
        <v>118</v>
      </c>
      <c r="D790" s="469" t="s">
        <v>140</v>
      </c>
      <c r="E790" s="2">
        <v>240</v>
      </c>
      <c r="F790" s="2">
        <v>903</v>
      </c>
      <c r="G790" s="459">
        <f>G789</f>
        <v>0</v>
      </c>
      <c r="H790" s="459">
        <f>H789</f>
        <v>0</v>
      </c>
    </row>
    <row r="791" spans="1:8" ht="31.5" hidden="1" x14ac:dyDescent="0.25">
      <c r="A791" s="31" t="s">
        <v>772</v>
      </c>
      <c r="B791" s="462" t="s">
        <v>1058</v>
      </c>
      <c r="C791" s="462" t="s">
        <v>118</v>
      </c>
      <c r="D791" s="462" t="s">
        <v>140</v>
      </c>
      <c r="E791" s="462"/>
      <c r="F791" s="177"/>
      <c r="G791" s="459">
        <f t="shared" ref="G791:H792" si="110">G792</f>
        <v>0</v>
      </c>
      <c r="H791" s="459">
        <f t="shared" si="110"/>
        <v>0</v>
      </c>
    </row>
    <row r="792" spans="1:8" ht="31.5" hidden="1" x14ac:dyDescent="0.25">
      <c r="A792" s="466" t="s">
        <v>131</v>
      </c>
      <c r="B792" s="462" t="s">
        <v>1058</v>
      </c>
      <c r="C792" s="462" t="s">
        <v>118</v>
      </c>
      <c r="D792" s="462" t="s">
        <v>140</v>
      </c>
      <c r="E792" s="462" t="s">
        <v>132</v>
      </c>
      <c r="F792" s="177"/>
      <c r="G792" s="459">
        <f t="shared" si="110"/>
        <v>0</v>
      </c>
      <c r="H792" s="459">
        <f t="shared" si="110"/>
        <v>0</v>
      </c>
    </row>
    <row r="793" spans="1:8" ht="47.25" hidden="1" x14ac:dyDescent="0.25">
      <c r="A793" s="466" t="s">
        <v>133</v>
      </c>
      <c r="B793" s="462" t="s">
        <v>1058</v>
      </c>
      <c r="C793" s="462" t="s">
        <v>118</v>
      </c>
      <c r="D793" s="462" t="s">
        <v>140</v>
      </c>
      <c r="E793" s="462" t="s">
        <v>134</v>
      </c>
      <c r="F793" s="177"/>
      <c r="G793" s="459">
        <f>'пр.6.1.ведом.22-23 (2)'!G267</f>
        <v>0</v>
      </c>
      <c r="H793" s="459">
        <f>'пр.6.1.ведом.22-23 (2)'!H267</f>
        <v>0</v>
      </c>
    </row>
    <row r="794" spans="1:8" ht="47.25" hidden="1" x14ac:dyDescent="0.25">
      <c r="A794" s="466" t="s">
        <v>1079</v>
      </c>
      <c r="B794" s="462" t="s">
        <v>1058</v>
      </c>
      <c r="C794" s="462" t="s">
        <v>118</v>
      </c>
      <c r="D794" s="462" t="s">
        <v>140</v>
      </c>
      <c r="E794" s="462" t="s">
        <v>134</v>
      </c>
      <c r="F794" s="2">
        <v>903</v>
      </c>
      <c r="G794" s="459">
        <f>G793</f>
        <v>0</v>
      </c>
      <c r="H794" s="459">
        <f>H793</f>
        <v>0</v>
      </c>
    </row>
    <row r="795" spans="1:8" ht="63" x14ac:dyDescent="0.25">
      <c r="A795" s="470" t="s">
        <v>1363</v>
      </c>
      <c r="B795" s="465" t="s">
        <v>705</v>
      </c>
      <c r="C795" s="7"/>
      <c r="D795" s="7"/>
      <c r="E795" s="3"/>
      <c r="F795" s="3"/>
      <c r="G795" s="458">
        <f>G796+G807+G846</f>
        <v>3815</v>
      </c>
      <c r="H795" s="458">
        <f>H796+H807+H846</f>
        <v>3965.9</v>
      </c>
    </row>
    <row r="796" spans="1:8" ht="63" x14ac:dyDescent="0.25">
      <c r="A796" s="210" t="s">
        <v>846</v>
      </c>
      <c r="B796" s="465" t="s">
        <v>852</v>
      </c>
      <c r="C796" s="7"/>
      <c r="D796" s="7"/>
      <c r="E796" s="3"/>
      <c r="F796" s="3"/>
      <c r="G796" s="458">
        <f>G797</f>
        <v>33</v>
      </c>
      <c r="H796" s="458">
        <f>H797</f>
        <v>33</v>
      </c>
    </row>
    <row r="797" spans="1:8" ht="15.75" x14ac:dyDescent="0.25">
      <c r="A797" s="29" t="s">
        <v>117</v>
      </c>
      <c r="B797" s="462" t="s">
        <v>852</v>
      </c>
      <c r="C797" s="469" t="s">
        <v>118</v>
      </c>
      <c r="D797" s="469"/>
      <c r="E797" s="2"/>
      <c r="F797" s="2"/>
      <c r="G797" s="459">
        <f t="shared" ref="G797:H797" si="111">G798</f>
        <v>33</v>
      </c>
      <c r="H797" s="459">
        <f t="shared" si="111"/>
        <v>33</v>
      </c>
    </row>
    <row r="798" spans="1:8" ht="15.75" x14ac:dyDescent="0.25">
      <c r="A798" s="29" t="s">
        <v>139</v>
      </c>
      <c r="B798" s="462" t="s">
        <v>852</v>
      </c>
      <c r="C798" s="469" t="s">
        <v>118</v>
      </c>
      <c r="D798" s="469" t="s">
        <v>140</v>
      </c>
      <c r="E798" s="2"/>
      <c r="F798" s="2"/>
      <c r="G798" s="459">
        <f>G799+G803</f>
        <v>33</v>
      </c>
      <c r="H798" s="459">
        <f>H799+H803</f>
        <v>33</v>
      </c>
    </row>
    <row r="799" spans="1:8" ht="47.25" x14ac:dyDescent="0.25">
      <c r="A799" s="98" t="s">
        <v>776</v>
      </c>
      <c r="B799" s="462" t="s">
        <v>847</v>
      </c>
      <c r="C799" s="469" t="s">
        <v>118</v>
      </c>
      <c r="D799" s="469" t="s">
        <v>140</v>
      </c>
      <c r="E799" s="2"/>
      <c r="F799" s="2"/>
      <c r="G799" s="459">
        <f t="shared" ref="G799:H800" si="112">G800</f>
        <v>28</v>
      </c>
      <c r="H799" s="459">
        <f t="shared" si="112"/>
        <v>28</v>
      </c>
    </row>
    <row r="800" spans="1:8" ht="31.5" x14ac:dyDescent="0.25">
      <c r="A800" s="466" t="s">
        <v>131</v>
      </c>
      <c r="B800" s="462" t="s">
        <v>847</v>
      </c>
      <c r="C800" s="469" t="s">
        <v>118</v>
      </c>
      <c r="D800" s="469" t="s">
        <v>140</v>
      </c>
      <c r="E800" s="2">
        <v>200</v>
      </c>
      <c r="F800" s="2"/>
      <c r="G800" s="459">
        <f t="shared" si="112"/>
        <v>28</v>
      </c>
      <c r="H800" s="459">
        <f t="shared" si="112"/>
        <v>28</v>
      </c>
    </row>
    <row r="801" spans="1:8" ht="47.25" x14ac:dyDescent="0.25">
      <c r="A801" s="466" t="s">
        <v>133</v>
      </c>
      <c r="B801" s="462" t="s">
        <v>847</v>
      </c>
      <c r="C801" s="469" t="s">
        <v>118</v>
      </c>
      <c r="D801" s="469" t="s">
        <v>140</v>
      </c>
      <c r="E801" s="2">
        <v>240</v>
      </c>
      <c r="F801" s="2"/>
      <c r="G801" s="459">
        <f>'пр.6.1.ведом.22-23 (2)'!G150</f>
        <v>28</v>
      </c>
      <c r="H801" s="459">
        <f>'пр.6.1.ведом.22-23 (2)'!H150</f>
        <v>28</v>
      </c>
    </row>
    <row r="802" spans="1:8" ht="31.5" x14ac:dyDescent="0.25">
      <c r="A802" s="29" t="s">
        <v>148</v>
      </c>
      <c r="B802" s="462" t="s">
        <v>847</v>
      </c>
      <c r="C802" s="469" t="s">
        <v>118</v>
      </c>
      <c r="D802" s="469" t="s">
        <v>140</v>
      </c>
      <c r="E802" s="2">
        <v>240</v>
      </c>
      <c r="F802" s="2">
        <v>902</v>
      </c>
      <c r="G802" s="459">
        <f>G801</f>
        <v>28</v>
      </c>
      <c r="H802" s="459">
        <f>H801</f>
        <v>28</v>
      </c>
    </row>
    <row r="803" spans="1:8" ht="47.25" x14ac:dyDescent="0.25">
      <c r="A803" s="98" t="s">
        <v>776</v>
      </c>
      <c r="B803" s="462" t="s">
        <v>847</v>
      </c>
      <c r="C803" s="469" t="s">
        <v>118</v>
      </c>
      <c r="D803" s="469" t="s">
        <v>140</v>
      </c>
      <c r="E803" s="2"/>
      <c r="F803" s="2"/>
      <c r="G803" s="459">
        <f>G804</f>
        <v>5</v>
      </c>
      <c r="H803" s="459">
        <f>H804</f>
        <v>5</v>
      </c>
    </row>
    <row r="804" spans="1:8" ht="31.5" x14ac:dyDescent="0.25">
      <c r="A804" s="466" t="s">
        <v>131</v>
      </c>
      <c r="B804" s="462" t="s">
        <v>847</v>
      </c>
      <c r="C804" s="469" t="s">
        <v>118</v>
      </c>
      <c r="D804" s="469" t="s">
        <v>140</v>
      </c>
      <c r="E804" s="2">
        <v>200</v>
      </c>
      <c r="F804" s="2"/>
      <c r="G804" s="459">
        <f>G805</f>
        <v>5</v>
      </c>
      <c r="H804" s="459">
        <f>H805</f>
        <v>5</v>
      </c>
    </row>
    <row r="805" spans="1:8" ht="47.25" x14ac:dyDescent="0.25">
      <c r="A805" s="466" t="s">
        <v>133</v>
      </c>
      <c r="B805" s="462" t="s">
        <v>847</v>
      </c>
      <c r="C805" s="469" t="s">
        <v>118</v>
      </c>
      <c r="D805" s="469" t="s">
        <v>140</v>
      </c>
      <c r="E805" s="2">
        <v>240</v>
      </c>
      <c r="F805" s="2"/>
      <c r="G805" s="459">
        <f>'пр.6.1.ведом.22-23 (2)'!G272</f>
        <v>5</v>
      </c>
      <c r="H805" s="459">
        <f>'пр.6.1.ведом.22-23 (2)'!H272</f>
        <v>5</v>
      </c>
    </row>
    <row r="806" spans="1:8" ht="47.25" x14ac:dyDescent="0.25">
      <c r="A806" s="45" t="s">
        <v>261</v>
      </c>
      <c r="B806" s="462" t="s">
        <v>847</v>
      </c>
      <c r="C806" s="469" t="s">
        <v>118</v>
      </c>
      <c r="D806" s="469" t="s">
        <v>140</v>
      </c>
      <c r="E806" s="2">
        <v>240</v>
      </c>
      <c r="F806" s="2">
        <v>903</v>
      </c>
      <c r="G806" s="459">
        <f>G805</f>
        <v>5</v>
      </c>
      <c r="H806" s="459">
        <f>H805</f>
        <v>5</v>
      </c>
    </row>
    <row r="807" spans="1:8" ht="63" x14ac:dyDescent="0.25">
      <c r="A807" s="470" t="s">
        <v>890</v>
      </c>
      <c r="B807" s="465" t="s">
        <v>888</v>
      </c>
      <c r="C807" s="469"/>
      <c r="D807" s="469"/>
      <c r="E807" s="2"/>
      <c r="F807" s="2"/>
      <c r="G807" s="458">
        <f>G808+G828+G834+G840</f>
        <v>3767</v>
      </c>
      <c r="H807" s="458">
        <f>H808+H828+H834+H840</f>
        <v>3917.9</v>
      </c>
    </row>
    <row r="808" spans="1:8" ht="15.75" x14ac:dyDescent="0.25">
      <c r="A808" s="29" t="s">
        <v>263</v>
      </c>
      <c r="B808" s="462" t="s">
        <v>888</v>
      </c>
      <c r="C808" s="469" t="s">
        <v>264</v>
      </c>
      <c r="D808" s="469"/>
      <c r="E808" s="2"/>
      <c r="F808" s="2"/>
      <c r="G808" s="459">
        <f>G809+G815+G819</f>
        <v>2234.3000000000002</v>
      </c>
      <c r="H808" s="459">
        <f>H809+H815+H819</f>
        <v>2323.8000000000002</v>
      </c>
    </row>
    <row r="809" spans="1:8" ht="15.75" x14ac:dyDescent="0.25">
      <c r="A809" s="29" t="s">
        <v>404</v>
      </c>
      <c r="B809" s="462" t="s">
        <v>888</v>
      </c>
      <c r="C809" s="469" t="s">
        <v>264</v>
      </c>
      <c r="D809" s="469" t="s">
        <v>118</v>
      </c>
      <c r="E809" s="2"/>
      <c r="F809" s="2"/>
      <c r="G809" s="459">
        <f t="shared" ref="G809:H811" si="113">G810</f>
        <v>570.9</v>
      </c>
      <c r="H809" s="459">
        <f t="shared" si="113"/>
        <v>593.79999999999995</v>
      </c>
    </row>
    <row r="810" spans="1:8" ht="47.25" x14ac:dyDescent="0.25">
      <c r="A810" s="45" t="s">
        <v>780</v>
      </c>
      <c r="B810" s="462" t="s">
        <v>936</v>
      </c>
      <c r="C810" s="469" t="s">
        <v>264</v>
      </c>
      <c r="D810" s="469" t="s">
        <v>118</v>
      </c>
      <c r="E810" s="2"/>
      <c r="F810" s="2"/>
      <c r="G810" s="459">
        <f t="shared" si="113"/>
        <v>570.9</v>
      </c>
      <c r="H810" s="459">
        <f t="shared" si="113"/>
        <v>593.79999999999995</v>
      </c>
    </row>
    <row r="811" spans="1:8" ht="47.25" x14ac:dyDescent="0.25">
      <c r="A811" s="29" t="s">
        <v>272</v>
      </c>
      <c r="B811" s="462" t="s">
        <v>936</v>
      </c>
      <c r="C811" s="469" t="s">
        <v>264</v>
      </c>
      <c r="D811" s="469" t="s">
        <v>118</v>
      </c>
      <c r="E811" s="2">
        <v>600</v>
      </c>
      <c r="F811" s="2"/>
      <c r="G811" s="459">
        <f t="shared" si="113"/>
        <v>570.9</v>
      </c>
      <c r="H811" s="459">
        <f t="shared" si="113"/>
        <v>593.79999999999995</v>
      </c>
    </row>
    <row r="812" spans="1:8" ht="15.75" x14ac:dyDescent="0.25">
      <c r="A812" s="182" t="s">
        <v>274</v>
      </c>
      <c r="B812" s="462" t="s">
        <v>936</v>
      </c>
      <c r="C812" s="469" t="s">
        <v>264</v>
      </c>
      <c r="D812" s="469" t="s">
        <v>118</v>
      </c>
      <c r="E812" s="2">
        <v>610</v>
      </c>
      <c r="F812" s="2"/>
      <c r="G812" s="459">
        <f>'пр.6.1.ведом.22-23 (2)'!G608</f>
        <v>570.9</v>
      </c>
      <c r="H812" s="459">
        <f>'пр.6.1.ведом.22-23 (2)'!H608</f>
        <v>593.79999999999995</v>
      </c>
    </row>
    <row r="813" spans="1:8" ht="31.5" x14ac:dyDescent="0.25">
      <c r="A813" s="29" t="s">
        <v>403</v>
      </c>
      <c r="B813" s="462" t="s">
        <v>936</v>
      </c>
      <c r="C813" s="469" t="s">
        <v>264</v>
      </c>
      <c r="D813" s="469" t="s">
        <v>118</v>
      </c>
      <c r="E813" s="2">
        <v>610</v>
      </c>
      <c r="F813" s="2">
        <v>906</v>
      </c>
      <c r="G813" s="459">
        <f>G812</f>
        <v>570.9</v>
      </c>
      <c r="H813" s="459">
        <f>H812</f>
        <v>593.79999999999995</v>
      </c>
    </row>
    <row r="814" spans="1:8" ht="15.75" x14ac:dyDescent="0.25">
      <c r="A814" s="45" t="s">
        <v>425</v>
      </c>
      <c r="B814" s="462" t="s">
        <v>888</v>
      </c>
      <c r="C814" s="469" t="s">
        <v>264</v>
      </c>
      <c r="D814" s="469" t="s">
        <v>213</v>
      </c>
      <c r="E814" s="2"/>
      <c r="F814" s="2"/>
      <c r="G814" s="459">
        <f t="shared" ref="G814:H816" si="114">G815</f>
        <v>870.5</v>
      </c>
      <c r="H814" s="459">
        <f t="shared" si="114"/>
        <v>905.3</v>
      </c>
    </row>
    <row r="815" spans="1:8" ht="47.25" x14ac:dyDescent="0.25">
      <c r="A815" s="45" t="s">
        <v>780</v>
      </c>
      <c r="B815" s="462" t="s">
        <v>936</v>
      </c>
      <c r="C815" s="469" t="s">
        <v>264</v>
      </c>
      <c r="D815" s="469" t="s">
        <v>213</v>
      </c>
      <c r="E815" s="2"/>
      <c r="F815" s="2"/>
      <c r="G815" s="459">
        <f t="shared" si="114"/>
        <v>870.5</v>
      </c>
      <c r="H815" s="459">
        <f t="shared" si="114"/>
        <v>905.3</v>
      </c>
    </row>
    <row r="816" spans="1:8" ht="47.25" x14ac:dyDescent="0.25">
      <c r="A816" s="29" t="s">
        <v>272</v>
      </c>
      <c r="B816" s="462" t="s">
        <v>936</v>
      </c>
      <c r="C816" s="469" t="s">
        <v>264</v>
      </c>
      <c r="D816" s="469" t="s">
        <v>213</v>
      </c>
      <c r="E816" s="2">
        <v>600</v>
      </c>
      <c r="F816" s="2"/>
      <c r="G816" s="459">
        <f t="shared" si="114"/>
        <v>870.5</v>
      </c>
      <c r="H816" s="459">
        <f t="shared" si="114"/>
        <v>905.3</v>
      </c>
    </row>
    <row r="817" spans="1:8" ht="15.75" x14ac:dyDescent="0.25">
      <c r="A817" s="182" t="s">
        <v>274</v>
      </c>
      <c r="B817" s="462" t="s">
        <v>936</v>
      </c>
      <c r="C817" s="469" t="s">
        <v>264</v>
      </c>
      <c r="D817" s="469" t="s">
        <v>213</v>
      </c>
      <c r="E817" s="2">
        <v>610</v>
      </c>
      <c r="F817" s="2"/>
      <c r="G817" s="459">
        <f>'пр.6.1.ведом.22-23 (2)'!G690</f>
        <v>870.5</v>
      </c>
      <c r="H817" s="459">
        <f>'пр.6.1.ведом.22-23 (2)'!H690</f>
        <v>905.3</v>
      </c>
    </row>
    <row r="818" spans="1:8" ht="31.5" x14ac:dyDescent="0.25">
      <c r="A818" s="29" t="s">
        <v>403</v>
      </c>
      <c r="B818" s="462" t="s">
        <v>936</v>
      </c>
      <c r="C818" s="469" t="s">
        <v>264</v>
      </c>
      <c r="D818" s="469" t="s">
        <v>213</v>
      </c>
      <c r="E818" s="2">
        <v>610</v>
      </c>
      <c r="F818" s="2">
        <v>906</v>
      </c>
      <c r="G818" s="459">
        <f>G817</f>
        <v>870.5</v>
      </c>
      <c r="H818" s="459">
        <f>H817</f>
        <v>905.3</v>
      </c>
    </row>
    <row r="819" spans="1:8" ht="15.75" x14ac:dyDescent="0.25">
      <c r="A819" s="45" t="s">
        <v>265</v>
      </c>
      <c r="B819" s="462" t="s">
        <v>888</v>
      </c>
      <c r="C819" s="469" t="s">
        <v>264</v>
      </c>
      <c r="D819" s="469" t="s">
        <v>215</v>
      </c>
      <c r="E819" s="2"/>
      <c r="F819" s="2"/>
      <c r="G819" s="459">
        <f>G824+G820</f>
        <v>792.9</v>
      </c>
      <c r="H819" s="459">
        <f>H824+H820</f>
        <v>824.7</v>
      </c>
    </row>
    <row r="820" spans="1:8" ht="47.25" x14ac:dyDescent="0.25">
      <c r="A820" s="98" t="s">
        <v>1004</v>
      </c>
      <c r="B820" s="462" t="s">
        <v>889</v>
      </c>
      <c r="C820" s="469" t="s">
        <v>264</v>
      </c>
      <c r="D820" s="469" t="s">
        <v>215</v>
      </c>
      <c r="E820" s="2"/>
      <c r="F820" s="2"/>
      <c r="G820" s="459">
        <f>G821</f>
        <v>490.2</v>
      </c>
      <c r="H820" s="459">
        <f>H821</f>
        <v>509.8</v>
      </c>
    </row>
    <row r="821" spans="1:8" ht="31.5" x14ac:dyDescent="0.25">
      <c r="A821" s="466" t="s">
        <v>131</v>
      </c>
      <c r="B821" s="462" t="s">
        <v>889</v>
      </c>
      <c r="C821" s="469" t="s">
        <v>264</v>
      </c>
      <c r="D821" s="469" t="s">
        <v>215</v>
      </c>
      <c r="E821" s="2">
        <v>200</v>
      </c>
      <c r="F821" s="2"/>
      <c r="G821" s="459">
        <f>G822</f>
        <v>490.2</v>
      </c>
      <c r="H821" s="459">
        <f>H822</f>
        <v>509.8</v>
      </c>
    </row>
    <row r="822" spans="1:8" ht="47.25" x14ac:dyDescent="0.25">
      <c r="A822" s="466" t="s">
        <v>133</v>
      </c>
      <c r="B822" s="462" t="s">
        <v>889</v>
      </c>
      <c r="C822" s="469" t="s">
        <v>264</v>
      </c>
      <c r="D822" s="469" t="s">
        <v>215</v>
      </c>
      <c r="E822" s="2">
        <v>240</v>
      </c>
      <c r="F822" s="2"/>
      <c r="G822" s="459">
        <f>'пр.6.1.ведом.22-23 (2)'!G336</f>
        <v>490.2</v>
      </c>
      <c r="H822" s="459">
        <f>'пр.6.1.ведом.22-23 (2)'!H336</f>
        <v>509.8</v>
      </c>
    </row>
    <row r="823" spans="1:8" ht="47.25" x14ac:dyDescent="0.25">
      <c r="A823" s="45" t="s">
        <v>261</v>
      </c>
      <c r="B823" s="462" t="s">
        <v>889</v>
      </c>
      <c r="C823" s="469" t="s">
        <v>264</v>
      </c>
      <c r="D823" s="469" t="s">
        <v>215</v>
      </c>
      <c r="E823" s="2">
        <v>240</v>
      </c>
      <c r="F823" s="2">
        <v>903</v>
      </c>
      <c r="G823" s="459">
        <f>'пр.6.1.ведом.22-23 (2)'!G336</f>
        <v>490.2</v>
      </c>
      <c r="H823" s="459">
        <f>'пр.6.1.ведом.22-23 (2)'!H336</f>
        <v>509.8</v>
      </c>
    </row>
    <row r="824" spans="1:8" ht="47.25" x14ac:dyDescent="0.25">
      <c r="A824" s="45" t="s">
        <v>780</v>
      </c>
      <c r="B824" s="462" t="s">
        <v>936</v>
      </c>
      <c r="C824" s="469" t="s">
        <v>264</v>
      </c>
      <c r="D824" s="469" t="s">
        <v>215</v>
      </c>
      <c r="E824" s="2"/>
      <c r="F824" s="2"/>
      <c r="G824" s="459">
        <f>G825</f>
        <v>302.7</v>
      </c>
      <c r="H824" s="459">
        <f>H825</f>
        <v>314.89999999999998</v>
      </c>
    </row>
    <row r="825" spans="1:8" ht="47.25" x14ac:dyDescent="0.25">
      <c r="A825" s="29" t="s">
        <v>272</v>
      </c>
      <c r="B825" s="462" t="s">
        <v>936</v>
      </c>
      <c r="C825" s="469" t="s">
        <v>264</v>
      </c>
      <c r="D825" s="469" t="s">
        <v>215</v>
      </c>
      <c r="E825" s="2">
        <v>600</v>
      </c>
      <c r="F825" s="2"/>
      <c r="G825" s="459">
        <f>G826</f>
        <v>302.7</v>
      </c>
      <c r="H825" s="459">
        <f>H826</f>
        <v>314.89999999999998</v>
      </c>
    </row>
    <row r="826" spans="1:8" ht="15.75" x14ac:dyDescent="0.25">
      <c r="A826" s="182" t="s">
        <v>274</v>
      </c>
      <c r="B826" s="462" t="s">
        <v>936</v>
      </c>
      <c r="C826" s="469" t="s">
        <v>264</v>
      </c>
      <c r="D826" s="469" t="s">
        <v>215</v>
      </c>
      <c r="E826" s="2">
        <v>610</v>
      </c>
      <c r="F826" s="2"/>
      <c r="G826" s="459">
        <f>'пр.6.1.ведом.22-23 (2)'!G719</f>
        <v>302.7</v>
      </c>
      <c r="H826" s="459">
        <f>'пр.6.1.ведом.22-23 (2)'!H719</f>
        <v>314.89999999999998</v>
      </c>
    </row>
    <row r="827" spans="1:8" ht="31.5" x14ac:dyDescent="0.25">
      <c r="A827" s="29" t="s">
        <v>403</v>
      </c>
      <c r="B827" s="462" t="s">
        <v>936</v>
      </c>
      <c r="C827" s="469" t="s">
        <v>264</v>
      </c>
      <c r="D827" s="469" t="s">
        <v>215</v>
      </c>
      <c r="E827" s="2">
        <v>610</v>
      </c>
      <c r="F827" s="2">
        <v>906</v>
      </c>
      <c r="G827" s="459">
        <f>G826</f>
        <v>302.7</v>
      </c>
      <c r="H827" s="459">
        <f>H826</f>
        <v>314.89999999999998</v>
      </c>
    </row>
    <row r="828" spans="1:8" ht="15.75" x14ac:dyDescent="0.25">
      <c r="A828" s="466" t="s">
        <v>298</v>
      </c>
      <c r="B828" s="462" t="s">
        <v>888</v>
      </c>
      <c r="C828" s="469" t="s">
        <v>299</v>
      </c>
      <c r="D828" s="469"/>
      <c r="E828" s="2"/>
      <c r="F828" s="2"/>
      <c r="G828" s="459">
        <f t="shared" ref="G828:H831" si="115">G829</f>
        <v>878.7</v>
      </c>
      <c r="H828" s="459">
        <f t="shared" si="115"/>
        <v>913.9</v>
      </c>
    </row>
    <row r="829" spans="1:8" ht="15.75" x14ac:dyDescent="0.25">
      <c r="A829" s="466" t="s">
        <v>300</v>
      </c>
      <c r="B829" s="462" t="s">
        <v>888</v>
      </c>
      <c r="C829" s="469" t="s">
        <v>299</v>
      </c>
      <c r="D829" s="469" t="s">
        <v>118</v>
      </c>
      <c r="E829" s="2"/>
      <c r="F829" s="2"/>
      <c r="G829" s="459">
        <f t="shared" si="115"/>
        <v>878.7</v>
      </c>
      <c r="H829" s="459">
        <f t="shared" si="115"/>
        <v>913.9</v>
      </c>
    </row>
    <row r="830" spans="1:8" ht="32.25" customHeight="1" x14ac:dyDescent="0.25">
      <c r="A830" s="45" t="s">
        <v>778</v>
      </c>
      <c r="B830" s="462" t="s">
        <v>889</v>
      </c>
      <c r="C830" s="469" t="s">
        <v>299</v>
      </c>
      <c r="D830" s="469" t="s">
        <v>118</v>
      </c>
      <c r="E830" s="2"/>
      <c r="F830" s="2"/>
      <c r="G830" s="459">
        <f t="shared" si="115"/>
        <v>878.7</v>
      </c>
      <c r="H830" s="459">
        <f t="shared" si="115"/>
        <v>913.9</v>
      </c>
    </row>
    <row r="831" spans="1:8" ht="31.5" x14ac:dyDescent="0.25">
      <c r="A831" s="466" t="s">
        <v>131</v>
      </c>
      <c r="B831" s="462" t="s">
        <v>889</v>
      </c>
      <c r="C831" s="469" t="s">
        <v>299</v>
      </c>
      <c r="D831" s="469" t="s">
        <v>118</v>
      </c>
      <c r="E831" s="2">
        <v>200</v>
      </c>
      <c r="F831" s="2"/>
      <c r="G831" s="459">
        <f t="shared" si="115"/>
        <v>878.7</v>
      </c>
      <c r="H831" s="459">
        <f t="shared" si="115"/>
        <v>913.9</v>
      </c>
    </row>
    <row r="832" spans="1:8" ht="47.25" x14ac:dyDescent="0.25">
      <c r="A832" s="466" t="s">
        <v>133</v>
      </c>
      <c r="B832" s="462" t="s">
        <v>889</v>
      </c>
      <c r="C832" s="469" t="s">
        <v>299</v>
      </c>
      <c r="D832" s="469" t="s">
        <v>118</v>
      </c>
      <c r="E832" s="2">
        <v>240</v>
      </c>
      <c r="F832" s="2"/>
      <c r="G832" s="459">
        <f>'пр.6.1.ведом.22-23 (2)'!G410</f>
        <v>878.7</v>
      </c>
      <c r="H832" s="459">
        <f>'пр.6.1.ведом.22-23 (2)'!H410</f>
        <v>913.9</v>
      </c>
    </row>
    <row r="833" spans="1:8" ht="47.25" x14ac:dyDescent="0.25">
      <c r="A833" s="45" t="s">
        <v>261</v>
      </c>
      <c r="B833" s="462" t="s">
        <v>889</v>
      </c>
      <c r="C833" s="469" t="s">
        <v>299</v>
      </c>
      <c r="D833" s="469" t="s">
        <v>118</v>
      </c>
      <c r="E833" s="2">
        <v>240</v>
      </c>
      <c r="F833" s="2">
        <v>903</v>
      </c>
      <c r="G833" s="459">
        <f>G832</f>
        <v>878.7</v>
      </c>
      <c r="H833" s="459">
        <f>H832</f>
        <v>913.9</v>
      </c>
    </row>
    <row r="834" spans="1:8" ht="15.75" x14ac:dyDescent="0.25">
      <c r="A834" s="466" t="s">
        <v>490</v>
      </c>
      <c r="B834" s="462" t="s">
        <v>888</v>
      </c>
      <c r="C834" s="469" t="s">
        <v>491</v>
      </c>
      <c r="D834" s="469"/>
      <c r="E834" s="2"/>
      <c r="F834" s="2"/>
      <c r="G834" s="459">
        <f t="shared" ref="G834:H837" si="116">G835</f>
        <v>579.1</v>
      </c>
      <c r="H834" s="459">
        <f t="shared" si="116"/>
        <v>602.29999999999995</v>
      </c>
    </row>
    <row r="835" spans="1:8" ht="15.75" x14ac:dyDescent="0.25">
      <c r="A835" s="466" t="s">
        <v>1081</v>
      </c>
      <c r="B835" s="462" t="s">
        <v>888</v>
      </c>
      <c r="C835" s="469" t="s">
        <v>491</v>
      </c>
      <c r="D835" s="469" t="s">
        <v>118</v>
      </c>
      <c r="E835" s="2"/>
      <c r="F835" s="2"/>
      <c r="G835" s="459">
        <f t="shared" si="116"/>
        <v>579.1</v>
      </c>
      <c r="H835" s="459">
        <f t="shared" si="116"/>
        <v>602.29999999999995</v>
      </c>
    </row>
    <row r="836" spans="1:8" ht="47.25" x14ac:dyDescent="0.25">
      <c r="A836" s="45" t="s">
        <v>780</v>
      </c>
      <c r="B836" s="462" t="s">
        <v>936</v>
      </c>
      <c r="C836" s="469" t="s">
        <v>491</v>
      </c>
      <c r="D836" s="469" t="s">
        <v>118</v>
      </c>
      <c r="E836" s="2"/>
      <c r="F836" s="2"/>
      <c r="G836" s="459">
        <f t="shared" si="116"/>
        <v>579.1</v>
      </c>
      <c r="H836" s="459">
        <f t="shared" si="116"/>
        <v>602.29999999999995</v>
      </c>
    </row>
    <row r="837" spans="1:8" ht="47.25" x14ac:dyDescent="0.25">
      <c r="A837" s="29" t="s">
        <v>272</v>
      </c>
      <c r="B837" s="462" t="s">
        <v>936</v>
      </c>
      <c r="C837" s="469" t="s">
        <v>491</v>
      </c>
      <c r="D837" s="469" t="s">
        <v>118</v>
      </c>
      <c r="E837" s="2">
        <v>600</v>
      </c>
      <c r="F837" s="2"/>
      <c r="G837" s="459">
        <f t="shared" si="116"/>
        <v>579.1</v>
      </c>
      <c r="H837" s="459">
        <f t="shared" si="116"/>
        <v>602.29999999999995</v>
      </c>
    </row>
    <row r="838" spans="1:8" ht="15.75" x14ac:dyDescent="0.25">
      <c r="A838" s="182" t="s">
        <v>274</v>
      </c>
      <c r="B838" s="462" t="s">
        <v>936</v>
      </c>
      <c r="C838" s="469" t="s">
        <v>491</v>
      </c>
      <c r="D838" s="469" t="s">
        <v>118</v>
      </c>
      <c r="E838" s="2">
        <v>610</v>
      </c>
      <c r="F838" s="2"/>
      <c r="G838" s="459">
        <f>'пр.6.1.ведом.22-23 (2)'!G802</f>
        <v>579.1</v>
      </c>
      <c r="H838" s="459">
        <f>'пр.6.1.ведом.22-23 (2)'!H802</f>
        <v>602.29999999999995</v>
      </c>
    </row>
    <row r="839" spans="1:8" ht="47.25" x14ac:dyDescent="0.25">
      <c r="A839" s="45" t="s">
        <v>480</v>
      </c>
      <c r="B839" s="462" t="s">
        <v>936</v>
      </c>
      <c r="C839" s="469" t="s">
        <v>491</v>
      </c>
      <c r="D839" s="469" t="s">
        <v>118</v>
      </c>
      <c r="E839" s="2">
        <v>610</v>
      </c>
      <c r="F839" s="2">
        <v>907</v>
      </c>
      <c r="G839" s="459">
        <f>G838</f>
        <v>579.1</v>
      </c>
      <c r="H839" s="459">
        <f>H838</f>
        <v>602.29999999999995</v>
      </c>
    </row>
    <row r="840" spans="1:8" ht="15.75" x14ac:dyDescent="0.25">
      <c r="A840" s="29" t="s">
        <v>582</v>
      </c>
      <c r="B840" s="462" t="s">
        <v>888</v>
      </c>
      <c r="C840" s="469" t="s">
        <v>238</v>
      </c>
      <c r="D840" s="469"/>
      <c r="E840" s="2"/>
      <c r="F840" s="2"/>
      <c r="G840" s="459">
        <f t="shared" ref="G840:H843" si="117">G841</f>
        <v>74.900000000000006</v>
      </c>
      <c r="H840" s="459">
        <f t="shared" si="117"/>
        <v>77.900000000000006</v>
      </c>
    </row>
    <row r="841" spans="1:8" ht="15.75" x14ac:dyDescent="0.25">
      <c r="A841" s="29" t="s">
        <v>583</v>
      </c>
      <c r="B841" s="462" t="s">
        <v>888</v>
      </c>
      <c r="C841" s="469" t="s">
        <v>238</v>
      </c>
      <c r="D841" s="469" t="s">
        <v>213</v>
      </c>
      <c r="E841" s="2"/>
      <c r="F841" s="2"/>
      <c r="G841" s="459">
        <f t="shared" si="117"/>
        <v>74.900000000000006</v>
      </c>
      <c r="H841" s="459">
        <f t="shared" si="117"/>
        <v>77.900000000000006</v>
      </c>
    </row>
    <row r="842" spans="1:8" ht="47.25" x14ac:dyDescent="0.25">
      <c r="A842" s="45" t="s">
        <v>778</v>
      </c>
      <c r="B842" s="462" t="s">
        <v>889</v>
      </c>
      <c r="C842" s="469" t="s">
        <v>238</v>
      </c>
      <c r="D842" s="469" t="s">
        <v>213</v>
      </c>
      <c r="E842" s="2"/>
      <c r="F842" s="2"/>
      <c r="G842" s="459">
        <f t="shared" si="117"/>
        <v>74.900000000000006</v>
      </c>
      <c r="H842" s="459">
        <f t="shared" si="117"/>
        <v>77.900000000000006</v>
      </c>
    </row>
    <row r="843" spans="1:8" ht="31.5" x14ac:dyDescent="0.25">
      <c r="A843" s="466" t="s">
        <v>131</v>
      </c>
      <c r="B843" s="462" t="s">
        <v>889</v>
      </c>
      <c r="C843" s="469" t="s">
        <v>238</v>
      </c>
      <c r="D843" s="469" t="s">
        <v>213</v>
      </c>
      <c r="E843" s="2">
        <v>200</v>
      </c>
      <c r="F843" s="2"/>
      <c r="G843" s="459">
        <f t="shared" si="117"/>
        <v>74.900000000000006</v>
      </c>
      <c r="H843" s="459">
        <f t="shared" si="117"/>
        <v>77.900000000000006</v>
      </c>
    </row>
    <row r="844" spans="1:8" ht="47.25" x14ac:dyDescent="0.25">
      <c r="A844" s="466" t="s">
        <v>133</v>
      </c>
      <c r="B844" s="462" t="s">
        <v>889</v>
      </c>
      <c r="C844" s="469" t="s">
        <v>238</v>
      </c>
      <c r="D844" s="469" t="s">
        <v>213</v>
      </c>
      <c r="E844" s="2">
        <v>240</v>
      </c>
      <c r="F844" s="2"/>
      <c r="G844" s="459">
        <f>'пр.6.1.ведом.22-23 (2)'!G487</f>
        <v>74.900000000000006</v>
      </c>
      <c r="H844" s="459">
        <f>'пр.6.1.ведом.22-23 (2)'!H487</f>
        <v>77.900000000000006</v>
      </c>
    </row>
    <row r="845" spans="1:8" ht="47.25" x14ac:dyDescent="0.25">
      <c r="A845" s="45" t="s">
        <v>261</v>
      </c>
      <c r="B845" s="462" t="s">
        <v>889</v>
      </c>
      <c r="C845" s="469" t="s">
        <v>238</v>
      </c>
      <c r="D845" s="469" t="s">
        <v>213</v>
      </c>
      <c r="E845" s="2">
        <v>240</v>
      </c>
      <c r="F845" s="2">
        <v>903</v>
      </c>
      <c r="G845" s="459">
        <f>G840</f>
        <v>74.900000000000006</v>
      </c>
      <c r="H845" s="459">
        <f>H840</f>
        <v>77.900000000000006</v>
      </c>
    </row>
    <row r="846" spans="1:8" ht="47.25" x14ac:dyDescent="0.25">
      <c r="A846" s="473" t="s">
        <v>1023</v>
      </c>
      <c r="B846" s="465" t="s">
        <v>853</v>
      </c>
      <c r="C846" s="7"/>
      <c r="D846" s="7"/>
      <c r="E846" s="3"/>
      <c r="F846" s="3"/>
      <c r="G846" s="458">
        <f t="shared" ref="G846:H850" si="118">G847</f>
        <v>15</v>
      </c>
      <c r="H846" s="458">
        <f t="shared" si="118"/>
        <v>15</v>
      </c>
    </row>
    <row r="847" spans="1:8" ht="15.75" x14ac:dyDescent="0.25">
      <c r="A847" s="223" t="s">
        <v>117</v>
      </c>
      <c r="B847" s="462" t="s">
        <v>853</v>
      </c>
      <c r="C847" s="469" t="s">
        <v>118</v>
      </c>
      <c r="D847" s="469"/>
      <c r="E847" s="2"/>
      <c r="F847" s="2"/>
      <c r="G847" s="459">
        <f t="shared" si="118"/>
        <v>15</v>
      </c>
      <c r="H847" s="459">
        <f t="shared" si="118"/>
        <v>15</v>
      </c>
    </row>
    <row r="848" spans="1:8" ht="15.75" x14ac:dyDescent="0.25">
      <c r="A848" s="223" t="s">
        <v>139</v>
      </c>
      <c r="B848" s="462" t="s">
        <v>853</v>
      </c>
      <c r="C848" s="469" t="s">
        <v>118</v>
      </c>
      <c r="D848" s="469" t="s">
        <v>140</v>
      </c>
      <c r="E848" s="2"/>
      <c r="F848" s="2"/>
      <c r="G848" s="459">
        <f t="shared" si="118"/>
        <v>15</v>
      </c>
      <c r="H848" s="459">
        <f t="shared" si="118"/>
        <v>15</v>
      </c>
    </row>
    <row r="849" spans="1:8" ht="56.25" customHeight="1" x14ac:dyDescent="0.25">
      <c r="A849" s="252" t="s">
        <v>1005</v>
      </c>
      <c r="B849" s="462" t="s">
        <v>848</v>
      </c>
      <c r="C849" s="469" t="s">
        <v>118</v>
      </c>
      <c r="D849" s="469" t="s">
        <v>140</v>
      </c>
      <c r="E849" s="2"/>
      <c r="F849" s="2"/>
      <c r="G849" s="459">
        <f t="shared" si="118"/>
        <v>15</v>
      </c>
      <c r="H849" s="459">
        <f t="shared" si="118"/>
        <v>15</v>
      </c>
    </row>
    <row r="850" spans="1:8" ht="31.5" x14ac:dyDescent="0.25">
      <c r="A850" s="466" t="s">
        <v>131</v>
      </c>
      <c r="B850" s="462" t="s">
        <v>848</v>
      </c>
      <c r="C850" s="469" t="s">
        <v>118</v>
      </c>
      <c r="D850" s="469" t="s">
        <v>140</v>
      </c>
      <c r="E850" s="2">
        <v>200</v>
      </c>
      <c r="F850" s="2"/>
      <c r="G850" s="459">
        <f t="shared" si="118"/>
        <v>15</v>
      </c>
      <c r="H850" s="459">
        <f t="shared" si="118"/>
        <v>15</v>
      </c>
    </row>
    <row r="851" spans="1:8" ht="47.25" x14ac:dyDescent="0.25">
      <c r="A851" s="466" t="s">
        <v>133</v>
      </c>
      <c r="B851" s="462" t="s">
        <v>848</v>
      </c>
      <c r="C851" s="469" t="s">
        <v>118</v>
      </c>
      <c r="D851" s="469" t="s">
        <v>140</v>
      </c>
      <c r="E851" s="2">
        <v>240</v>
      </c>
      <c r="F851" s="2"/>
      <c r="G851" s="459">
        <f>'пр.6.1.ведом.22-23 (2)'!G154</f>
        <v>15</v>
      </c>
      <c r="H851" s="459">
        <f>'пр.6.1.ведом.22-23 (2)'!H154</f>
        <v>15</v>
      </c>
    </row>
    <row r="852" spans="1:8" ht="31.5" x14ac:dyDescent="0.25">
      <c r="A852" s="29" t="s">
        <v>148</v>
      </c>
      <c r="B852" s="462" t="s">
        <v>848</v>
      </c>
      <c r="C852" s="469" t="s">
        <v>118</v>
      </c>
      <c r="D852" s="469" t="s">
        <v>140</v>
      </c>
      <c r="E852" s="2">
        <v>240</v>
      </c>
      <c r="F852" s="2">
        <v>902</v>
      </c>
      <c r="G852" s="459">
        <f>G851</f>
        <v>15</v>
      </c>
      <c r="H852" s="459">
        <f>H851</f>
        <v>15</v>
      </c>
    </row>
    <row r="853" spans="1:8" ht="78.75" x14ac:dyDescent="0.25">
      <c r="A853" s="464" t="s">
        <v>1547</v>
      </c>
      <c r="B853" s="465" t="s">
        <v>711</v>
      </c>
      <c r="C853" s="7"/>
      <c r="D853" s="7"/>
      <c r="E853" s="3"/>
      <c r="F853" s="3"/>
      <c r="G853" s="458">
        <f>G854</f>
        <v>500</v>
      </c>
      <c r="H853" s="458">
        <f>H854</f>
        <v>500</v>
      </c>
    </row>
    <row r="854" spans="1:8" ht="31.5" x14ac:dyDescent="0.25">
      <c r="A854" s="464" t="s">
        <v>1069</v>
      </c>
      <c r="B854" s="465" t="s">
        <v>1091</v>
      </c>
      <c r="C854" s="7"/>
      <c r="D854" s="7"/>
      <c r="E854" s="3"/>
      <c r="F854" s="3"/>
      <c r="G854" s="458">
        <f>G855</f>
        <v>500</v>
      </c>
      <c r="H854" s="458">
        <f>H855</f>
        <v>500</v>
      </c>
    </row>
    <row r="855" spans="1:8" ht="15.75" x14ac:dyDescent="0.25">
      <c r="A855" s="466" t="s">
        <v>390</v>
      </c>
      <c r="B855" s="462" t="s">
        <v>835</v>
      </c>
      <c r="C855" s="469" t="s">
        <v>234</v>
      </c>
      <c r="D855" s="469"/>
      <c r="E855" s="2"/>
      <c r="F855" s="2"/>
      <c r="G855" s="459">
        <f t="shared" ref="G855:H858" si="119">G856</f>
        <v>500</v>
      </c>
      <c r="H855" s="459">
        <f t="shared" si="119"/>
        <v>500</v>
      </c>
    </row>
    <row r="856" spans="1:8" ht="15.75" x14ac:dyDescent="0.25">
      <c r="A856" s="466" t="s">
        <v>541</v>
      </c>
      <c r="B856" s="462" t="s">
        <v>835</v>
      </c>
      <c r="C856" s="469" t="s">
        <v>234</v>
      </c>
      <c r="D856" s="469" t="s">
        <v>215</v>
      </c>
      <c r="E856" s="2"/>
      <c r="F856" s="2"/>
      <c r="G856" s="459">
        <f t="shared" si="119"/>
        <v>500</v>
      </c>
      <c r="H856" s="459">
        <f t="shared" si="119"/>
        <v>500</v>
      </c>
    </row>
    <row r="857" spans="1:8" ht="63" x14ac:dyDescent="0.25">
      <c r="A857" s="80" t="s">
        <v>693</v>
      </c>
      <c r="B857" s="462" t="s">
        <v>835</v>
      </c>
      <c r="C857" s="469" t="s">
        <v>234</v>
      </c>
      <c r="D857" s="469" t="s">
        <v>215</v>
      </c>
      <c r="E857" s="2"/>
      <c r="F857" s="2"/>
      <c r="G857" s="459">
        <f t="shared" si="119"/>
        <v>500</v>
      </c>
      <c r="H857" s="459">
        <f t="shared" si="119"/>
        <v>500</v>
      </c>
    </row>
    <row r="858" spans="1:8" ht="31.5" x14ac:dyDescent="0.25">
      <c r="A858" s="466" t="s">
        <v>131</v>
      </c>
      <c r="B858" s="462" t="s">
        <v>835</v>
      </c>
      <c r="C858" s="469" t="s">
        <v>234</v>
      </c>
      <c r="D858" s="469" t="s">
        <v>215</v>
      </c>
      <c r="E858" s="2">
        <v>200</v>
      </c>
      <c r="F858" s="2"/>
      <c r="G858" s="459">
        <f t="shared" si="119"/>
        <v>500</v>
      </c>
      <c r="H858" s="459">
        <f t="shared" si="119"/>
        <v>500</v>
      </c>
    </row>
    <row r="859" spans="1:8" ht="47.25" x14ac:dyDescent="0.25">
      <c r="A859" s="466" t="s">
        <v>133</v>
      </c>
      <c r="B859" s="462" t="s">
        <v>835</v>
      </c>
      <c r="C859" s="469" t="s">
        <v>234</v>
      </c>
      <c r="D859" s="469" t="s">
        <v>215</v>
      </c>
      <c r="E859" s="2">
        <v>240</v>
      </c>
      <c r="F859" s="2"/>
      <c r="G859" s="459">
        <f>'пр.6.1.ведом.22-23 (2)'!G1002</f>
        <v>500</v>
      </c>
      <c r="H859" s="459">
        <f>'пр.6.1.ведом.22-23 (2)'!H1002</f>
        <v>500</v>
      </c>
    </row>
    <row r="860" spans="1:8" ht="47.25" x14ac:dyDescent="0.25">
      <c r="A860" s="45" t="s">
        <v>623</v>
      </c>
      <c r="B860" s="462" t="s">
        <v>835</v>
      </c>
      <c r="C860" s="469" t="s">
        <v>234</v>
      </c>
      <c r="D860" s="469" t="s">
        <v>215</v>
      </c>
      <c r="E860" s="2">
        <v>240</v>
      </c>
      <c r="F860" s="2">
        <v>908</v>
      </c>
      <c r="G860" s="459">
        <f>G859</f>
        <v>500</v>
      </c>
      <c r="H860" s="459">
        <f>H859</f>
        <v>500</v>
      </c>
    </row>
    <row r="861" spans="1:8" ht="78.75" hidden="1" x14ac:dyDescent="0.25">
      <c r="A861" s="58" t="s">
        <v>1365</v>
      </c>
      <c r="B861" s="465" t="s">
        <v>782</v>
      </c>
      <c r="C861" s="7"/>
      <c r="D861" s="7"/>
      <c r="E861" s="3"/>
      <c r="F861" s="3"/>
      <c r="G861" s="458">
        <f>G863</f>
        <v>0</v>
      </c>
      <c r="H861" s="458">
        <f>H863</f>
        <v>0</v>
      </c>
    </row>
    <row r="862" spans="1:8" ht="31.5" hidden="1" x14ac:dyDescent="0.25">
      <c r="A862" s="464" t="s">
        <v>930</v>
      </c>
      <c r="B862" s="465" t="s">
        <v>1020</v>
      </c>
      <c r="C862" s="7"/>
      <c r="D862" s="7"/>
      <c r="E862" s="3"/>
      <c r="F862" s="3"/>
      <c r="G862" s="458">
        <f t="shared" ref="G862:H866" si="120">G863</f>
        <v>0</v>
      </c>
      <c r="H862" s="458">
        <f t="shared" si="120"/>
        <v>0</v>
      </c>
    </row>
    <row r="863" spans="1:8" ht="15.75" hidden="1" x14ac:dyDescent="0.25">
      <c r="A863" s="45" t="s">
        <v>117</v>
      </c>
      <c r="B863" s="462" t="s">
        <v>1020</v>
      </c>
      <c r="C863" s="469" t="s">
        <v>118</v>
      </c>
      <c r="D863" s="469"/>
      <c r="E863" s="2"/>
      <c r="F863" s="2"/>
      <c r="G863" s="459">
        <f t="shared" si="120"/>
        <v>0</v>
      </c>
      <c r="H863" s="459">
        <f t="shared" si="120"/>
        <v>0</v>
      </c>
    </row>
    <row r="864" spans="1:8" ht="15.75" hidden="1" x14ac:dyDescent="0.25">
      <c r="A864" s="45" t="s">
        <v>139</v>
      </c>
      <c r="B864" s="462" t="s">
        <v>1020</v>
      </c>
      <c r="C864" s="469" t="s">
        <v>118</v>
      </c>
      <c r="D864" s="469" t="s">
        <v>140</v>
      </c>
      <c r="E864" s="2"/>
      <c r="F864" s="2"/>
      <c r="G864" s="459">
        <f t="shared" si="120"/>
        <v>0</v>
      </c>
      <c r="H864" s="459">
        <f t="shared" si="120"/>
        <v>0</v>
      </c>
    </row>
    <row r="865" spans="1:10" ht="31.5" hidden="1" x14ac:dyDescent="0.25">
      <c r="A865" s="45" t="s">
        <v>790</v>
      </c>
      <c r="B865" s="462" t="s">
        <v>1021</v>
      </c>
      <c r="C865" s="469" t="s">
        <v>118</v>
      </c>
      <c r="D865" s="469" t="s">
        <v>140</v>
      </c>
      <c r="E865" s="2"/>
      <c r="F865" s="2"/>
      <c r="G865" s="459">
        <f t="shared" si="120"/>
        <v>0</v>
      </c>
      <c r="H865" s="459">
        <f t="shared" si="120"/>
        <v>0</v>
      </c>
    </row>
    <row r="866" spans="1:10" ht="31.5" hidden="1" x14ac:dyDescent="0.25">
      <c r="A866" s="45" t="s">
        <v>131</v>
      </c>
      <c r="B866" s="462" t="s">
        <v>1021</v>
      </c>
      <c r="C866" s="469" t="s">
        <v>118</v>
      </c>
      <c r="D866" s="469" t="s">
        <v>140</v>
      </c>
      <c r="E866" s="2">
        <v>200</v>
      </c>
      <c r="F866" s="2"/>
      <c r="G866" s="459">
        <f t="shared" si="120"/>
        <v>0</v>
      </c>
      <c r="H866" s="459">
        <f t="shared" si="120"/>
        <v>0</v>
      </c>
    </row>
    <row r="867" spans="1:10" ht="47.25" hidden="1" x14ac:dyDescent="0.25">
      <c r="A867" s="45" t="s">
        <v>133</v>
      </c>
      <c r="B867" s="462" t="s">
        <v>1021</v>
      </c>
      <c r="C867" s="469" t="s">
        <v>118</v>
      </c>
      <c r="D867" s="469" t="s">
        <v>140</v>
      </c>
      <c r="E867" s="2">
        <v>240</v>
      </c>
      <c r="F867" s="2"/>
      <c r="G867" s="459">
        <f>'пр.6.1.ведом.22-23 (2)'!G520</f>
        <v>0</v>
      </c>
      <c r="H867" s="459">
        <f>'пр.6.1.ведом.22-23 (2)'!H520</f>
        <v>0</v>
      </c>
    </row>
    <row r="868" spans="1:10" ht="47.25" hidden="1" x14ac:dyDescent="0.25">
      <c r="A868" s="45" t="s">
        <v>1396</v>
      </c>
      <c r="B868" s="462" t="s">
        <v>1021</v>
      </c>
      <c r="C868" s="469" t="s">
        <v>118</v>
      </c>
      <c r="D868" s="469" t="s">
        <v>140</v>
      </c>
      <c r="E868" s="2">
        <v>240</v>
      </c>
      <c r="F868" s="2">
        <v>905</v>
      </c>
      <c r="G868" s="459">
        <f>G867</f>
        <v>0</v>
      </c>
      <c r="H868" s="459">
        <f>H867</f>
        <v>0</v>
      </c>
    </row>
    <row r="869" spans="1:10" ht="94.5" x14ac:dyDescent="0.25">
      <c r="A869" s="470" t="s">
        <v>1376</v>
      </c>
      <c r="B869" s="465" t="s">
        <v>817</v>
      </c>
      <c r="C869" s="7"/>
      <c r="D869" s="7"/>
      <c r="E869" s="3"/>
      <c r="F869" s="3"/>
      <c r="G869" s="458">
        <f>G871</f>
        <v>45</v>
      </c>
      <c r="H869" s="458">
        <f>H871</f>
        <v>50</v>
      </c>
    </row>
    <row r="870" spans="1:10" ht="47.25" x14ac:dyDescent="0.25">
      <c r="A870" s="212" t="s">
        <v>854</v>
      </c>
      <c r="B870" s="465" t="s">
        <v>1078</v>
      </c>
      <c r="C870" s="7"/>
      <c r="D870" s="7"/>
      <c r="E870" s="3"/>
      <c r="F870" s="3"/>
      <c r="G870" s="458">
        <f t="shared" ref="G870:H874" si="121">G871</f>
        <v>45</v>
      </c>
      <c r="H870" s="458">
        <f t="shared" si="121"/>
        <v>50</v>
      </c>
    </row>
    <row r="871" spans="1:10" ht="15.75" x14ac:dyDescent="0.25">
      <c r="A871" s="45" t="s">
        <v>117</v>
      </c>
      <c r="B871" s="462" t="s">
        <v>1078</v>
      </c>
      <c r="C871" s="469" t="s">
        <v>118</v>
      </c>
      <c r="D871" s="469"/>
      <c r="E871" s="2"/>
      <c r="F871" s="2"/>
      <c r="G871" s="459">
        <f t="shared" si="121"/>
        <v>45</v>
      </c>
      <c r="H871" s="459">
        <f t="shared" si="121"/>
        <v>50</v>
      </c>
    </row>
    <row r="872" spans="1:10" ht="15.75" x14ac:dyDescent="0.25">
      <c r="A872" s="45" t="s">
        <v>139</v>
      </c>
      <c r="B872" s="462" t="s">
        <v>1078</v>
      </c>
      <c r="C872" s="469" t="s">
        <v>118</v>
      </c>
      <c r="D872" s="469" t="s">
        <v>140</v>
      </c>
      <c r="E872" s="2"/>
      <c r="F872" s="2"/>
      <c r="G872" s="459">
        <f t="shared" si="121"/>
        <v>45</v>
      </c>
      <c r="H872" s="459">
        <f t="shared" si="121"/>
        <v>50</v>
      </c>
    </row>
    <row r="873" spans="1:10" ht="47.25" x14ac:dyDescent="0.25">
      <c r="A873" s="97" t="s">
        <v>171</v>
      </c>
      <c r="B873" s="462" t="s">
        <v>855</v>
      </c>
      <c r="C873" s="469" t="s">
        <v>118</v>
      </c>
      <c r="D873" s="469" t="s">
        <v>140</v>
      </c>
      <c r="E873" s="2"/>
      <c r="F873" s="2"/>
      <c r="G873" s="459">
        <f t="shared" si="121"/>
        <v>45</v>
      </c>
      <c r="H873" s="459">
        <f t="shared" si="121"/>
        <v>50</v>
      </c>
    </row>
    <row r="874" spans="1:10" ht="31.5" x14ac:dyDescent="0.25">
      <c r="A874" s="45" t="s">
        <v>131</v>
      </c>
      <c r="B874" s="462" t="s">
        <v>855</v>
      </c>
      <c r="C874" s="469" t="s">
        <v>118</v>
      </c>
      <c r="D874" s="469" t="s">
        <v>140</v>
      </c>
      <c r="E874" s="2">
        <v>200</v>
      </c>
      <c r="F874" s="2"/>
      <c r="G874" s="459">
        <f t="shared" si="121"/>
        <v>45</v>
      </c>
      <c r="H874" s="459">
        <f t="shared" si="121"/>
        <v>50</v>
      </c>
    </row>
    <row r="875" spans="1:10" ht="47.25" x14ac:dyDescent="0.25">
      <c r="A875" s="45" t="s">
        <v>133</v>
      </c>
      <c r="B875" s="462" t="s">
        <v>855</v>
      </c>
      <c r="C875" s="469" t="s">
        <v>118</v>
      </c>
      <c r="D875" s="469" t="s">
        <v>140</v>
      </c>
      <c r="E875" s="2">
        <v>240</v>
      </c>
      <c r="F875" s="2"/>
      <c r="G875" s="459">
        <f>'пр.6.1.ведом.22-23 (2)'!G159</f>
        <v>45</v>
      </c>
      <c r="H875" s="459">
        <f>'пр.6.1.ведом.22-23 (2)'!H159</f>
        <v>50</v>
      </c>
    </row>
    <row r="876" spans="1:10" ht="31.5" x14ac:dyDescent="0.25">
      <c r="A876" s="29" t="s">
        <v>148</v>
      </c>
      <c r="B876" s="462" t="s">
        <v>855</v>
      </c>
      <c r="C876" s="469" t="s">
        <v>118</v>
      </c>
      <c r="D876" s="469" t="s">
        <v>140</v>
      </c>
      <c r="E876" s="2">
        <v>240</v>
      </c>
      <c r="F876" s="2">
        <v>902</v>
      </c>
      <c r="G876" s="459">
        <f>G869</f>
        <v>45</v>
      </c>
      <c r="H876" s="459">
        <f>H869</f>
        <v>50</v>
      </c>
      <c r="J876" s="22"/>
    </row>
    <row r="877" spans="1:10" ht="78.75" x14ac:dyDescent="0.25">
      <c r="A877" s="470" t="s">
        <v>1385</v>
      </c>
      <c r="B877" s="465" t="s">
        <v>818</v>
      </c>
      <c r="C877" s="7"/>
      <c r="D877" s="7"/>
      <c r="E877" s="3"/>
      <c r="F877" s="3"/>
      <c r="G877" s="458">
        <f>G879</f>
        <v>80</v>
      </c>
      <c r="H877" s="458">
        <f>H879</f>
        <v>90</v>
      </c>
    </row>
    <row r="878" spans="1:10" ht="31.5" x14ac:dyDescent="0.25">
      <c r="A878" s="58" t="s">
        <v>856</v>
      </c>
      <c r="B878" s="465" t="s">
        <v>864</v>
      </c>
      <c r="C878" s="7"/>
      <c r="D878" s="7"/>
      <c r="E878" s="3"/>
      <c r="F878" s="3"/>
      <c r="G878" s="458">
        <f t="shared" ref="G878:H882" si="122">G879</f>
        <v>80</v>
      </c>
      <c r="H878" s="458">
        <f t="shared" si="122"/>
        <v>90</v>
      </c>
    </row>
    <row r="879" spans="1:10" ht="15.75" x14ac:dyDescent="0.25">
      <c r="A879" s="45" t="s">
        <v>117</v>
      </c>
      <c r="B879" s="462" t="s">
        <v>864</v>
      </c>
      <c r="C879" s="469" t="s">
        <v>118</v>
      </c>
      <c r="D879" s="469"/>
      <c r="E879" s="2"/>
      <c r="F879" s="2"/>
      <c r="G879" s="459">
        <f t="shared" si="122"/>
        <v>80</v>
      </c>
      <c r="H879" s="459">
        <f t="shared" si="122"/>
        <v>90</v>
      </c>
    </row>
    <row r="880" spans="1:10" ht="15.75" x14ac:dyDescent="0.25">
      <c r="A880" s="45" t="s">
        <v>139</v>
      </c>
      <c r="B880" s="462" t="s">
        <v>864</v>
      </c>
      <c r="C880" s="469" t="s">
        <v>118</v>
      </c>
      <c r="D880" s="469" t="s">
        <v>140</v>
      </c>
      <c r="E880" s="2"/>
      <c r="F880" s="2"/>
      <c r="G880" s="459">
        <f t="shared" si="122"/>
        <v>80</v>
      </c>
      <c r="H880" s="459">
        <f t="shared" si="122"/>
        <v>90</v>
      </c>
    </row>
    <row r="881" spans="1:8" ht="31.5" x14ac:dyDescent="0.25">
      <c r="A881" s="45" t="s">
        <v>175</v>
      </c>
      <c r="B881" s="462" t="s">
        <v>857</v>
      </c>
      <c r="C881" s="469" t="s">
        <v>118</v>
      </c>
      <c r="D881" s="469" t="s">
        <v>140</v>
      </c>
      <c r="E881" s="2"/>
      <c r="F881" s="2"/>
      <c r="G881" s="459">
        <f t="shared" si="122"/>
        <v>80</v>
      </c>
      <c r="H881" s="459">
        <f t="shared" si="122"/>
        <v>90</v>
      </c>
    </row>
    <row r="882" spans="1:8" ht="31.5" x14ac:dyDescent="0.25">
      <c r="A882" s="45" t="s">
        <v>131</v>
      </c>
      <c r="B882" s="462" t="s">
        <v>857</v>
      </c>
      <c r="C882" s="469" t="s">
        <v>118</v>
      </c>
      <c r="D882" s="469" t="s">
        <v>140</v>
      </c>
      <c r="E882" s="2">
        <v>200</v>
      </c>
      <c r="F882" s="2"/>
      <c r="G882" s="459">
        <f t="shared" si="122"/>
        <v>80</v>
      </c>
      <c r="H882" s="459">
        <f t="shared" si="122"/>
        <v>90</v>
      </c>
    </row>
    <row r="883" spans="1:8" ht="47.25" x14ac:dyDescent="0.25">
      <c r="A883" s="45" t="s">
        <v>133</v>
      </c>
      <c r="B883" s="462" t="s">
        <v>857</v>
      </c>
      <c r="C883" s="469" t="s">
        <v>118</v>
      </c>
      <c r="D883" s="469" t="s">
        <v>140</v>
      </c>
      <c r="E883" s="2">
        <v>240</v>
      </c>
      <c r="F883" s="2"/>
      <c r="G883" s="459">
        <f>'пр.6.1.ведом.22-23 (2)'!G164</f>
        <v>80</v>
      </c>
      <c r="H883" s="459">
        <f>'пр.6.1.ведом.22-23 (2)'!H164</f>
        <v>90</v>
      </c>
    </row>
    <row r="884" spans="1:8" ht="31.5" x14ac:dyDescent="0.25">
      <c r="A884" s="29" t="s">
        <v>148</v>
      </c>
      <c r="B884" s="462" t="s">
        <v>857</v>
      </c>
      <c r="C884" s="469" t="s">
        <v>118</v>
      </c>
      <c r="D884" s="469" t="s">
        <v>140</v>
      </c>
      <c r="E884" s="2">
        <v>240</v>
      </c>
      <c r="F884" s="2">
        <v>902</v>
      </c>
      <c r="G884" s="459">
        <f>G877</f>
        <v>80</v>
      </c>
      <c r="H884" s="459">
        <f>H877</f>
        <v>90</v>
      </c>
    </row>
    <row r="885" spans="1:8" ht="47.25" x14ac:dyDescent="0.25">
      <c r="A885" s="464" t="s">
        <v>1545</v>
      </c>
      <c r="B885" s="465" t="s">
        <v>1146</v>
      </c>
      <c r="C885" s="469"/>
      <c r="D885" s="469"/>
      <c r="E885" s="2"/>
      <c r="F885" s="2"/>
      <c r="G885" s="458">
        <f t="shared" ref="G885:H891" si="123">G886</f>
        <v>204</v>
      </c>
      <c r="H885" s="458">
        <f t="shared" si="123"/>
        <v>215</v>
      </c>
    </row>
    <row r="886" spans="1:8" ht="31.5" x14ac:dyDescent="0.25">
      <c r="A886" s="464" t="s">
        <v>1549</v>
      </c>
      <c r="B886" s="465" t="s">
        <v>1148</v>
      </c>
      <c r="C886" s="469"/>
      <c r="D886" s="469"/>
      <c r="E886" s="2"/>
      <c r="F886" s="2"/>
      <c r="G886" s="458">
        <f t="shared" si="123"/>
        <v>204</v>
      </c>
      <c r="H886" s="458">
        <f t="shared" si="123"/>
        <v>215</v>
      </c>
    </row>
    <row r="887" spans="1:8" ht="15.75" x14ac:dyDescent="0.25">
      <c r="A887" s="29" t="s">
        <v>390</v>
      </c>
      <c r="B887" s="462" t="s">
        <v>1148</v>
      </c>
      <c r="C887" s="469" t="s">
        <v>234</v>
      </c>
      <c r="D887" s="469"/>
      <c r="E887" s="2"/>
      <c r="F887" s="2"/>
      <c r="G887" s="459">
        <f t="shared" si="123"/>
        <v>204</v>
      </c>
      <c r="H887" s="459">
        <f t="shared" si="123"/>
        <v>215</v>
      </c>
    </row>
    <row r="888" spans="1:8" ht="15.75" x14ac:dyDescent="0.25">
      <c r="A888" s="29" t="s">
        <v>517</v>
      </c>
      <c r="B888" s="462" t="s">
        <v>1148</v>
      </c>
      <c r="C888" s="469" t="s">
        <v>234</v>
      </c>
      <c r="D888" s="469" t="s">
        <v>213</v>
      </c>
      <c r="E888" s="2"/>
      <c r="F888" s="2"/>
      <c r="G888" s="459">
        <f t="shared" si="123"/>
        <v>204</v>
      </c>
      <c r="H888" s="459">
        <f t="shared" si="123"/>
        <v>215</v>
      </c>
    </row>
    <row r="889" spans="1:8" ht="31.5" x14ac:dyDescent="0.25">
      <c r="A889" s="29" t="s">
        <v>1150</v>
      </c>
      <c r="B889" s="462" t="s">
        <v>1149</v>
      </c>
      <c r="C889" s="469" t="s">
        <v>234</v>
      </c>
      <c r="D889" s="469" t="s">
        <v>213</v>
      </c>
      <c r="E889" s="2"/>
      <c r="F889" s="2"/>
      <c r="G889" s="459">
        <f t="shared" si="123"/>
        <v>204</v>
      </c>
      <c r="H889" s="459">
        <f t="shared" si="123"/>
        <v>215</v>
      </c>
    </row>
    <row r="890" spans="1:8" ht="31.5" x14ac:dyDescent="0.25">
      <c r="A890" s="45" t="s">
        <v>131</v>
      </c>
      <c r="B890" s="462" t="s">
        <v>1149</v>
      </c>
      <c r="C890" s="469" t="s">
        <v>234</v>
      </c>
      <c r="D890" s="469" t="s">
        <v>213</v>
      </c>
      <c r="E890" s="2">
        <v>200</v>
      </c>
      <c r="F890" s="2"/>
      <c r="G890" s="459">
        <f t="shared" si="123"/>
        <v>204</v>
      </c>
      <c r="H890" s="459">
        <f t="shared" si="123"/>
        <v>215</v>
      </c>
    </row>
    <row r="891" spans="1:8" ht="47.25" x14ac:dyDescent="0.25">
      <c r="A891" s="45" t="s">
        <v>133</v>
      </c>
      <c r="B891" s="462" t="s">
        <v>1149</v>
      </c>
      <c r="C891" s="469" t="s">
        <v>234</v>
      </c>
      <c r="D891" s="469" t="s">
        <v>213</v>
      </c>
      <c r="E891" s="2">
        <v>240</v>
      </c>
      <c r="F891" s="2"/>
      <c r="G891" s="459">
        <f t="shared" si="123"/>
        <v>204</v>
      </c>
      <c r="H891" s="459">
        <f t="shared" si="123"/>
        <v>215</v>
      </c>
    </row>
    <row r="892" spans="1:8" ht="47.25" x14ac:dyDescent="0.25">
      <c r="A892" s="45" t="s">
        <v>623</v>
      </c>
      <c r="B892" s="462" t="s">
        <v>1149</v>
      </c>
      <c r="C892" s="469" t="s">
        <v>234</v>
      </c>
      <c r="D892" s="469" t="s">
        <v>213</v>
      </c>
      <c r="E892" s="2">
        <v>240</v>
      </c>
      <c r="F892" s="2">
        <v>908</v>
      </c>
      <c r="G892" s="459">
        <f>'пр.6.1.ведом.22-23 (2)'!G952</f>
        <v>204</v>
      </c>
      <c r="H892" s="459">
        <f>'пр.6.1.ведом.22-23 (2)'!H952</f>
        <v>215</v>
      </c>
    </row>
    <row r="893" spans="1:8" ht="15.75" x14ac:dyDescent="0.25">
      <c r="A893" s="72" t="s">
        <v>657</v>
      </c>
      <c r="B893" s="72"/>
      <c r="C893" s="72"/>
      <c r="D893" s="72"/>
      <c r="E893" s="72"/>
      <c r="F893" s="72"/>
      <c r="G893" s="120">
        <f>G877+G869+G861+G853+G795+G761+G696+G644+G597+G464+G406+G398+G356+G344+G140+G30+G9+G711+G885</f>
        <v>473372.89999999991</v>
      </c>
      <c r="H893" s="120">
        <f>H877+H869+H861+H853+H795+H761+H696+H644+H597+H464+H406+H398+H356+H344+H140+H30+H9+H711+H885</f>
        <v>498426.15</v>
      </c>
    </row>
    <row r="895" spans="1:8" x14ac:dyDescent="0.25">
      <c r="G895" s="22">
        <f>'пр.6.1.ведом.22-23 (2)'!G1151</f>
        <v>473372.89999999991</v>
      </c>
      <c r="H895" s="22">
        <f>'пр.6.1.ведом.22-23 (2)'!H1151</f>
        <v>498426.15</v>
      </c>
    </row>
    <row r="897" spans="7:8" x14ac:dyDescent="0.25">
      <c r="G897" s="22">
        <f>G895-G893</f>
        <v>0</v>
      </c>
      <c r="H897" s="22">
        <f>H895-H893</f>
        <v>0</v>
      </c>
    </row>
  </sheetData>
  <mergeCells count="4">
    <mergeCell ref="G1:H1"/>
    <mergeCell ref="G2:H2"/>
    <mergeCell ref="G3:H3"/>
    <mergeCell ref="A5:H5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view="pageBreakPreview" zoomScale="80" zoomScaleNormal="100" zoomScaleSheetLayoutView="80" workbookViewId="0">
      <selection activeCell="C1" sqref="C1:D1"/>
    </sheetView>
  </sheetViews>
  <sheetFormatPr defaultRowHeight="15" x14ac:dyDescent="0.25"/>
  <cols>
    <col min="1" max="1" width="25" style="204" customWidth="1"/>
    <col min="2" max="2" width="76.28515625" style="173" customWidth="1"/>
    <col min="3" max="3" width="16" style="115" customWidth="1"/>
    <col min="4" max="4" width="17.28515625" style="115" customWidth="1"/>
    <col min="5" max="5" width="21.28515625" customWidth="1"/>
    <col min="6" max="6" width="15.5703125" customWidth="1"/>
  </cols>
  <sheetData>
    <row r="1" spans="1:6" ht="15.75" x14ac:dyDescent="0.25">
      <c r="A1" s="128"/>
      <c r="B1" s="578"/>
      <c r="C1" s="613" t="s">
        <v>1815</v>
      </c>
      <c r="D1" s="613"/>
    </row>
    <row r="2" spans="1:6" ht="15.75" x14ac:dyDescent="0.25">
      <c r="A2" s="128"/>
      <c r="B2" s="578"/>
      <c r="C2" s="613" t="s">
        <v>1527</v>
      </c>
      <c r="D2" s="613"/>
    </row>
    <row r="3" spans="1:6" ht="15.75" x14ac:dyDescent="0.25">
      <c r="A3" s="128"/>
      <c r="B3" s="130"/>
      <c r="C3" s="613" t="s">
        <v>1814</v>
      </c>
      <c r="D3" s="613"/>
    </row>
    <row r="4" spans="1:6" ht="15.75" x14ac:dyDescent="0.25">
      <c r="A4" s="606" t="s">
        <v>1138</v>
      </c>
      <c r="B4" s="606"/>
      <c r="C4" s="606"/>
      <c r="D4" s="606"/>
    </row>
    <row r="5" spans="1:6" ht="15.75" x14ac:dyDescent="0.25">
      <c r="A5" s="606" t="s">
        <v>1347</v>
      </c>
      <c r="B5" s="606"/>
      <c r="C5" s="606"/>
      <c r="D5" s="606"/>
    </row>
    <row r="6" spans="1:6" ht="15.75" x14ac:dyDescent="0.25">
      <c r="A6" s="606" t="s">
        <v>1319</v>
      </c>
      <c r="B6" s="606"/>
      <c r="C6" s="606"/>
      <c r="D6" s="606"/>
    </row>
    <row r="7" spans="1:6" ht="15.75" x14ac:dyDescent="0.25">
      <c r="A7" s="131"/>
      <c r="B7" s="131"/>
      <c r="C7" s="370"/>
      <c r="D7" s="597" t="s">
        <v>698</v>
      </c>
    </row>
    <row r="8" spans="1:6" ht="33" customHeight="1" x14ac:dyDescent="0.25">
      <c r="A8" s="132" t="s">
        <v>2</v>
      </c>
      <c r="B8" s="133" t="s">
        <v>3</v>
      </c>
      <c r="C8" s="371" t="s">
        <v>1029</v>
      </c>
      <c r="D8" s="10" t="s">
        <v>1295</v>
      </c>
      <c r="E8" s="573"/>
    </row>
    <row r="9" spans="1:6" ht="18.75" x14ac:dyDescent="0.25">
      <c r="A9" s="134" t="s">
        <v>5</v>
      </c>
      <c r="B9" s="135" t="s">
        <v>6</v>
      </c>
      <c r="C9" s="336">
        <f>C10+C16+C21+C31+C39+C42+C48+C55+C58+C63+C71</f>
        <v>290872.91400000005</v>
      </c>
      <c r="D9" s="336">
        <f>D10+D16+D21+D31+D39+D42+D48+D55+D58+D63+D71</f>
        <v>300960.054</v>
      </c>
      <c r="E9" s="22"/>
      <c r="F9" s="22"/>
    </row>
    <row r="10" spans="1:6" ht="18.75" x14ac:dyDescent="0.25">
      <c r="A10" s="136" t="s">
        <v>7</v>
      </c>
      <c r="B10" s="135" t="s">
        <v>8</v>
      </c>
      <c r="C10" s="336">
        <f t="shared" ref="C10:D10" si="0">C11</f>
        <v>222889</v>
      </c>
      <c r="D10" s="336">
        <f t="shared" si="0"/>
        <v>231597</v>
      </c>
      <c r="E10" s="328"/>
    </row>
    <row r="11" spans="1:6" ht="18.75" x14ac:dyDescent="0.25">
      <c r="A11" s="137" t="s">
        <v>9</v>
      </c>
      <c r="B11" s="138" t="s">
        <v>10</v>
      </c>
      <c r="C11" s="336">
        <f t="shared" ref="C11:D11" si="1">SUM(C12:C15)</f>
        <v>222889</v>
      </c>
      <c r="D11" s="336">
        <f t="shared" si="1"/>
        <v>231597</v>
      </c>
    </row>
    <row r="12" spans="1:6" ht="64.5" customHeight="1" x14ac:dyDescent="0.25">
      <c r="A12" s="201" t="s">
        <v>11</v>
      </c>
      <c r="B12" s="139" t="s">
        <v>12</v>
      </c>
      <c r="C12" s="344">
        <v>220139</v>
      </c>
      <c r="D12" s="344">
        <v>228667</v>
      </c>
    </row>
    <row r="13" spans="1:6" ht="94.5" x14ac:dyDescent="0.25">
      <c r="A13" s="201" t="s">
        <v>13</v>
      </c>
      <c r="B13" s="140" t="s">
        <v>14</v>
      </c>
      <c r="C13" s="344">
        <v>916</v>
      </c>
      <c r="D13" s="344">
        <v>978</v>
      </c>
    </row>
    <row r="14" spans="1:6" ht="47.25" x14ac:dyDescent="0.25">
      <c r="A14" s="201" t="s">
        <v>15</v>
      </c>
      <c r="B14" s="140" t="s">
        <v>16</v>
      </c>
      <c r="C14" s="344">
        <v>1257</v>
      </c>
      <c r="D14" s="344">
        <v>1343</v>
      </c>
    </row>
    <row r="15" spans="1:6" ht="78.75" x14ac:dyDescent="0.25">
      <c r="A15" s="201" t="s">
        <v>17</v>
      </c>
      <c r="B15" s="140" t="s">
        <v>18</v>
      </c>
      <c r="C15" s="344">
        <v>577</v>
      </c>
      <c r="D15" s="344">
        <v>609</v>
      </c>
    </row>
    <row r="16" spans="1:6" ht="31.5" x14ac:dyDescent="0.25">
      <c r="A16" s="141" t="s">
        <v>19</v>
      </c>
      <c r="B16" s="579" t="s">
        <v>20</v>
      </c>
      <c r="C16" s="336">
        <f t="shared" ref="C16:D16" si="2">C17</f>
        <v>3045.14</v>
      </c>
      <c r="D16" s="336">
        <f t="shared" si="2"/>
        <v>3069.3199999999997</v>
      </c>
      <c r="E16" s="328"/>
      <c r="F16" s="22"/>
    </row>
    <row r="17" spans="1:7" ht="31.5" x14ac:dyDescent="0.25">
      <c r="A17" s="180" t="s">
        <v>21</v>
      </c>
      <c r="B17" s="580" t="s">
        <v>22</v>
      </c>
      <c r="C17" s="336">
        <f t="shared" ref="C17:D17" si="3">SUM(C18:C20)</f>
        <v>3045.14</v>
      </c>
      <c r="D17" s="336">
        <f t="shared" si="3"/>
        <v>3069.3199999999997</v>
      </c>
      <c r="E17" s="327"/>
    </row>
    <row r="18" spans="1:7" ht="99" customHeight="1" x14ac:dyDescent="0.25">
      <c r="A18" s="143" t="s">
        <v>1554</v>
      </c>
      <c r="B18" s="140" t="s">
        <v>1618</v>
      </c>
      <c r="C18" s="344">
        <f>1176.8+137.1</f>
        <v>1313.8999999999999</v>
      </c>
      <c r="D18" s="344">
        <f>1176.8+150</f>
        <v>1326.8</v>
      </c>
      <c r="E18" s="587"/>
      <c r="F18" s="586"/>
      <c r="G18" s="586"/>
    </row>
    <row r="19" spans="1:7" ht="118.5" customHeight="1" x14ac:dyDescent="0.25">
      <c r="A19" s="600" t="s">
        <v>1555</v>
      </c>
      <c r="B19" s="140" t="s">
        <v>1619</v>
      </c>
      <c r="C19" s="344">
        <f>6.9+0.5</f>
        <v>7.4</v>
      </c>
      <c r="D19" s="344">
        <f>6.9+0.5</f>
        <v>7.4</v>
      </c>
      <c r="E19" s="587"/>
      <c r="F19" s="586"/>
      <c r="G19" s="586"/>
    </row>
    <row r="20" spans="1:7" ht="98.45" customHeight="1" x14ac:dyDescent="0.25">
      <c r="A20" s="600" t="s">
        <v>1556</v>
      </c>
      <c r="B20" s="140" t="s">
        <v>1620</v>
      </c>
      <c r="C20" s="344">
        <f>1135.3+588.54</f>
        <v>1723.84</v>
      </c>
      <c r="D20" s="344">
        <f>1135.3+599.82</f>
        <v>1735.12</v>
      </c>
      <c r="E20" s="587"/>
      <c r="F20" s="586"/>
      <c r="G20" s="586"/>
    </row>
    <row r="21" spans="1:7" ht="18.75" x14ac:dyDescent="0.25">
      <c r="A21" s="137" t="s">
        <v>23</v>
      </c>
      <c r="B21" s="138" t="s">
        <v>24</v>
      </c>
      <c r="C21" s="336">
        <f>SUM(C22+C27+C29)</f>
        <v>14911</v>
      </c>
      <c r="D21" s="336">
        <f>SUM(D22+D27+D29)</f>
        <v>15831</v>
      </c>
      <c r="E21" s="327"/>
    </row>
    <row r="22" spans="1:7" ht="31.5" x14ac:dyDescent="0.25">
      <c r="A22" s="134" t="s">
        <v>25</v>
      </c>
      <c r="B22" s="138" t="s">
        <v>26</v>
      </c>
      <c r="C22" s="336">
        <f>C23+C25</f>
        <v>14519</v>
      </c>
      <c r="D22" s="336">
        <f>D23+D25</f>
        <v>15414</v>
      </c>
      <c r="E22" s="328"/>
    </row>
    <row r="23" spans="1:7" s="203" customFormat="1" ht="31.5" x14ac:dyDescent="0.25">
      <c r="A23" s="134" t="s">
        <v>1119</v>
      </c>
      <c r="B23" s="58" t="s">
        <v>28</v>
      </c>
      <c r="C23" s="336">
        <f>C24</f>
        <v>7259.5</v>
      </c>
      <c r="D23" s="336">
        <f>D24</f>
        <v>7707</v>
      </c>
      <c r="E23" s="327"/>
    </row>
    <row r="24" spans="1:7" ht="31.5" x14ac:dyDescent="0.25">
      <c r="A24" s="132" t="s">
        <v>27</v>
      </c>
      <c r="B24" s="144" t="s">
        <v>28</v>
      </c>
      <c r="C24" s="344">
        <v>7259.5</v>
      </c>
      <c r="D24" s="344">
        <v>7707</v>
      </c>
      <c r="E24" s="327"/>
    </row>
    <row r="25" spans="1:7" s="203" customFormat="1" ht="47.25" x14ac:dyDescent="0.25">
      <c r="A25" s="134" t="s">
        <v>1118</v>
      </c>
      <c r="B25" s="581" t="s">
        <v>1117</v>
      </c>
      <c r="C25" s="336">
        <f>C26</f>
        <v>7259.5</v>
      </c>
      <c r="D25" s="336">
        <f>D26</f>
        <v>7707</v>
      </c>
      <c r="E25" s="327"/>
    </row>
    <row r="26" spans="1:7" ht="63" x14ac:dyDescent="0.25">
      <c r="A26" s="132" t="s">
        <v>29</v>
      </c>
      <c r="B26" s="144" t="s">
        <v>30</v>
      </c>
      <c r="C26" s="344">
        <f>C24</f>
        <v>7259.5</v>
      </c>
      <c r="D26" s="344">
        <f>D24</f>
        <v>7707</v>
      </c>
      <c r="E26" s="327"/>
    </row>
    <row r="27" spans="1:7" ht="31.5" hidden="1" x14ac:dyDescent="0.25">
      <c r="A27" s="134" t="s">
        <v>31</v>
      </c>
      <c r="B27" s="138" t="s">
        <v>32</v>
      </c>
      <c r="C27" s="336">
        <f t="shared" ref="C27:D27" si="4">SUM(C28:C28)</f>
        <v>0</v>
      </c>
      <c r="D27" s="336">
        <f t="shared" si="4"/>
        <v>0</v>
      </c>
      <c r="E27" s="327"/>
    </row>
    <row r="28" spans="1:7" ht="21.75" hidden="1" customHeight="1" x14ac:dyDescent="0.25">
      <c r="A28" s="201" t="s">
        <v>33</v>
      </c>
      <c r="B28" s="227" t="s">
        <v>32</v>
      </c>
      <c r="C28" s="344">
        <v>0</v>
      </c>
      <c r="D28" s="344">
        <v>0</v>
      </c>
      <c r="E28" s="327"/>
    </row>
    <row r="29" spans="1:7" s="203" customFormat="1" ht="36" customHeight="1" x14ac:dyDescent="0.25">
      <c r="A29" s="134" t="s">
        <v>1130</v>
      </c>
      <c r="B29" s="145" t="s">
        <v>1120</v>
      </c>
      <c r="C29" s="336">
        <f>C30</f>
        <v>392</v>
      </c>
      <c r="D29" s="344">
        <f>D30</f>
        <v>417</v>
      </c>
      <c r="E29" s="327"/>
    </row>
    <row r="30" spans="1:7" ht="31.5" x14ac:dyDescent="0.25">
      <c r="A30" s="132" t="s">
        <v>34</v>
      </c>
      <c r="B30" s="235" t="s">
        <v>35</v>
      </c>
      <c r="C30" s="344">
        <v>392</v>
      </c>
      <c r="D30" s="344">
        <v>417</v>
      </c>
      <c r="E30" s="327"/>
    </row>
    <row r="31" spans="1:7" ht="18.75" x14ac:dyDescent="0.25">
      <c r="A31" s="137" t="s">
        <v>36</v>
      </c>
      <c r="B31" s="138" t="s">
        <v>37</v>
      </c>
      <c r="C31" s="336">
        <f>C32+C34</f>
        <v>1695</v>
      </c>
      <c r="D31" s="336">
        <f t="shared" ref="D31" si="5">D32+D34</f>
        <v>1823</v>
      </c>
      <c r="E31" s="327"/>
    </row>
    <row r="32" spans="1:7" ht="18.75" x14ac:dyDescent="0.25">
      <c r="A32" s="137" t="s">
        <v>38</v>
      </c>
      <c r="B32" s="138" t="s">
        <v>39</v>
      </c>
      <c r="C32" s="336">
        <f t="shared" ref="C32:D32" si="6">C33</f>
        <v>990</v>
      </c>
      <c r="D32" s="336">
        <f t="shared" si="6"/>
        <v>1089</v>
      </c>
      <c r="E32" s="327"/>
    </row>
    <row r="33" spans="1:6" ht="47.25" x14ac:dyDescent="0.25">
      <c r="A33" s="201" t="s">
        <v>40</v>
      </c>
      <c r="B33" s="144" t="s">
        <v>41</v>
      </c>
      <c r="C33" s="344">
        <v>990</v>
      </c>
      <c r="D33" s="344">
        <v>1089</v>
      </c>
      <c r="E33" s="327"/>
    </row>
    <row r="34" spans="1:6" ht="18.75" x14ac:dyDescent="0.25">
      <c r="A34" s="137" t="s">
        <v>42</v>
      </c>
      <c r="B34" s="138" t="s">
        <v>43</v>
      </c>
      <c r="C34" s="336">
        <f>C35+C37</f>
        <v>705</v>
      </c>
      <c r="D34" s="336">
        <f>D35+D37</f>
        <v>734</v>
      </c>
      <c r="E34" s="328"/>
    </row>
    <row r="35" spans="1:6" s="203" customFormat="1" ht="18.75" x14ac:dyDescent="0.25">
      <c r="A35" s="137" t="s">
        <v>1132</v>
      </c>
      <c r="B35" s="138" t="s">
        <v>1131</v>
      </c>
      <c r="C35" s="336">
        <f>C36</f>
        <v>541</v>
      </c>
      <c r="D35" s="336">
        <f>D36</f>
        <v>563</v>
      </c>
      <c r="E35" s="327"/>
    </row>
    <row r="36" spans="1:6" ht="31.5" x14ac:dyDescent="0.25">
      <c r="A36" s="201" t="s">
        <v>44</v>
      </c>
      <c r="B36" s="144" t="s">
        <v>45</v>
      </c>
      <c r="C36" s="344">
        <v>541</v>
      </c>
      <c r="D36" s="344">
        <v>563</v>
      </c>
      <c r="E36" s="327"/>
    </row>
    <row r="37" spans="1:6" s="203" customFormat="1" ht="18.75" x14ac:dyDescent="0.25">
      <c r="A37" s="137" t="s">
        <v>1134</v>
      </c>
      <c r="B37" s="138" t="s">
        <v>1133</v>
      </c>
      <c r="C37" s="336">
        <f>C38</f>
        <v>164</v>
      </c>
      <c r="D37" s="336">
        <f>D38</f>
        <v>171</v>
      </c>
      <c r="E37" s="327"/>
    </row>
    <row r="38" spans="1:6" ht="31.5" x14ac:dyDescent="0.25">
      <c r="A38" s="201" t="s">
        <v>46</v>
      </c>
      <c r="B38" s="144" t="s">
        <v>47</v>
      </c>
      <c r="C38" s="344">
        <v>164</v>
      </c>
      <c r="D38" s="344">
        <v>171</v>
      </c>
      <c r="E38" s="327"/>
    </row>
    <row r="39" spans="1:6" ht="18.75" x14ac:dyDescent="0.25">
      <c r="A39" s="137" t="s">
        <v>48</v>
      </c>
      <c r="B39" s="138" t="s">
        <v>49</v>
      </c>
      <c r="C39" s="336">
        <f t="shared" ref="C39:D40" si="7">C40</f>
        <v>1534</v>
      </c>
      <c r="D39" s="336">
        <f t="shared" si="7"/>
        <v>1534</v>
      </c>
      <c r="E39" s="327"/>
    </row>
    <row r="40" spans="1:6" ht="31.5" x14ac:dyDescent="0.25">
      <c r="A40" s="137" t="s">
        <v>50</v>
      </c>
      <c r="B40" s="138" t="s">
        <v>51</v>
      </c>
      <c r="C40" s="336">
        <f t="shared" si="7"/>
        <v>1534</v>
      </c>
      <c r="D40" s="336">
        <f t="shared" si="7"/>
        <v>1534</v>
      </c>
      <c r="E40" s="327"/>
    </row>
    <row r="41" spans="1:6" ht="47.25" x14ac:dyDescent="0.25">
      <c r="A41" s="201" t="s">
        <v>52</v>
      </c>
      <c r="B41" s="139" t="s">
        <v>53</v>
      </c>
      <c r="C41" s="344">
        <v>1534</v>
      </c>
      <c r="D41" s="344">
        <v>1534</v>
      </c>
      <c r="E41" s="327"/>
    </row>
    <row r="42" spans="1:6" ht="36" customHeight="1" x14ac:dyDescent="0.25">
      <c r="A42" s="137" t="s">
        <v>54</v>
      </c>
      <c r="B42" s="146" t="s">
        <v>55</v>
      </c>
      <c r="C42" s="336">
        <f t="shared" ref="C42:D42" si="8">C43</f>
        <v>45000</v>
      </c>
      <c r="D42" s="336">
        <f t="shared" si="8"/>
        <v>45000</v>
      </c>
      <c r="E42" s="328"/>
    </row>
    <row r="43" spans="1:6" ht="78.75" x14ac:dyDescent="0.25">
      <c r="A43" s="137" t="s">
        <v>56</v>
      </c>
      <c r="B43" s="146" t="s">
        <v>57</v>
      </c>
      <c r="C43" s="336">
        <f t="shared" ref="C43:D43" si="9">C44+C46</f>
        <v>45000</v>
      </c>
      <c r="D43" s="336">
        <f t="shared" si="9"/>
        <v>45000</v>
      </c>
      <c r="E43" s="327"/>
    </row>
    <row r="44" spans="1:6" ht="63" x14ac:dyDescent="0.25">
      <c r="A44" s="137" t="s">
        <v>58</v>
      </c>
      <c r="B44" s="138" t="s">
        <v>59</v>
      </c>
      <c r="C44" s="336">
        <f t="shared" ref="C44:D44" si="10">C45</f>
        <v>40000</v>
      </c>
      <c r="D44" s="336">
        <f t="shared" si="10"/>
        <v>40000</v>
      </c>
      <c r="E44" s="327"/>
    </row>
    <row r="45" spans="1:6" ht="71.45" customHeight="1" x14ac:dyDescent="0.25">
      <c r="A45" s="201" t="s">
        <v>60</v>
      </c>
      <c r="B45" s="144" t="s">
        <v>61</v>
      </c>
      <c r="C45" s="344">
        <v>40000</v>
      </c>
      <c r="D45" s="344">
        <v>40000</v>
      </c>
      <c r="E45" s="327"/>
    </row>
    <row r="46" spans="1:6" ht="40.700000000000003" customHeight="1" x14ac:dyDescent="0.25">
      <c r="A46" s="137" t="s">
        <v>62</v>
      </c>
      <c r="B46" s="138" t="s">
        <v>63</v>
      </c>
      <c r="C46" s="336">
        <f t="shared" ref="C46:D46" si="11">C47</f>
        <v>5000</v>
      </c>
      <c r="D46" s="336">
        <f t="shared" si="11"/>
        <v>5000</v>
      </c>
      <c r="E46" s="327"/>
    </row>
    <row r="47" spans="1:6" ht="31.5" x14ac:dyDescent="0.25">
      <c r="A47" s="201" t="s">
        <v>64</v>
      </c>
      <c r="B47" s="144" t="s">
        <v>65</v>
      </c>
      <c r="C47" s="344">
        <v>5000</v>
      </c>
      <c r="D47" s="344">
        <v>5000</v>
      </c>
      <c r="E47" s="327"/>
    </row>
    <row r="48" spans="1:6" ht="26.45" customHeight="1" x14ac:dyDescent="0.25">
      <c r="A48" s="137" t="s">
        <v>66</v>
      </c>
      <c r="B48" s="234" t="s">
        <v>67</v>
      </c>
      <c r="C48" s="336">
        <f t="shared" ref="C48:D48" si="12">SUM(C49)</f>
        <v>722.57399999999984</v>
      </c>
      <c r="D48" s="336">
        <f t="shared" si="12"/>
        <v>1029.5339999999997</v>
      </c>
      <c r="E48" s="328"/>
      <c r="F48" s="583"/>
    </row>
    <row r="49" spans="1:6" ht="18.75" x14ac:dyDescent="0.25">
      <c r="A49" s="137" t="s">
        <v>68</v>
      </c>
      <c r="B49" s="146" t="s">
        <v>69</v>
      </c>
      <c r="C49" s="336">
        <f>C50+C51+C52</f>
        <v>722.57399999999984</v>
      </c>
      <c r="D49" s="336">
        <f>D50+D51+D52</f>
        <v>1029.5339999999997</v>
      </c>
      <c r="E49" s="327"/>
    </row>
    <row r="50" spans="1:6" ht="31.5" x14ac:dyDescent="0.25">
      <c r="A50" s="137" t="s">
        <v>70</v>
      </c>
      <c r="B50" s="146" t="s">
        <v>71</v>
      </c>
      <c r="C50" s="336">
        <f>405-218.088-137.8</f>
        <v>49.111999999999995</v>
      </c>
      <c r="D50" s="336">
        <f>405-210.612-27</f>
        <v>167.38800000000001</v>
      </c>
      <c r="E50" s="582"/>
    </row>
    <row r="51" spans="1:6" ht="18.75" x14ac:dyDescent="0.25">
      <c r="A51" s="137" t="s">
        <v>72</v>
      </c>
      <c r="B51" s="146" t="s">
        <v>73</v>
      </c>
      <c r="C51" s="336">
        <f>228.8-56.138-6.7</f>
        <v>165.96200000000002</v>
      </c>
      <c r="D51" s="336">
        <f>228.8-49.232-6.9</f>
        <v>172.66800000000001</v>
      </c>
      <c r="E51" s="582"/>
    </row>
    <row r="52" spans="1:6" s="203" customFormat="1" ht="33.75" customHeight="1" x14ac:dyDescent="0.25">
      <c r="A52" s="137" t="s">
        <v>1621</v>
      </c>
      <c r="B52" s="234" t="s">
        <v>1121</v>
      </c>
      <c r="C52" s="336">
        <f>C53+C54</f>
        <v>507.49999999999989</v>
      </c>
      <c r="D52" s="336">
        <f>D53+D54</f>
        <v>689.47799999999961</v>
      </c>
      <c r="E52" s="591"/>
      <c r="F52" s="22"/>
    </row>
    <row r="53" spans="1:6" ht="18.75" x14ac:dyDescent="0.25">
      <c r="A53" s="201" t="s">
        <v>795</v>
      </c>
      <c r="B53" s="139" t="s">
        <v>796</v>
      </c>
      <c r="C53" s="344">
        <f>3588-372.3-423.36-2410.7</f>
        <v>381.63999999999987</v>
      </c>
      <c r="D53" s="344">
        <f>3588-238.5-445.47-2377.8</f>
        <v>526.22999999999956</v>
      </c>
      <c r="E53" s="582"/>
    </row>
    <row r="54" spans="1:6" ht="18.75" x14ac:dyDescent="0.25">
      <c r="A54" s="201" t="s">
        <v>797</v>
      </c>
      <c r="B54" s="139" t="s">
        <v>798</v>
      </c>
      <c r="C54" s="344">
        <f>131+63.76-68.9</f>
        <v>125.85999999999999</v>
      </c>
      <c r="D54" s="344">
        <f>131+71.548-39.3</f>
        <v>163.24799999999999</v>
      </c>
      <c r="E54" s="582"/>
    </row>
    <row r="55" spans="1:6" ht="31.5" x14ac:dyDescent="0.25">
      <c r="A55" s="137" t="s">
        <v>74</v>
      </c>
      <c r="B55" s="146" t="s">
        <v>75</v>
      </c>
      <c r="C55" s="336">
        <f>C57</f>
        <v>833.9</v>
      </c>
      <c r="D55" s="336">
        <f>D57</f>
        <v>833.9</v>
      </c>
      <c r="E55" s="327"/>
    </row>
    <row r="56" spans="1:6" ht="18.75" x14ac:dyDescent="0.25">
      <c r="A56" s="137" t="s">
        <v>76</v>
      </c>
      <c r="B56" s="146" t="s">
        <v>77</v>
      </c>
      <c r="C56" s="336">
        <f>C57</f>
        <v>833.9</v>
      </c>
      <c r="D56" s="336">
        <f>D57</f>
        <v>833.9</v>
      </c>
      <c r="E56" s="327"/>
    </row>
    <row r="57" spans="1:6" ht="31.5" x14ac:dyDescent="0.25">
      <c r="A57" s="201" t="s">
        <v>78</v>
      </c>
      <c r="B57" s="139" t="s">
        <v>79</v>
      </c>
      <c r="C57" s="344">
        <v>833.9</v>
      </c>
      <c r="D57" s="344">
        <v>833.9</v>
      </c>
      <c r="E57" s="327"/>
    </row>
    <row r="58" spans="1:6" ht="31.5" x14ac:dyDescent="0.25">
      <c r="A58" s="137" t="s">
        <v>80</v>
      </c>
      <c r="B58" s="146" t="s">
        <v>81</v>
      </c>
      <c r="C58" s="336">
        <f t="shared" ref="C58:D58" si="13">SUM(C59+C61)</f>
        <v>236</v>
      </c>
      <c r="D58" s="336">
        <f t="shared" si="13"/>
        <v>236</v>
      </c>
      <c r="E58" s="327"/>
    </row>
    <row r="59" spans="1:6" ht="78.75" x14ac:dyDescent="0.25">
      <c r="A59" s="137" t="s">
        <v>82</v>
      </c>
      <c r="B59" s="146" t="s">
        <v>83</v>
      </c>
      <c r="C59" s="336">
        <f t="shared" ref="C59:D59" si="14">C60</f>
        <v>235</v>
      </c>
      <c r="D59" s="336">
        <f t="shared" si="14"/>
        <v>235</v>
      </c>
      <c r="E59" s="327"/>
    </row>
    <row r="60" spans="1:6" ht="78.75" x14ac:dyDescent="0.25">
      <c r="A60" s="201" t="s">
        <v>84</v>
      </c>
      <c r="B60" s="139" t="s">
        <v>699</v>
      </c>
      <c r="C60" s="344">
        <v>235</v>
      </c>
      <c r="D60" s="344">
        <v>235</v>
      </c>
      <c r="E60" s="327"/>
    </row>
    <row r="61" spans="1:6" ht="31.5" x14ac:dyDescent="0.25">
      <c r="A61" s="137" t="s">
        <v>85</v>
      </c>
      <c r="B61" s="146" t="s">
        <v>86</v>
      </c>
      <c r="C61" s="336">
        <f t="shared" ref="C61:D61" si="15">SUM(C62)</f>
        <v>1</v>
      </c>
      <c r="D61" s="336">
        <f t="shared" si="15"/>
        <v>1</v>
      </c>
      <c r="E61" s="327"/>
    </row>
    <row r="62" spans="1:6" ht="47.25" x14ac:dyDescent="0.25">
      <c r="A62" s="201" t="s">
        <v>87</v>
      </c>
      <c r="B62" s="139" t="s">
        <v>88</v>
      </c>
      <c r="C62" s="344">
        <v>1</v>
      </c>
      <c r="D62" s="344">
        <v>1</v>
      </c>
      <c r="E62" s="327"/>
    </row>
    <row r="63" spans="1:6" ht="18.75" x14ac:dyDescent="0.25">
      <c r="A63" s="137" t="s">
        <v>89</v>
      </c>
      <c r="B63" s="146" t="s">
        <v>90</v>
      </c>
      <c r="C63" s="336">
        <f>C64</f>
        <v>6.3</v>
      </c>
      <c r="D63" s="336">
        <f>D64</f>
        <v>6.3</v>
      </c>
      <c r="E63" s="327"/>
    </row>
    <row r="64" spans="1:6" ht="31.5" x14ac:dyDescent="0.25">
      <c r="A64" s="137" t="s">
        <v>1100</v>
      </c>
      <c r="B64" s="234" t="s">
        <v>91</v>
      </c>
      <c r="C64" s="368">
        <f>C65+C67+C69</f>
        <v>6.3</v>
      </c>
      <c r="D64" s="368">
        <f>D65+D67+D69</f>
        <v>6.3</v>
      </c>
      <c r="E64" s="327"/>
    </row>
    <row r="65" spans="1:6" s="203" customFormat="1" ht="54.75" customHeight="1" x14ac:dyDescent="0.25">
      <c r="A65" s="137" t="s">
        <v>1114</v>
      </c>
      <c r="B65" s="242" t="s">
        <v>1113</v>
      </c>
      <c r="C65" s="368">
        <f>C66</f>
        <v>2.5</v>
      </c>
      <c r="D65" s="368">
        <f>D66</f>
        <v>2.5</v>
      </c>
      <c r="E65" s="327"/>
    </row>
    <row r="66" spans="1:6" s="203" customFormat="1" ht="72" customHeight="1" x14ac:dyDescent="0.25">
      <c r="A66" s="201" t="s">
        <v>1102</v>
      </c>
      <c r="B66" s="243" t="s">
        <v>1108</v>
      </c>
      <c r="C66" s="364">
        <v>2.5</v>
      </c>
      <c r="D66" s="364">
        <v>2.5</v>
      </c>
      <c r="E66" s="327"/>
    </row>
    <row r="67" spans="1:6" s="203" customFormat="1" ht="78.75" hidden="1" x14ac:dyDescent="0.25">
      <c r="A67" s="137" t="s">
        <v>1116</v>
      </c>
      <c r="B67" s="242" t="s">
        <v>1115</v>
      </c>
      <c r="C67" s="368">
        <f>C68</f>
        <v>0</v>
      </c>
      <c r="D67" s="368">
        <f>D68</f>
        <v>0</v>
      </c>
      <c r="E67" s="327"/>
    </row>
    <row r="68" spans="1:6" ht="96" hidden="1" customHeight="1" x14ac:dyDescent="0.25">
      <c r="A68" s="201" t="s">
        <v>1101</v>
      </c>
      <c r="B68" s="243" t="s">
        <v>1109</v>
      </c>
      <c r="C68" s="364">
        <v>0</v>
      </c>
      <c r="D68" s="364">
        <v>0</v>
      </c>
      <c r="E68" s="327"/>
    </row>
    <row r="69" spans="1:6" s="203" customFormat="1" ht="70.5" customHeight="1" x14ac:dyDescent="0.25">
      <c r="A69" s="137" t="s">
        <v>1112</v>
      </c>
      <c r="B69" s="244" t="s">
        <v>1111</v>
      </c>
      <c r="C69" s="368">
        <f>C70</f>
        <v>3.8</v>
      </c>
      <c r="D69" s="368">
        <f>D70</f>
        <v>3.8</v>
      </c>
    </row>
    <row r="70" spans="1:6" ht="87.75" customHeight="1" x14ac:dyDescent="0.25">
      <c r="A70" s="201" t="s">
        <v>1105</v>
      </c>
      <c r="B70" s="245" t="s">
        <v>1110</v>
      </c>
      <c r="C70" s="344">
        <v>3.8</v>
      </c>
      <c r="D70" s="344">
        <v>3.8</v>
      </c>
    </row>
    <row r="71" spans="1:6" ht="18.75" hidden="1" x14ac:dyDescent="0.25">
      <c r="A71" s="3" t="s">
        <v>1103</v>
      </c>
      <c r="B71" s="179" t="s">
        <v>767</v>
      </c>
      <c r="C71" s="336">
        <f>C72</f>
        <v>0</v>
      </c>
      <c r="D71" s="336">
        <f>D72</f>
        <v>0</v>
      </c>
    </row>
    <row r="72" spans="1:6" ht="18.75" hidden="1" x14ac:dyDescent="0.25">
      <c r="A72" s="3" t="s">
        <v>1104</v>
      </c>
      <c r="B72" s="179" t="s">
        <v>768</v>
      </c>
      <c r="C72" s="336">
        <f t="shared" ref="C72:D72" si="16">SUM(C73)</f>
        <v>0</v>
      </c>
      <c r="D72" s="336">
        <f t="shared" si="16"/>
        <v>0</v>
      </c>
    </row>
    <row r="73" spans="1:6" ht="18.75" hidden="1" x14ac:dyDescent="0.25">
      <c r="A73" s="2" t="s">
        <v>769</v>
      </c>
      <c r="B73" s="178" t="s">
        <v>770</v>
      </c>
      <c r="C73" s="344">
        <v>0</v>
      </c>
      <c r="D73" s="344">
        <v>0</v>
      </c>
    </row>
    <row r="74" spans="1:6" ht="18.75" x14ac:dyDescent="0.25">
      <c r="A74" s="137" t="s">
        <v>92</v>
      </c>
      <c r="B74" s="138" t="s">
        <v>93</v>
      </c>
      <c r="C74" s="336">
        <f>SUM(C75+C151)</f>
        <v>442875.81999999995</v>
      </c>
      <c r="D74" s="336">
        <f>SUM(D75+D151)</f>
        <v>475279.01999999996</v>
      </c>
      <c r="E74" s="22"/>
      <c r="F74" s="22"/>
    </row>
    <row r="75" spans="1:6" ht="31.5" x14ac:dyDescent="0.25">
      <c r="A75" s="137" t="s">
        <v>94</v>
      </c>
      <c r="B75" s="138" t="s">
        <v>95</v>
      </c>
      <c r="C75" s="336">
        <f>SUM(C76+C81+C117+C143)</f>
        <v>442875.81999999995</v>
      </c>
      <c r="D75" s="336">
        <f>SUM(D76+D81+D117+D143)</f>
        <v>475279.01999999996</v>
      </c>
    </row>
    <row r="76" spans="1:6" ht="18.75" x14ac:dyDescent="0.25">
      <c r="A76" s="137" t="s">
        <v>814</v>
      </c>
      <c r="B76" s="147" t="s">
        <v>96</v>
      </c>
      <c r="C76" s="336">
        <f>C77+C79</f>
        <v>205743</v>
      </c>
      <c r="D76" s="336">
        <f>D77+D79</f>
        <v>205743</v>
      </c>
    </row>
    <row r="77" spans="1:6" s="203" customFormat="1" ht="18.75" x14ac:dyDescent="0.25">
      <c r="A77" s="137" t="s">
        <v>1136</v>
      </c>
      <c r="B77" s="147" t="s">
        <v>1135</v>
      </c>
      <c r="C77" s="336">
        <f t="shared" ref="C77:D77" si="17">C78</f>
        <v>154837</v>
      </c>
      <c r="D77" s="336">
        <f t="shared" si="17"/>
        <v>154837</v>
      </c>
    </row>
    <row r="78" spans="1:6" ht="36.75" customHeight="1" x14ac:dyDescent="0.25">
      <c r="A78" s="201" t="s">
        <v>813</v>
      </c>
      <c r="B78" s="144" t="s">
        <v>1145</v>
      </c>
      <c r="C78" s="344">
        <v>154837</v>
      </c>
      <c r="D78" s="344">
        <v>154837</v>
      </c>
    </row>
    <row r="79" spans="1:6" s="203" customFormat="1" ht="31.5" x14ac:dyDescent="0.25">
      <c r="A79" s="134" t="s">
        <v>1464</v>
      </c>
      <c r="B79" s="138" t="s">
        <v>1465</v>
      </c>
      <c r="C79" s="336">
        <f>C80</f>
        <v>50906</v>
      </c>
      <c r="D79" s="336">
        <f>D80</f>
        <v>50906</v>
      </c>
    </row>
    <row r="80" spans="1:6" s="203" customFormat="1" ht="31.5" x14ac:dyDescent="0.25">
      <c r="A80" s="132" t="s">
        <v>1466</v>
      </c>
      <c r="B80" s="144" t="s">
        <v>1467</v>
      </c>
      <c r="C80" s="344">
        <v>50906</v>
      </c>
      <c r="D80" s="344">
        <v>50906</v>
      </c>
    </row>
    <row r="81" spans="1:4" ht="31.5" x14ac:dyDescent="0.25">
      <c r="A81" s="137" t="s">
        <v>812</v>
      </c>
      <c r="B81" s="138" t="s">
        <v>97</v>
      </c>
      <c r="C81" s="336">
        <f>C91+C96+C101+C92+C94+C88+C86+C82+C84</f>
        <v>14026.500000000002</v>
      </c>
      <c r="D81" s="336">
        <f>D91+D96+D101+D92+D94+D88+D86+D82+D84+D98</f>
        <v>14818.000000000002</v>
      </c>
    </row>
    <row r="82" spans="1:4" s="203" customFormat="1" ht="47.25" hidden="1" x14ac:dyDescent="0.25">
      <c r="A82" s="598" t="s">
        <v>1160</v>
      </c>
      <c r="B82" s="581" t="s">
        <v>1162</v>
      </c>
      <c r="C82" s="338">
        <f>C83</f>
        <v>0</v>
      </c>
      <c r="D82" s="338">
        <f>D83</f>
        <v>0</v>
      </c>
    </row>
    <row r="83" spans="1:4" s="203" customFormat="1" ht="47.25" hidden="1" x14ac:dyDescent="0.25">
      <c r="A83" s="201" t="s">
        <v>1159</v>
      </c>
      <c r="B83" s="45" t="s">
        <v>1161</v>
      </c>
      <c r="C83" s="344">
        <v>0</v>
      </c>
      <c r="D83" s="344">
        <v>0</v>
      </c>
    </row>
    <row r="84" spans="1:4" s="203" customFormat="1" ht="53.45" customHeight="1" x14ac:dyDescent="0.25">
      <c r="A84" s="137" t="s">
        <v>1479</v>
      </c>
      <c r="B84" s="603" t="s">
        <v>1481</v>
      </c>
      <c r="C84" s="336">
        <f>C85</f>
        <v>1677.7</v>
      </c>
      <c r="D84" s="336">
        <f>D85</f>
        <v>2245</v>
      </c>
    </row>
    <row r="85" spans="1:4" s="203" customFormat="1" ht="47.25" x14ac:dyDescent="0.25">
      <c r="A85" s="201" t="s">
        <v>1480</v>
      </c>
      <c r="B85" s="285" t="s">
        <v>1482</v>
      </c>
      <c r="C85" s="344">
        <v>1677.7</v>
      </c>
      <c r="D85" s="344">
        <v>2245</v>
      </c>
    </row>
    <row r="86" spans="1:4" s="203" customFormat="1" ht="47.25" hidden="1" x14ac:dyDescent="0.25">
      <c r="A86" s="137" t="s">
        <v>1163</v>
      </c>
      <c r="B86" s="58" t="s">
        <v>1166</v>
      </c>
      <c r="C86" s="336">
        <f>C87</f>
        <v>0</v>
      </c>
      <c r="D86" s="336">
        <f>D87</f>
        <v>0</v>
      </c>
    </row>
    <row r="87" spans="1:4" s="203" customFormat="1" ht="47.25" hidden="1" x14ac:dyDescent="0.25">
      <c r="A87" s="201" t="s">
        <v>1164</v>
      </c>
      <c r="B87" s="45" t="s">
        <v>1165</v>
      </c>
      <c r="C87" s="344">
        <v>0</v>
      </c>
      <c r="D87" s="344">
        <v>0</v>
      </c>
    </row>
    <row r="88" spans="1:4" s="203" customFormat="1" ht="18.75" hidden="1" x14ac:dyDescent="0.25">
      <c r="A88" s="598"/>
      <c r="B88" s="346" t="s">
        <v>1289</v>
      </c>
      <c r="C88" s="336">
        <f>C89</f>
        <v>0</v>
      </c>
      <c r="D88" s="336">
        <f>D89</f>
        <v>0</v>
      </c>
    </row>
    <row r="89" spans="1:4" s="203" customFormat="1" ht="18.75" hidden="1" x14ac:dyDescent="0.25">
      <c r="A89" s="600"/>
      <c r="B89" s="584"/>
      <c r="C89" s="344">
        <v>0</v>
      </c>
      <c r="D89" s="336">
        <v>0</v>
      </c>
    </row>
    <row r="90" spans="1:4" ht="31.5" x14ac:dyDescent="0.25">
      <c r="A90" s="598" t="s">
        <v>1122</v>
      </c>
      <c r="B90" s="138" t="s">
        <v>1137</v>
      </c>
      <c r="C90" s="336">
        <f>C91</f>
        <v>267.8</v>
      </c>
      <c r="D90" s="336">
        <f>D91</f>
        <v>262.8</v>
      </c>
    </row>
    <row r="91" spans="1:4" s="203" customFormat="1" ht="31.5" x14ac:dyDescent="0.25">
      <c r="A91" s="600" t="s">
        <v>792</v>
      </c>
      <c r="B91" s="144" t="s">
        <v>794</v>
      </c>
      <c r="C91" s="344">
        <v>267.8</v>
      </c>
      <c r="D91" s="344">
        <v>262.8</v>
      </c>
    </row>
    <row r="92" spans="1:4" ht="40.700000000000003" hidden="1" customHeight="1" x14ac:dyDescent="0.25">
      <c r="A92" s="598" t="s">
        <v>1123</v>
      </c>
      <c r="B92" s="146" t="s">
        <v>826</v>
      </c>
      <c r="C92" s="336">
        <f>C93</f>
        <v>0</v>
      </c>
      <c r="D92" s="336">
        <f>D93</f>
        <v>0</v>
      </c>
    </row>
    <row r="93" spans="1:4" ht="39.75" hidden="1" customHeight="1" x14ac:dyDescent="0.25">
      <c r="A93" s="600" t="s">
        <v>825</v>
      </c>
      <c r="B93" s="139" t="s">
        <v>826</v>
      </c>
      <c r="C93" s="344">
        <v>0</v>
      </c>
      <c r="D93" s="344">
        <v>0</v>
      </c>
    </row>
    <row r="94" spans="1:4" s="203" customFormat="1" ht="19.5" hidden="1" customHeight="1" x14ac:dyDescent="0.25">
      <c r="A94" s="265" t="s">
        <v>1156</v>
      </c>
      <c r="B94" s="69" t="s">
        <v>1157</v>
      </c>
      <c r="C94" s="336">
        <f>C95</f>
        <v>0</v>
      </c>
      <c r="D94" s="336">
        <f>D95</f>
        <v>0</v>
      </c>
    </row>
    <row r="95" spans="1:4" s="203" customFormat="1" ht="87.75" hidden="1" customHeight="1" x14ac:dyDescent="0.25">
      <c r="A95" s="267" t="s">
        <v>1154</v>
      </c>
      <c r="B95" s="29" t="s">
        <v>1194</v>
      </c>
      <c r="C95" s="344">
        <v>0</v>
      </c>
      <c r="D95" s="344">
        <v>0</v>
      </c>
    </row>
    <row r="96" spans="1:4" ht="60.75" customHeight="1" x14ac:dyDescent="0.25">
      <c r="A96" s="598" t="s">
        <v>1454</v>
      </c>
      <c r="B96" s="138" t="s">
        <v>1455</v>
      </c>
      <c r="C96" s="336">
        <f t="shared" ref="C96:D100" si="18">SUM(C97)</f>
        <v>5193.6000000000004</v>
      </c>
      <c r="D96" s="336">
        <f t="shared" si="18"/>
        <v>4931.6000000000004</v>
      </c>
    </row>
    <row r="97" spans="1:4" ht="68.25" customHeight="1" x14ac:dyDescent="0.25">
      <c r="A97" s="600" t="s">
        <v>1456</v>
      </c>
      <c r="B97" s="144" t="s">
        <v>1434</v>
      </c>
      <c r="C97" s="344">
        <v>5193.6000000000004</v>
      </c>
      <c r="D97" s="344">
        <v>4931.6000000000004</v>
      </c>
    </row>
    <row r="98" spans="1:4" s="457" customFormat="1" ht="24.75" customHeight="1" x14ac:dyDescent="0.25">
      <c r="A98" s="600" t="s">
        <v>1156</v>
      </c>
      <c r="B98" s="236" t="s">
        <v>1157</v>
      </c>
      <c r="C98" s="344">
        <v>0</v>
      </c>
      <c r="D98" s="344">
        <f>D99</f>
        <v>1306.2</v>
      </c>
    </row>
    <row r="99" spans="1:4" s="457" customFormat="1" ht="18.75" x14ac:dyDescent="0.25">
      <c r="A99" s="600" t="s">
        <v>1154</v>
      </c>
      <c r="B99" s="144" t="s">
        <v>1155</v>
      </c>
      <c r="C99" s="344">
        <v>0</v>
      </c>
      <c r="D99" s="344">
        <v>1306.2</v>
      </c>
    </row>
    <row r="100" spans="1:4" ht="18.75" x14ac:dyDescent="0.25">
      <c r="A100" s="598" t="s">
        <v>1128</v>
      </c>
      <c r="B100" s="138" t="s">
        <v>1127</v>
      </c>
      <c r="C100" s="336">
        <f t="shared" si="18"/>
        <v>6887.4000000000005</v>
      </c>
      <c r="D100" s="336">
        <f t="shared" si="18"/>
        <v>6072.4000000000005</v>
      </c>
    </row>
    <row r="101" spans="1:4" ht="18.75" x14ac:dyDescent="0.25">
      <c r="A101" s="201" t="s">
        <v>810</v>
      </c>
      <c r="B101" s="144" t="s">
        <v>98</v>
      </c>
      <c r="C101" s="361">
        <f>C102+C103+C104+C106+C107+C110+C111+C112+C113+C114+C116+C109+C115+C105</f>
        <v>6887.4000000000005</v>
      </c>
      <c r="D101" s="361">
        <f>D102+D103+D104+D106+D107+D110+D111+D112+D113+D114+D116+D109+D115+D105</f>
        <v>6072.4000000000005</v>
      </c>
    </row>
    <row r="102" spans="1:4" ht="81" customHeight="1" x14ac:dyDescent="0.25">
      <c r="A102" s="610"/>
      <c r="B102" s="139" t="s">
        <v>1608</v>
      </c>
      <c r="C102" s="344">
        <v>65.2</v>
      </c>
      <c r="D102" s="344">
        <v>65.2</v>
      </c>
    </row>
    <row r="103" spans="1:4" s="203" customFormat="1" ht="144.75" customHeight="1" x14ac:dyDescent="0.25">
      <c r="A103" s="611"/>
      <c r="B103" s="149" t="s">
        <v>1613</v>
      </c>
      <c r="C103" s="362">
        <v>1666.6</v>
      </c>
      <c r="D103" s="362">
        <v>915</v>
      </c>
    </row>
    <row r="104" spans="1:4" s="203" customFormat="1" ht="143.44999999999999" hidden="1" customHeight="1" x14ac:dyDescent="0.25">
      <c r="A104" s="611"/>
      <c r="B104" s="29" t="s">
        <v>1158</v>
      </c>
      <c r="C104" s="362">
        <v>0</v>
      </c>
      <c r="D104" s="362">
        <v>0</v>
      </c>
    </row>
    <row r="105" spans="1:4" s="203" customFormat="1" ht="153" customHeight="1" x14ac:dyDescent="0.25">
      <c r="A105" s="611"/>
      <c r="B105" s="29" t="s">
        <v>1616</v>
      </c>
      <c r="C105" s="362">
        <v>200</v>
      </c>
      <c r="D105" s="362">
        <f>C105</f>
        <v>200</v>
      </c>
    </row>
    <row r="106" spans="1:4" ht="94.5" x14ac:dyDescent="0.25">
      <c r="A106" s="611"/>
      <c r="B106" s="419" t="s">
        <v>1609</v>
      </c>
      <c r="C106" s="363">
        <v>2161.1</v>
      </c>
      <c r="D106" s="363">
        <v>2161.1</v>
      </c>
    </row>
    <row r="107" spans="1:4" ht="67.7" hidden="1" customHeight="1" x14ac:dyDescent="0.25">
      <c r="A107" s="611"/>
      <c r="B107" s="149" t="s">
        <v>1432</v>
      </c>
      <c r="C107" s="364"/>
      <c r="D107" s="364"/>
    </row>
    <row r="108" spans="1:4" ht="116.45" hidden="1" customHeight="1" x14ac:dyDescent="0.25">
      <c r="A108" s="611"/>
      <c r="B108" s="420" t="s">
        <v>802</v>
      </c>
      <c r="C108" s="365">
        <v>0</v>
      </c>
      <c r="D108" s="365">
        <v>0</v>
      </c>
    </row>
    <row r="109" spans="1:4" ht="132.75" customHeight="1" x14ac:dyDescent="0.25">
      <c r="A109" s="611"/>
      <c r="B109" s="139" t="s">
        <v>1607</v>
      </c>
      <c r="C109" s="344">
        <v>40</v>
      </c>
      <c r="D109" s="344">
        <v>40</v>
      </c>
    </row>
    <row r="110" spans="1:4" ht="80.45" customHeight="1" x14ac:dyDescent="0.25">
      <c r="A110" s="611"/>
      <c r="B110" s="139" t="s">
        <v>1610</v>
      </c>
      <c r="C110" s="344">
        <v>1731.8</v>
      </c>
      <c r="D110" s="344">
        <v>1665.2</v>
      </c>
    </row>
    <row r="111" spans="1:4" ht="99" customHeight="1" x14ac:dyDescent="0.25">
      <c r="A111" s="611"/>
      <c r="B111" s="139" t="s">
        <v>1612</v>
      </c>
      <c r="C111" s="344">
        <v>255</v>
      </c>
      <c r="D111" s="344">
        <v>255</v>
      </c>
    </row>
    <row r="112" spans="1:4" ht="100.5" customHeight="1" x14ac:dyDescent="0.25">
      <c r="A112" s="611"/>
      <c r="B112" s="139" t="s">
        <v>1611</v>
      </c>
      <c r="C112" s="344">
        <v>516.6</v>
      </c>
      <c r="D112" s="344">
        <v>516.6</v>
      </c>
    </row>
    <row r="113" spans="1:6" s="203" customFormat="1" ht="95.25" hidden="1" customHeight="1" x14ac:dyDescent="0.25">
      <c r="A113" s="611"/>
      <c r="B113" s="29" t="s">
        <v>1167</v>
      </c>
      <c r="C113" s="372">
        <v>0</v>
      </c>
      <c r="D113" s="344">
        <v>0</v>
      </c>
    </row>
    <row r="114" spans="1:6" ht="165.2" customHeight="1" x14ac:dyDescent="0.25">
      <c r="A114" s="611"/>
      <c r="B114" s="421" t="s">
        <v>1614</v>
      </c>
      <c r="C114" s="361">
        <v>173.3</v>
      </c>
      <c r="D114" s="361">
        <v>173.3</v>
      </c>
    </row>
    <row r="115" spans="1:6" s="203" customFormat="1" ht="84.75" customHeight="1" x14ac:dyDescent="0.25">
      <c r="A115" s="611"/>
      <c r="B115" s="422" t="s">
        <v>1615</v>
      </c>
      <c r="C115" s="361">
        <v>77.8</v>
      </c>
      <c r="D115" s="361">
        <v>81</v>
      </c>
    </row>
    <row r="116" spans="1:6" s="203" customFormat="1" ht="63" hidden="1" x14ac:dyDescent="0.25">
      <c r="A116" s="612"/>
      <c r="B116" s="46" t="s">
        <v>1434</v>
      </c>
      <c r="C116" s="361">
        <v>0</v>
      </c>
      <c r="D116" s="361">
        <v>0</v>
      </c>
    </row>
    <row r="117" spans="1:6" ht="24.75" customHeight="1" x14ac:dyDescent="0.25">
      <c r="A117" s="137" t="s">
        <v>809</v>
      </c>
      <c r="B117" s="234" t="s">
        <v>100</v>
      </c>
      <c r="C117" s="336">
        <f>C141+C118+C139</f>
        <v>215880.21999999997</v>
      </c>
      <c r="D117" s="336">
        <f>D141+D118+D139</f>
        <v>247491.91999999998</v>
      </c>
    </row>
    <row r="118" spans="1:6" ht="31.5" x14ac:dyDescent="0.25">
      <c r="A118" s="137" t="s">
        <v>808</v>
      </c>
      <c r="B118" s="146" t="s">
        <v>101</v>
      </c>
      <c r="C118" s="336">
        <f t="shared" ref="C118:D118" si="19">C119</f>
        <v>215317.09999999998</v>
      </c>
      <c r="D118" s="336">
        <f t="shared" si="19"/>
        <v>247144.27</v>
      </c>
    </row>
    <row r="119" spans="1:6" ht="31.5" x14ac:dyDescent="0.25">
      <c r="A119" s="201" t="s">
        <v>807</v>
      </c>
      <c r="B119" s="139" t="s">
        <v>102</v>
      </c>
      <c r="C119" s="344">
        <f>SUM(C120+C121+C122+C123+C124+C125+C126+C129+C130+C131+C132+C133+C134+C135)</f>
        <v>215317.09999999998</v>
      </c>
      <c r="D119" s="344">
        <f>SUM(D120+D121+D122+D123+D124+D125+D126+D129+D130+D131+D132+D133+D134+D135)</f>
        <v>247144.27</v>
      </c>
    </row>
    <row r="120" spans="1:6" ht="116.45" customHeight="1" x14ac:dyDescent="0.25">
      <c r="A120" s="610"/>
      <c r="B120" s="419" t="s">
        <v>1593</v>
      </c>
      <c r="C120" s="364">
        <v>115047.8</v>
      </c>
      <c r="D120" s="364">
        <v>134211.70000000001</v>
      </c>
    </row>
    <row r="121" spans="1:6" ht="83.25" customHeight="1" x14ac:dyDescent="0.25">
      <c r="A121" s="611"/>
      <c r="B121" s="139" t="s">
        <v>1602</v>
      </c>
      <c r="C121" s="364">
        <v>70113.2</v>
      </c>
      <c r="D121" s="364">
        <v>74475.77</v>
      </c>
    </row>
    <row r="122" spans="1:6" ht="112.7" customHeight="1" x14ac:dyDescent="0.25">
      <c r="A122" s="611"/>
      <c r="B122" s="139" t="s">
        <v>1595</v>
      </c>
      <c r="C122" s="364">
        <v>4743.8999999999996</v>
      </c>
      <c r="D122" s="364">
        <f t="shared" ref="D122:D131" si="20">C122</f>
        <v>4743.8999999999996</v>
      </c>
    </row>
    <row r="123" spans="1:6" ht="115.5" customHeight="1" x14ac:dyDescent="0.25">
      <c r="A123" s="611"/>
      <c r="B123" s="139" t="s">
        <v>1594</v>
      </c>
      <c r="C123" s="364">
        <f>2026.3+158.7</f>
        <v>2185</v>
      </c>
      <c r="D123" s="364">
        <f t="shared" si="20"/>
        <v>2185</v>
      </c>
      <c r="E123" s="22"/>
      <c r="F123" s="22"/>
    </row>
    <row r="124" spans="1:6" ht="114.75" customHeight="1" x14ac:dyDescent="0.25">
      <c r="A124" s="611"/>
      <c r="B124" s="139" t="s">
        <v>1596</v>
      </c>
      <c r="C124" s="364">
        <v>1411.1</v>
      </c>
      <c r="D124" s="364">
        <v>1411.1</v>
      </c>
    </row>
    <row r="125" spans="1:6" ht="144" customHeight="1" x14ac:dyDescent="0.25">
      <c r="A125" s="611"/>
      <c r="B125" s="139" t="s">
        <v>1598</v>
      </c>
      <c r="C125" s="364">
        <v>264.2</v>
      </c>
      <c r="D125" s="364">
        <v>274.8</v>
      </c>
    </row>
    <row r="126" spans="1:6" ht="65.25" customHeight="1" x14ac:dyDescent="0.25">
      <c r="A126" s="611"/>
      <c r="B126" s="139" t="s">
        <v>1599</v>
      </c>
      <c r="C126" s="364">
        <f>SUM(C127:C128)</f>
        <v>3650.3999999999996</v>
      </c>
      <c r="D126" s="364">
        <f>SUM(D127:D128)</f>
        <v>3606.4</v>
      </c>
    </row>
    <row r="127" spans="1:6" ht="81.75" customHeight="1" x14ac:dyDescent="0.25">
      <c r="A127" s="611"/>
      <c r="B127" s="423" t="s">
        <v>1600</v>
      </c>
      <c r="C127" s="364">
        <f>пр.1дох.21!C143</f>
        <v>2829.1</v>
      </c>
      <c r="D127" s="364">
        <v>2759</v>
      </c>
    </row>
    <row r="128" spans="1:6" ht="160.5" customHeight="1" x14ac:dyDescent="0.25">
      <c r="A128" s="611"/>
      <c r="B128" s="423" t="s">
        <v>1601</v>
      </c>
      <c r="C128" s="364">
        <v>821.3</v>
      </c>
      <c r="D128" s="364">
        <v>847.4</v>
      </c>
    </row>
    <row r="129" spans="1:4" ht="128.25" customHeight="1" x14ac:dyDescent="0.25">
      <c r="A129" s="611"/>
      <c r="B129" s="139" t="s">
        <v>1603</v>
      </c>
      <c r="C129" s="364">
        <f>пр.1дох.21!C145</f>
        <v>341.4</v>
      </c>
      <c r="D129" s="364">
        <f t="shared" si="20"/>
        <v>341.4</v>
      </c>
    </row>
    <row r="130" spans="1:4" ht="116.45" customHeight="1" x14ac:dyDescent="0.25">
      <c r="A130" s="611"/>
      <c r="B130" s="139" t="s">
        <v>1592</v>
      </c>
      <c r="C130" s="364">
        <v>909.3</v>
      </c>
      <c r="D130" s="364">
        <v>909.3</v>
      </c>
    </row>
    <row r="131" spans="1:4" ht="51.75" customHeight="1" x14ac:dyDescent="0.25">
      <c r="A131" s="611"/>
      <c r="B131" s="139" t="s">
        <v>1604</v>
      </c>
      <c r="C131" s="364">
        <f>пр.1дох.21!C147</f>
        <v>1334.3</v>
      </c>
      <c r="D131" s="364">
        <f t="shared" si="20"/>
        <v>1334.3</v>
      </c>
    </row>
    <row r="132" spans="1:4" ht="197.45" customHeight="1" x14ac:dyDescent="0.25">
      <c r="A132" s="611"/>
      <c r="B132" s="29" t="s">
        <v>1597</v>
      </c>
      <c r="C132" s="364">
        <v>22.3</v>
      </c>
      <c r="D132" s="364">
        <v>22.3</v>
      </c>
    </row>
    <row r="133" spans="1:4" s="203" customFormat="1" ht="164.25" customHeight="1" x14ac:dyDescent="0.25">
      <c r="A133" s="611"/>
      <c r="B133" s="45" t="s">
        <v>1605</v>
      </c>
      <c r="C133" s="364">
        <v>2469.1</v>
      </c>
      <c r="D133" s="364">
        <v>10803.2</v>
      </c>
    </row>
    <row r="134" spans="1:4" s="203" customFormat="1" ht="63" hidden="1" x14ac:dyDescent="0.25">
      <c r="A134" s="611"/>
      <c r="B134" s="139" t="s">
        <v>1457</v>
      </c>
      <c r="C134" s="364"/>
      <c r="D134" s="364"/>
    </row>
    <row r="135" spans="1:4" s="203" customFormat="1" ht="79.5" customHeight="1" x14ac:dyDescent="0.25">
      <c r="A135" s="611"/>
      <c r="B135" s="151" t="s">
        <v>1606</v>
      </c>
      <c r="C135" s="366">
        <f>SUM(C136:C138)</f>
        <v>12825.1</v>
      </c>
      <c r="D135" s="366">
        <f>SUM(D136:D138)</f>
        <v>12825.1</v>
      </c>
    </row>
    <row r="136" spans="1:4" s="203" customFormat="1" ht="55.5" customHeight="1" x14ac:dyDescent="0.25">
      <c r="A136" s="611"/>
      <c r="B136" s="312" t="s">
        <v>1458</v>
      </c>
      <c r="C136" s="367">
        <v>9911</v>
      </c>
      <c r="D136" s="364">
        <f>C136</f>
        <v>9911</v>
      </c>
    </row>
    <row r="137" spans="1:4" s="203" customFormat="1" ht="63" x14ac:dyDescent="0.25">
      <c r="A137" s="611"/>
      <c r="B137" s="312" t="s">
        <v>1459</v>
      </c>
      <c r="C137" s="367">
        <v>2100.6</v>
      </c>
      <c r="D137" s="364">
        <f>C137</f>
        <v>2100.6</v>
      </c>
    </row>
    <row r="138" spans="1:4" s="203" customFormat="1" ht="57.75" customHeight="1" x14ac:dyDescent="0.25">
      <c r="A138" s="612"/>
      <c r="B138" s="312" t="s">
        <v>1460</v>
      </c>
      <c r="C138" s="367">
        <v>813.5</v>
      </c>
      <c r="D138" s="364">
        <f>C138</f>
        <v>813.5</v>
      </c>
    </row>
    <row r="139" spans="1:4" s="203" customFormat="1" ht="63" hidden="1" x14ac:dyDescent="0.25">
      <c r="A139" s="137" t="s">
        <v>1168</v>
      </c>
      <c r="B139" s="58" t="s">
        <v>1170</v>
      </c>
      <c r="C139" s="368">
        <f>C140</f>
        <v>0</v>
      </c>
      <c r="D139" s="368">
        <f>D140</f>
        <v>0</v>
      </c>
    </row>
    <row r="140" spans="1:4" s="203" customFormat="1" ht="63" hidden="1" x14ac:dyDescent="0.25">
      <c r="A140" s="201" t="s">
        <v>1169</v>
      </c>
      <c r="B140" s="45" t="s">
        <v>1170</v>
      </c>
      <c r="C140" s="364">
        <v>0</v>
      </c>
      <c r="D140" s="364">
        <v>0</v>
      </c>
    </row>
    <row r="141" spans="1:4" ht="31.5" x14ac:dyDescent="0.25">
      <c r="A141" s="137" t="s">
        <v>806</v>
      </c>
      <c r="B141" s="146" t="s">
        <v>103</v>
      </c>
      <c r="C141" s="336">
        <f t="shared" ref="C141:D141" si="21">C142</f>
        <v>563.12</v>
      </c>
      <c r="D141" s="336">
        <f t="shared" si="21"/>
        <v>347.65</v>
      </c>
    </row>
    <row r="142" spans="1:4" ht="31.5" x14ac:dyDescent="0.25">
      <c r="A142" s="201" t="s">
        <v>805</v>
      </c>
      <c r="B142" s="139" t="s">
        <v>104</v>
      </c>
      <c r="C142" s="344">
        <f>563.2-0.08</f>
        <v>563.12</v>
      </c>
      <c r="D142" s="344">
        <f>347.7-0.05</f>
        <v>347.65</v>
      </c>
    </row>
    <row r="143" spans="1:4" ht="18.75" x14ac:dyDescent="0.25">
      <c r="A143" s="137" t="s">
        <v>804</v>
      </c>
      <c r="B143" s="146" t="s">
        <v>105</v>
      </c>
      <c r="C143" s="336">
        <f>C144</f>
        <v>7226.1</v>
      </c>
      <c r="D143" s="336">
        <f>D144</f>
        <v>7226.1</v>
      </c>
    </row>
    <row r="144" spans="1:4" s="203" customFormat="1" ht="51.75" customHeight="1" x14ac:dyDescent="0.25">
      <c r="A144" s="599" t="s">
        <v>1399</v>
      </c>
      <c r="B144" s="302" t="s">
        <v>1397</v>
      </c>
      <c r="C144" s="336">
        <f>C145</f>
        <v>7226.1</v>
      </c>
      <c r="D144" s="336">
        <f>D145</f>
        <v>7226.1</v>
      </c>
    </row>
    <row r="145" spans="1:4" s="203" customFormat="1" ht="65.25" customHeight="1" x14ac:dyDescent="0.25">
      <c r="A145" s="201" t="s">
        <v>1400</v>
      </c>
      <c r="B145" s="286" t="s">
        <v>1617</v>
      </c>
      <c r="C145" s="344">
        <v>7226.1</v>
      </c>
      <c r="D145" s="344">
        <v>7226.1</v>
      </c>
    </row>
    <row r="146" spans="1:4" ht="18.75" hidden="1" x14ac:dyDescent="0.25">
      <c r="A146" s="137" t="s">
        <v>803</v>
      </c>
      <c r="B146" s="146" t="s">
        <v>106</v>
      </c>
      <c r="C146" s="336">
        <f t="shared" ref="C146:D146" si="22">C147</f>
        <v>0</v>
      </c>
      <c r="D146" s="336">
        <f t="shared" si="22"/>
        <v>0</v>
      </c>
    </row>
    <row r="147" spans="1:4" s="203" customFormat="1" ht="31.5" hidden="1" x14ac:dyDescent="0.25">
      <c r="A147" s="201" t="s">
        <v>815</v>
      </c>
      <c r="B147" s="139" t="s">
        <v>1129</v>
      </c>
      <c r="C147" s="344">
        <f>SUM(C148:C150)</f>
        <v>0</v>
      </c>
      <c r="D147" s="344">
        <f>SUM(D148:D150)</f>
        <v>0</v>
      </c>
    </row>
    <row r="148" spans="1:4" ht="126" hidden="1" x14ac:dyDescent="0.25">
      <c r="A148" s="610"/>
      <c r="B148" s="151" t="s">
        <v>787</v>
      </c>
      <c r="C148" s="367">
        <f>пр.1дох.21!C168</f>
        <v>0</v>
      </c>
      <c r="D148" s="367">
        <f>C148</f>
        <v>0</v>
      </c>
    </row>
    <row r="149" spans="1:4" ht="126" hidden="1" x14ac:dyDescent="0.25">
      <c r="A149" s="611"/>
      <c r="B149" s="151" t="s">
        <v>788</v>
      </c>
      <c r="C149" s="367">
        <f>пр.1дох.21!C169</f>
        <v>0</v>
      </c>
      <c r="D149" s="367">
        <f t="shared" ref="D149:D150" si="23">C149</f>
        <v>0</v>
      </c>
    </row>
    <row r="150" spans="1:4" ht="126" hidden="1" x14ac:dyDescent="0.25">
      <c r="A150" s="612"/>
      <c r="B150" s="151" t="s">
        <v>829</v>
      </c>
      <c r="C150" s="367">
        <f>пр.1дох.21!C170</f>
        <v>0</v>
      </c>
      <c r="D150" s="367">
        <f t="shared" si="23"/>
        <v>0</v>
      </c>
    </row>
    <row r="151" spans="1:4" ht="18.75" hidden="1" x14ac:dyDescent="0.25">
      <c r="A151" s="461" t="s">
        <v>783</v>
      </c>
      <c r="B151" s="187" t="s">
        <v>784</v>
      </c>
      <c r="C151" s="369">
        <f>SUM(C152)</f>
        <v>0</v>
      </c>
      <c r="D151" s="369">
        <f>SUM(D152)</f>
        <v>0</v>
      </c>
    </row>
    <row r="152" spans="1:4" ht="18.75" hidden="1" x14ac:dyDescent="0.25">
      <c r="A152" s="461" t="s">
        <v>785</v>
      </c>
      <c r="B152" s="187" t="s">
        <v>786</v>
      </c>
      <c r="C152" s="369">
        <f>SUM(C153)</f>
        <v>0</v>
      </c>
      <c r="D152" s="369">
        <f>SUM(D153)</f>
        <v>0</v>
      </c>
    </row>
    <row r="153" spans="1:4" ht="18.75" hidden="1" x14ac:dyDescent="0.25">
      <c r="A153" s="604" t="s">
        <v>834</v>
      </c>
      <c r="B153" s="190" t="s">
        <v>786</v>
      </c>
      <c r="C153" s="369">
        <f>SUM(C155:C156)</f>
        <v>0</v>
      </c>
      <c r="D153" s="369">
        <f>SUM(D155:D156)</f>
        <v>0</v>
      </c>
    </row>
    <row r="154" spans="1:4" ht="18.75" hidden="1" x14ac:dyDescent="0.25">
      <c r="A154" s="605"/>
      <c r="B154" s="190" t="s">
        <v>99</v>
      </c>
      <c r="C154" s="369"/>
      <c r="D154" s="369"/>
    </row>
    <row r="155" spans="1:4" ht="94.5" hidden="1" x14ac:dyDescent="0.25">
      <c r="A155" s="605"/>
      <c r="B155" s="188" t="s">
        <v>831</v>
      </c>
      <c r="C155" s="367">
        <v>0</v>
      </c>
      <c r="D155" s="367">
        <v>0</v>
      </c>
    </row>
    <row r="156" spans="1:4" ht="78.75" hidden="1" x14ac:dyDescent="0.25">
      <c r="A156" s="614"/>
      <c r="B156" s="188" t="s">
        <v>832</v>
      </c>
      <c r="C156" s="367">
        <v>0</v>
      </c>
      <c r="D156" s="367">
        <v>0</v>
      </c>
    </row>
    <row r="157" spans="1:4" ht="18.75" x14ac:dyDescent="0.25">
      <c r="A157" s="201"/>
      <c r="B157" s="184" t="s">
        <v>107</v>
      </c>
      <c r="C157" s="336">
        <f>SUM(C9+C74)</f>
        <v>733748.73399999994</v>
      </c>
      <c r="D157" s="336">
        <f>SUM(D9+D74)</f>
        <v>776239.07400000002</v>
      </c>
    </row>
    <row r="158" spans="1:4" x14ac:dyDescent="0.25">
      <c r="C158" s="115">
        <f>C74-C76</f>
        <v>237132.81999999995</v>
      </c>
      <c r="D158" s="115">
        <f>D74-D76</f>
        <v>269536.01999999996</v>
      </c>
    </row>
    <row r="159" spans="1:4" x14ac:dyDescent="0.25">
      <c r="C159" s="115">
        <f>C9+C78+C80</f>
        <v>496615.91400000005</v>
      </c>
      <c r="D159" s="115">
        <f>D9+D78+D80</f>
        <v>506703.054</v>
      </c>
    </row>
    <row r="161" spans="2:4" x14ac:dyDescent="0.25">
      <c r="B161" s="173" t="s">
        <v>1800</v>
      </c>
      <c r="C161" s="115">
        <v>736280.6</v>
      </c>
      <c r="D161" s="115">
        <v>777267.4</v>
      </c>
    </row>
    <row r="162" spans="2:4" x14ac:dyDescent="0.25">
      <c r="C162" s="115">
        <f>C157-C161</f>
        <v>-2531.8660000000382</v>
      </c>
      <c r="D162" s="115">
        <f>D157-D161</f>
        <v>-1028.3260000000009</v>
      </c>
    </row>
  </sheetData>
  <mergeCells count="10">
    <mergeCell ref="C3:D3"/>
    <mergeCell ref="C2:D2"/>
    <mergeCell ref="C1:D1"/>
    <mergeCell ref="A153:A156"/>
    <mergeCell ref="A4:D4"/>
    <mergeCell ref="A5:D5"/>
    <mergeCell ref="A6:D6"/>
    <mergeCell ref="A148:A150"/>
    <mergeCell ref="A120:A138"/>
    <mergeCell ref="A102:A116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3" orientation="portrait" r:id="rId7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BreakPreview" zoomScale="93" zoomScaleNormal="100" zoomScaleSheetLayoutView="93" workbookViewId="0">
      <selection activeCell="B2" sqref="B2:C2"/>
    </sheetView>
  </sheetViews>
  <sheetFormatPr defaultRowHeight="15" x14ac:dyDescent="0.25"/>
  <cols>
    <col min="1" max="1" width="34" customWidth="1"/>
    <col min="2" max="2" width="51.7109375" customWidth="1"/>
    <col min="3" max="3" width="18.85546875" customWidth="1"/>
  </cols>
  <sheetData>
    <row r="1" spans="1:3" ht="15.75" x14ac:dyDescent="0.25">
      <c r="A1" s="12"/>
      <c r="B1" s="643" t="s">
        <v>1828</v>
      </c>
      <c r="C1" s="643"/>
    </row>
    <row r="2" spans="1:3" ht="15.75" x14ac:dyDescent="0.25">
      <c r="A2" s="12"/>
      <c r="B2" s="643" t="s">
        <v>1829</v>
      </c>
      <c r="C2" s="643"/>
    </row>
    <row r="3" spans="1:3" ht="15.75" x14ac:dyDescent="0.25">
      <c r="A3" s="12"/>
      <c r="B3" s="642" t="s">
        <v>1827</v>
      </c>
      <c r="C3" s="642"/>
    </row>
    <row r="4" spans="1:3" s="203" customFormat="1" ht="15.75" x14ac:dyDescent="0.25">
      <c r="A4" s="12"/>
      <c r="B4" s="12"/>
      <c r="C4" s="405"/>
    </row>
    <row r="5" spans="1:3" ht="16.5" x14ac:dyDescent="0.25">
      <c r="A5" s="638" t="s">
        <v>659</v>
      </c>
      <c r="B5" s="638"/>
      <c r="C5" s="638"/>
    </row>
    <row r="6" spans="1:3" ht="16.5" x14ac:dyDescent="0.25">
      <c r="A6" s="638" t="s">
        <v>1336</v>
      </c>
      <c r="B6" s="638"/>
      <c r="C6" s="638"/>
    </row>
    <row r="7" spans="1:3" ht="15.75" x14ac:dyDescent="0.25">
      <c r="A7" s="82"/>
      <c r="B7" s="82"/>
    </row>
    <row r="8" spans="1:3" ht="15.75" x14ac:dyDescent="0.25">
      <c r="A8" s="12"/>
      <c r="B8" s="12"/>
      <c r="C8" s="83" t="s">
        <v>1</v>
      </c>
    </row>
    <row r="9" spans="1:3" ht="28.5" customHeight="1" x14ac:dyDescent="0.25">
      <c r="A9" s="79" t="s">
        <v>660</v>
      </c>
      <c r="B9" s="79" t="s">
        <v>661</v>
      </c>
      <c r="C9" s="176" t="s">
        <v>1028</v>
      </c>
    </row>
    <row r="10" spans="1:3" ht="33" x14ac:dyDescent="0.25">
      <c r="A10" s="84" t="s">
        <v>662</v>
      </c>
      <c r="B10" s="85" t="s">
        <v>663</v>
      </c>
      <c r="C10" s="401">
        <f>C11-C13</f>
        <v>34877.70549000008</v>
      </c>
    </row>
    <row r="11" spans="1:3" ht="33" customHeight="1" x14ac:dyDescent="0.25">
      <c r="A11" s="86" t="s">
        <v>664</v>
      </c>
      <c r="B11" s="87" t="s">
        <v>665</v>
      </c>
      <c r="C11" s="402">
        <f>C12</f>
        <v>41672.199999999997</v>
      </c>
    </row>
    <row r="12" spans="1:3" ht="31.5" x14ac:dyDescent="0.25">
      <c r="A12" s="88" t="s">
        <v>666</v>
      </c>
      <c r="B12" s="89" t="s">
        <v>667</v>
      </c>
      <c r="C12" s="403">
        <v>41672.199999999997</v>
      </c>
    </row>
    <row r="13" spans="1:3" ht="32.25" customHeight="1" x14ac:dyDescent="0.25">
      <c r="A13" s="86" t="s">
        <v>668</v>
      </c>
      <c r="B13" s="87" t="s">
        <v>669</v>
      </c>
      <c r="C13" s="401">
        <f>C14</f>
        <v>6794.4945099999168</v>
      </c>
    </row>
    <row r="14" spans="1:3" ht="32.65" customHeight="1" x14ac:dyDescent="0.25">
      <c r="A14" s="88" t="s">
        <v>670</v>
      </c>
      <c r="B14" s="89" t="s">
        <v>671</v>
      </c>
      <c r="C14" s="403">
        <f>C12+C20</f>
        <v>6794.4945099999168</v>
      </c>
    </row>
    <row r="15" spans="1:3" ht="16.5" x14ac:dyDescent="0.25">
      <c r="A15" s="86" t="s">
        <v>657</v>
      </c>
      <c r="B15" s="89"/>
      <c r="C15" s="404">
        <f>C12-C14</f>
        <v>34877.70549000008</v>
      </c>
    </row>
    <row r="17" spans="2:4" ht="15.75" x14ac:dyDescent="0.25">
      <c r="B17" s="641" t="s">
        <v>1826</v>
      </c>
    </row>
    <row r="18" spans="2:4" x14ac:dyDescent="0.25">
      <c r="B18" t="s">
        <v>672</v>
      </c>
      <c r="C18">
        <f>пр.1дох.21!C189</f>
        <v>936302.3528799999</v>
      </c>
    </row>
    <row r="19" spans="2:4" x14ac:dyDescent="0.25">
      <c r="B19" t="s">
        <v>673</v>
      </c>
      <c r="C19" s="22">
        <f>'Пр.4 ведом.21'!G1245</f>
        <v>971180.05836999998</v>
      </c>
    </row>
    <row r="20" spans="2:4" x14ac:dyDescent="0.25">
      <c r="B20" t="s">
        <v>674</v>
      </c>
      <c r="C20" s="22">
        <f>C18-C19</f>
        <v>-34877.70549000008</v>
      </c>
    </row>
    <row r="21" spans="2:4" x14ac:dyDescent="0.25">
      <c r="C21" t="s">
        <v>1689</v>
      </c>
    </row>
    <row r="22" spans="2:4" x14ac:dyDescent="0.25">
      <c r="D22" s="22"/>
    </row>
    <row r="24" spans="2:4" x14ac:dyDescent="0.25">
      <c r="C24" s="22">
        <f>C15-35839</f>
        <v>-961.29450999991968</v>
      </c>
    </row>
  </sheetData>
  <mergeCells count="5">
    <mergeCell ref="A5:C5"/>
    <mergeCell ref="A6:C6"/>
    <mergeCell ref="B3:C3"/>
    <mergeCell ref="B2:C2"/>
    <mergeCell ref="B1:C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03" sqref="C103:D103"/>
    </sheetView>
  </sheetViews>
  <sheetFormatPr defaultColWidth="9.140625" defaultRowHeight="15" x14ac:dyDescent="0.25"/>
  <cols>
    <col min="1" max="1" width="38.7109375" style="457" customWidth="1"/>
    <col min="2" max="2" width="41.42578125" style="457" customWidth="1"/>
    <col min="3" max="3" width="13" style="457" customWidth="1"/>
    <col min="4" max="4" width="14.85546875" style="457" customWidth="1"/>
    <col min="5" max="16384" width="9.140625" style="457"/>
  </cols>
  <sheetData>
    <row r="1" spans="1:4" ht="15.75" x14ac:dyDescent="0.25">
      <c r="A1" s="12"/>
      <c r="D1" s="196" t="s">
        <v>1089</v>
      </c>
    </row>
    <row r="2" spans="1:4" ht="15.75" x14ac:dyDescent="0.25">
      <c r="A2" s="12"/>
      <c r="B2" s="12"/>
      <c r="D2" s="196" t="s">
        <v>0</v>
      </c>
    </row>
    <row r="3" spans="1:4" ht="15.75" x14ac:dyDescent="0.25">
      <c r="A3" s="12"/>
      <c r="B3" s="12"/>
    </row>
    <row r="4" spans="1:4" ht="16.5" x14ac:dyDescent="0.25">
      <c r="A4" s="638" t="s">
        <v>659</v>
      </c>
      <c r="B4" s="638"/>
      <c r="C4" s="638"/>
      <c r="D4" s="638"/>
    </row>
    <row r="5" spans="1:4" ht="16.5" x14ac:dyDescent="0.25">
      <c r="A5" s="638" t="s">
        <v>1343</v>
      </c>
      <c r="B5" s="638"/>
      <c r="C5" s="638"/>
      <c r="D5" s="638"/>
    </row>
    <row r="6" spans="1:4" ht="15.75" x14ac:dyDescent="0.25">
      <c r="A6" s="535"/>
      <c r="B6" s="535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660</v>
      </c>
      <c r="B8" s="79" t="s">
        <v>661</v>
      </c>
      <c r="C8" s="176" t="s">
        <v>1029</v>
      </c>
      <c r="D8" s="176" t="s">
        <v>1295</v>
      </c>
    </row>
    <row r="9" spans="1:4" ht="44.45" customHeight="1" x14ac:dyDescent="0.25">
      <c r="A9" s="84" t="s">
        <v>662</v>
      </c>
      <c r="B9" s="85" t="s">
        <v>663</v>
      </c>
      <c r="C9" s="232">
        <f>C10-C12</f>
        <v>0</v>
      </c>
      <c r="D9" s="232">
        <f>D10-D12</f>
        <v>0</v>
      </c>
    </row>
    <row r="10" spans="1:4" ht="33.75" customHeight="1" x14ac:dyDescent="0.25">
      <c r="A10" s="86" t="s">
        <v>664</v>
      </c>
      <c r="B10" s="87" t="s">
        <v>665</v>
      </c>
      <c r="C10" s="308">
        <f>C11</f>
        <v>0</v>
      </c>
      <c r="D10" s="232">
        <f>D11</f>
        <v>0</v>
      </c>
    </row>
    <row r="11" spans="1:4" ht="36.75" customHeight="1" x14ac:dyDescent="0.25">
      <c r="A11" s="88" t="s">
        <v>666</v>
      </c>
      <c r="B11" s="89" t="s">
        <v>667</v>
      </c>
      <c r="C11" s="283">
        <f>C19*(-1)</f>
        <v>0</v>
      </c>
      <c r="D11" s="233">
        <f>D19*(-1)</f>
        <v>0</v>
      </c>
    </row>
    <row r="12" spans="1:4" ht="33" customHeight="1" x14ac:dyDescent="0.25">
      <c r="A12" s="86" t="s">
        <v>668</v>
      </c>
      <c r="B12" s="87" t="s">
        <v>669</v>
      </c>
      <c r="C12" s="232">
        <f>C13</f>
        <v>0</v>
      </c>
      <c r="D12" s="232">
        <f t="shared" ref="D12:D13" si="0">C12</f>
        <v>0</v>
      </c>
    </row>
    <row r="13" spans="1:4" ht="30.75" customHeight="1" x14ac:dyDescent="0.25">
      <c r="A13" s="88" t="s">
        <v>670</v>
      </c>
      <c r="B13" s="89" t="s">
        <v>671</v>
      </c>
      <c r="C13" s="283">
        <f>C11+C19</f>
        <v>0</v>
      </c>
      <c r="D13" s="233">
        <f t="shared" si="0"/>
        <v>0</v>
      </c>
    </row>
    <row r="14" spans="1:4" ht="16.5" x14ac:dyDescent="0.25">
      <c r="A14" s="86" t="s">
        <v>657</v>
      </c>
      <c r="B14" s="89"/>
      <c r="C14" s="284">
        <f>C11-C13</f>
        <v>0</v>
      </c>
      <c r="D14" s="284">
        <f>D11-D13</f>
        <v>0</v>
      </c>
    </row>
    <row r="17" spans="2:4" x14ac:dyDescent="0.25">
      <c r="B17" s="457" t="s">
        <v>672</v>
      </c>
      <c r="C17" s="307">
        <f>'Пр.1.1. дох.22-23 (2)'!C155</f>
        <v>736280.6</v>
      </c>
      <c r="D17" s="307">
        <f>'Пр.1.1. дох.22-23 (2)'!D155</f>
        <v>777267.39999999991</v>
      </c>
    </row>
    <row r="18" spans="2:4" x14ac:dyDescent="0.25">
      <c r="B18" s="457" t="s">
        <v>673</v>
      </c>
      <c r="C18" s="307">
        <f>'пр.6.1.ведом.22-23 (2)'!G1094</f>
        <v>736280.59999999986</v>
      </c>
      <c r="D18" s="307">
        <f>'пр.6.1.ведом.22-23 (2)'!H1094</f>
        <v>777267.39999999991</v>
      </c>
    </row>
    <row r="19" spans="2:4" x14ac:dyDescent="0.25">
      <c r="B19" s="457" t="s">
        <v>674</v>
      </c>
      <c r="C19" s="307">
        <f t="shared" ref="C19:D19" si="1">C17-C18</f>
        <v>0</v>
      </c>
      <c r="D19" s="307">
        <f t="shared" si="1"/>
        <v>0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9" sqref="C19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03"/>
      <c r="D1" s="196" t="s">
        <v>1089</v>
      </c>
    </row>
    <row r="2" spans="1:4" ht="15.75" x14ac:dyDescent="0.25">
      <c r="A2" s="12"/>
      <c r="B2" s="12"/>
      <c r="D2" s="196" t="s">
        <v>0</v>
      </c>
    </row>
    <row r="3" spans="1:4" ht="15.75" x14ac:dyDescent="0.25">
      <c r="A3" s="12"/>
      <c r="B3" s="12"/>
      <c r="C3" s="203"/>
    </row>
    <row r="4" spans="1:4" ht="16.5" x14ac:dyDescent="0.25">
      <c r="A4" s="638" t="s">
        <v>659</v>
      </c>
      <c r="B4" s="638"/>
      <c r="C4" s="638"/>
      <c r="D4" s="638"/>
    </row>
    <row r="5" spans="1:4" ht="16.5" x14ac:dyDescent="0.25">
      <c r="A5" s="638" t="s">
        <v>1343</v>
      </c>
      <c r="B5" s="638"/>
      <c r="C5" s="638"/>
      <c r="D5" s="638"/>
    </row>
    <row r="6" spans="1:4" ht="15.75" x14ac:dyDescent="0.25">
      <c r="A6" s="82"/>
      <c r="B6" s="82"/>
      <c r="C6" s="203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660</v>
      </c>
      <c r="B8" s="79" t="s">
        <v>661</v>
      </c>
      <c r="C8" s="176" t="s">
        <v>1029</v>
      </c>
      <c r="D8" s="176" t="s">
        <v>1295</v>
      </c>
    </row>
    <row r="9" spans="1:4" ht="44.45" customHeight="1" x14ac:dyDescent="0.25">
      <c r="A9" s="84" t="s">
        <v>662</v>
      </c>
      <c r="B9" s="85" t="s">
        <v>663</v>
      </c>
      <c r="C9" s="232">
        <f>C10-C12</f>
        <v>-1.6150000039488077E-2</v>
      </c>
      <c r="D9" s="232">
        <f>D10-D12</f>
        <v>-2.4000000092200935E-2</v>
      </c>
    </row>
    <row r="10" spans="1:4" ht="33.75" customHeight="1" x14ac:dyDescent="0.25">
      <c r="A10" s="86" t="s">
        <v>664</v>
      </c>
      <c r="B10" s="87" t="s">
        <v>665</v>
      </c>
      <c r="C10" s="308">
        <f>C11</f>
        <v>-1.6150000039488077E-2</v>
      </c>
      <c r="D10" s="232">
        <f>D11</f>
        <v>-2.4000000092200935E-2</v>
      </c>
    </row>
    <row r="11" spans="1:4" ht="36.75" customHeight="1" x14ac:dyDescent="0.25">
      <c r="A11" s="88" t="s">
        <v>666</v>
      </c>
      <c r="B11" s="89" t="s">
        <v>667</v>
      </c>
      <c r="C11" s="283">
        <f>C19*(-1)</f>
        <v>-1.6150000039488077E-2</v>
      </c>
      <c r="D11" s="233">
        <f>D19*(-1)</f>
        <v>-2.4000000092200935E-2</v>
      </c>
    </row>
    <row r="12" spans="1:4" ht="33" customHeight="1" x14ac:dyDescent="0.25">
      <c r="A12" s="86" t="s">
        <v>668</v>
      </c>
      <c r="B12" s="87" t="s">
        <v>669</v>
      </c>
      <c r="C12" s="232">
        <f>C13</f>
        <v>0</v>
      </c>
      <c r="D12" s="232">
        <f t="shared" ref="D12:D13" si="0">C12</f>
        <v>0</v>
      </c>
    </row>
    <row r="13" spans="1:4" ht="30.75" customHeight="1" x14ac:dyDescent="0.25">
      <c r="A13" s="88" t="s">
        <v>670</v>
      </c>
      <c r="B13" s="89" t="s">
        <v>671</v>
      </c>
      <c r="C13" s="283">
        <f>C11+C19</f>
        <v>0</v>
      </c>
      <c r="D13" s="233">
        <f t="shared" si="0"/>
        <v>0</v>
      </c>
    </row>
    <row r="14" spans="1:4" ht="16.5" x14ac:dyDescent="0.25">
      <c r="A14" s="86" t="s">
        <v>657</v>
      </c>
      <c r="B14" s="89"/>
      <c r="C14" s="284">
        <f>C11-C13</f>
        <v>-1.6150000039488077E-2</v>
      </c>
      <c r="D14" s="284">
        <f>D11-D13</f>
        <v>-2.4000000092200935E-2</v>
      </c>
    </row>
    <row r="15" spans="1:4" x14ac:dyDescent="0.25">
      <c r="A15" s="203"/>
      <c r="B15" s="203"/>
      <c r="C15" s="203"/>
    </row>
    <row r="16" spans="1:4" x14ac:dyDescent="0.25">
      <c r="A16" s="203"/>
      <c r="B16" s="203"/>
      <c r="C16" s="203"/>
    </row>
    <row r="17" spans="1:4" x14ac:dyDescent="0.25">
      <c r="A17" s="203"/>
      <c r="B17" s="203" t="s">
        <v>672</v>
      </c>
      <c r="C17" s="307">
        <f>'Пр.1.1. дох.22-23'!C157</f>
        <v>733748.73399999994</v>
      </c>
      <c r="D17" s="307">
        <f>'Пр.1.1. дох.22-23'!D157</f>
        <v>776239.07400000002</v>
      </c>
    </row>
    <row r="18" spans="1:4" x14ac:dyDescent="0.25">
      <c r="A18" s="203"/>
      <c r="B18" s="203" t="s">
        <v>673</v>
      </c>
      <c r="C18" s="307">
        <f>'пр.4.1.ведом.22-23'!G1094</f>
        <v>733748.7178499999</v>
      </c>
      <c r="D18" s="307">
        <f>'пр.4.1.ведом.22-23'!H1094</f>
        <v>776239.04999999993</v>
      </c>
    </row>
    <row r="19" spans="1:4" x14ac:dyDescent="0.25">
      <c r="A19" s="203"/>
      <c r="B19" s="203" t="s">
        <v>674</v>
      </c>
      <c r="C19" s="307">
        <f t="shared" ref="C19:D19" si="1">C17-C18</f>
        <v>1.6150000039488077E-2</v>
      </c>
      <c r="D19" s="307">
        <f t="shared" si="1"/>
        <v>2.4000000092200935E-2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8"/>
  <sheetViews>
    <sheetView topLeftCell="B19" zoomScaleNormal="100" workbookViewId="0">
      <selection activeCell="H27" sqref="H27:H28"/>
    </sheetView>
  </sheetViews>
  <sheetFormatPr defaultRowHeight="15.75" x14ac:dyDescent="0.25"/>
  <cols>
    <col min="1" max="1" width="32.28515625" style="562" hidden="1" customWidth="1"/>
    <col min="2" max="2" width="32.28515625" style="562" customWidth="1"/>
    <col min="3" max="3" width="6" style="562" customWidth="1"/>
    <col min="4" max="4" width="6.28515625" style="562" customWidth="1"/>
    <col min="5" max="5" width="6.7109375" style="562" customWidth="1"/>
    <col min="6" max="6" width="15.28515625" style="562" customWidth="1"/>
    <col min="7" max="7" width="10.28515625" style="562" customWidth="1"/>
    <col min="8" max="8" width="21.42578125" style="564" customWidth="1"/>
    <col min="9" max="9" width="32.28515625" style="562" customWidth="1"/>
  </cols>
  <sheetData>
    <row r="4" spans="1:9" ht="63.6" customHeight="1" x14ac:dyDescent="0.25">
      <c r="B4" s="639" t="s">
        <v>1776</v>
      </c>
      <c r="C4" s="460">
        <v>903</v>
      </c>
      <c r="D4" s="462" t="s">
        <v>264</v>
      </c>
      <c r="E4" s="462" t="s">
        <v>215</v>
      </c>
      <c r="F4" s="462" t="s">
        <v>1777</v>
      </c>
      <c r="G4" s="462" t="s">
        <v>1778</v>
      </c>
      <c r="H4" s="563">
        <v>140500</v>
      </c>
    </row>
    <row r="5" spans="1:9" x14ac:dyDescent="0.25">
      <c r="B5" s="639"/>
      <c r="C5" s="460">
        <v>903</v>
      </c>
      <c r="D5" s="462" t="s">
        <v>264</v>
      </c>
      <c r="E5" s="462" t="s">
        <v>215</v>
      </c>
      <c r="F5" s="462" t="s">
        <v>1777</v>
      </c>
      <c r="G5" s="462" t="s">
        <v>1779</v>
      </c>
      <c r="H5" s="563">
        <v>42400</v>
      </c>
    </row>
    <row r="6" spans="1:9" s="457" customFormat="1" x14ac:dyDescent="0.25">
      <c r="A6" s="562"/>
      <c r="B6" s="565" t="s">
        <v>1789</v>
      </c>
      <c r="C6" s="460"/>
      <c r="D6" s="462"/>
      <c r="E6" s="462"/>
      <c r="F6" s="462"/>
      <c r="G6" s="462"/>
      <c r="H6" s="563">
        <f>SUM(H4:H5)</f>
        <v>182900</v>
      </c>
      <c r="I6" s="562"/>
    </row>
    <row r="7" spans="1:9" ht="27.6" customHeight="1" x14ac:dyDescent="0.25">
      <c r="B7" s="639" t="s">
        <v>1776</v>
      </c>
      <c r="C7" s="460">
        <v>903</v>
      </c>
      <c r="D7" s="462" t="s">
        <v>238</v>
      </c>
      <c r="E7" s="462" t="s">
        <v>213</v>
      </c>
      <c r="F7" s="462" t="s">
        <v>1777</v>
      </c>
      <c r="G7" s="462" t="s">
        <v>1778</v>
      </c>
      <c r="H7" s="563">
        <v>90300</v>
      </c>
    </row>
    <row r="8" spans="1:9" ht="31.15" customHeight="1" x14ac:dyDescent="0.25">
      <c r="B8" s="639"/>
      <c r="C8" s="460">
        <v>903</v>
      </c>
      <c r="D8" s="462" t="s">
        <v>238</v>
      </c>
      <c r="E8" s="462" t="s">
        <v>213</v>
      </c>
      <c r="F8" s="462" t="s">
        <v>1777</v>
      </c>
      <c r="G8" s="462" t="s">
        <v>1779</v>
      </c>
      <c r="H8" s="563">
        <v>27250</v>
      </c>
    </row>
    <row r="9" spans="1:9" s="457" customFormat="1" x14ac:dyDescent="0.25">
      <c r="A9" s="562"/>
      <c r="B9" s="565" t="s">
        <v>1790</v>
      </c>
      <c r="C9" s="460"/>
      <c r="D9" s="462"/>
      <c r="E9" s="462"/>
      <c r="F9" s="462"/>
      <c r="G9" s="462"/>
      <c r="H9" s="563">
        <f>SUM(H7:H8)</f>
        <v>117550</v>
      </c>
      <c r="I9" s="562"/>
    </row>
    <row r="10" spans="1:9" s="457" customFormat="1" ht="27.6" customHeight="1" x14ac:dyDescent="0.25">
      <c r="A10" s="562"/>
      <c r="B10" s="639" t="s">
        <v>1776</v>
      </c>
      <c r="C10" s="460">
        <v>906</v>
      </c>
      <c r="D10" s="462" t="s">
        <v>264</v>
      </c>
      <c r="E10" s="462" t="s">
        <v>215</v>
      </c>
      <c r="F10" s="462" t="s">
        <v>1780</v>
      </c>
      <c r="G10" s="462" t="s">
        <v>1785</v>
      </c>
      <c r="H10" s="563">
        <v>205680</v>
      </c>
      <c r="I10" s="562"/>
    </row>
    <row r="11" spans="1:9" s="457" customFormat="1" ht="31.15" customHeight="1" x14ac:dyDescent="0.25">
      <c r="A11" s="562"/>
      <c r="B11" s="639"/>
      <c r="C11" s="460">
        <v>903</v>
      </c>
      <c r="D11" s="462" t="s">
        <v>264</v>
      </c>
      <c r="E11" s="462" t="s">
        <v>215</v>
      </c>
      <c r="F11" s="462" t="s">
        <v>1780</v>
      </c>
      <c r="G11" s="462" t="s">
        <v>1786</v>
      </c>
      <c r="H11" s="563">
        <v>62120</v>
      </c>
      <c r="I11" s="562"/>
    </row>
    <row r="12" spans="1:9" x14ac:dyDescent="0.25">
      <c r="B12" s="566" t="s">
        <v>1791</v>
      </c>
      <c r="C12" s="566"/>
      <c r="D12" s="566"/>
      <c r="E12" s="566"/>
      <c r="F12" s="566"/>
      <c r="G12" s="566"/>
      <c r="H12" s="563">
        <f>SUM(H10:H11)</f>
        <v>267800</v>
      </c>
    </row>
    <row r="13" spans="1:9" ht="44.45" customHeight="1" x14ac:dyDescent="0.25">
      <c r="B13" s="639" t="s">
        <v>1776</v>
      </c>
      <c r="C13" s="460">
        <v>907</v>
      </c>
      <c r="D13" s="462" t="s">
        <v>491</v>
      </c>
      <c r="E13" s="462" t="s">
        <v>118</v>
      </c>
      <c r="F13" s="462" t="s">
        <v>1781</v>
      </c>
      <c r="G13" s="462" t="s">
        <v>1785</v>
      </c>
      <c r="H13" s="563">
        <v>230890</v>
      </c>
    </row>
    <row r="14" spans="1:9" ht="36" customHeight="1" x14ac:dyDescent="0.25">
      <c r="B14" s="639"/>
      <c r="C14" s="460">
        <v>907</v>
      </c>
      <c r="D14" s="462" t="s">
        <v>491</v>
      </c>
      <c r="E14" s="462" t="s">
        <v>118</v>
      </c>
      <c r="F14" s="462" t="s">
        <v>1781</v>
      </c>
      <c r="G14" s="462" t="s">
        <v>1786</v>
      </c>
      <c r="H14" s="563">
        <v>69710</v>
      </c>
    </row>
    <row r="15" spans="1:9" x14ac:dyDescent="0.25">
      <c r="B15" s="566" t="s">
        <v>1782</v>
      </c>
      <c r="C15" s="566"/>
      <c r="D15" s="566"/>
      <c r="E15" s="566"/>
      <c r="F15" s="566"/>
      <c r="G15" s="566"/>
      <c r="H15" s="563">
        <f>SUM(H13:H14)</f>
        <v>300600</v>
      </c>
    </row>
    <row r="16" spans="1:9" ht="50.45" customHeight="1" x14ac:dyDescent="0.25">
      <c r="B16" s="639" t="s">
        <v>1776</v>
      </c>
      <c r="C16" s="460">
        <v>907</v>
      </c>
      <c r="D16" s="462" t="s">
        <v>491</v>
      </c>
      <c r="E16" s="462" t="s">
        <v>118</v>
      </c>
      <c r="F16" s="462" t="s">
        <v>1781</v>
      </c>
      <c r="G16" s="462" t="s">
        <v>1785</v>
      </c>
      <c r="H16" s="563">
        <v>210320</v>
      </c>
    </row>
    <row r="17" spans="2:9" ht="25.9" customHeight="1" x14ac:dyDescent="0.25">
      <c r="B17" s="639"/>
      <c r="C17" s="460">
        <v>907</v>
      </c>
      <c r="D17" s="462" t="s">
        <v>491</v>
      </c>
      <c r="E17" s="462" t="s">
        <v>118</v>
      </c>
      <c r="F17" s="462" t="s">
        <v>1781</v>
      </c>
      <c r="G17" s="462" t="s">
        <v>1786</v>
      </c>
      <c r="H17" s="563">
        <v>63530</v>
      </c>
    </row>
    <row r="18" spans="2:9" x14ac:dyDescent="0.25">
      <c r="B18" s="566" t="s">
        <v>1783</v>
      </c>
      <c r="C18" s="566"/>
      <c r="D18" s="566"/>
      <c r="E18" s="566"/>
      <c r="F18" s="566"/>
      <c r="G18" s="566"/>
      <c r="H18" s="563">
        <f>SUM(H16:H17)</f>
        <v>273850</v>
      </c>
      <c r="I18" s="567">
        <f>H15+H18+H21</f>
        <v>922200</v>
      </c>
    </row>
    <row r="19" spans="2:9" ht="48" customHeight="1" x14ac:dyDescent="0.25">
      <c r="B19" s="639" t="s">
        <v>1776</v>
      </c>
      <c r="C19" s="460">
        <v>907</v>
      </c>
      <c r="D19" s="462" t="s">
        <v>491</v>
      </c>
      <c r="E19" s="462" t="s">
        <v>118</v>
      </c>
      <c r="F19" s="462" t="s">
        <v>1781</v>
      </c>
      <c r="G19" s="462" t="s">
        <v>1785</v>
      </c>
      <c r="H19" s="563">
        <v>267110</v>
      </c>
    </row>
    <row r="20" spans="2:9" ht="26.45" customHeight="1" x14ac:dyDescent="0.25">
      <c r="B20" s="639"/>
      <c r="C20" s="460">
        <v>907</v>
      </c>
      <c r="D20" s="462" t="s">
        <v>491</v>
      </c>
      <c r="E20" s="462" t="s">
        <v>118</v>
      </c>
      <c r="F20" s="462" t="s">
        <v>1781</v>
      </c>
      <c r="G20" s="462" t="s">
        <v>1786</v>
      </c>
      <c r="H20" s="563">
        <v>80640</v>
      </c>
    </row>
    <row r="21" spans="2:9" x14ac:dyDescent="0.25">
      <c r="B21" s="566" t="s">
        <v>1784</v>
      </c>
      <c r="C21" s="566"/>
      <c r="D21" s="566"/>
      <c r="E21" s="566"/>
      <c r="F21" s="566"/>
      <c r="G21" s="566"/>
      <c r="H21" s="563">
        <f>SUM(H19:H20)</f>
        <v>347750</v>
      </c>
    </row>
    <row r="22" spans="2:9" ht="41.45" customHeight="1" x14ac:dyDescent="0.25">
      <c r="B22" s="639" t="s">
        <v>1776</v>
      </c>
      <c r="C22" s="460">
        <v>908</v>
      </c>
      <c r="D22" s="462" t="s">
        <v>118</v>
      </c>
      <c r="E22" s="462" t="s">
        <v>140</v>
      </c>
      <c r="F22" s="462" t="s">
        <v>1792</v>
      </c>
      <c r="G22" s="462" t="s">
        <v>1778</v>
      </c>
      <c r="H22" s="563">
        <v>635150</v>
      </c>
    </row>
    <row r="23" spans="2:9" ht="24.6" customHeight="1" x14ac:dyDescent="0.25">
      <c r="B23" s="639"/>
      <c r="C23" s="460">
        <v>908</v>
      </c>
      <c r="D23" s="462" t="s">
        <v>118</v>
      </c>
      <c r="E23" s="462" t="s">
        <v>140</v>
      </c>
      <c r="F23" s="462" t="s">
        <v>1792</v>
      </c>
      <c r="G23" s="462" t="s">
        <v>1779</v>
      </c>
      <c r="H23" s="563">
        <v>191800</v>
      </c>
    </row>
    <row r="24" spans="2:9" x14ac:dyDescent="0.25">
      <c r="B24" s="566" t="s">
        <v>1787</v>
      </c>
      <c r="C24" s="566"/>
      <c r="D24" s="566"/>
      <c r="E24" s="566"/>
      <c r="F24" s="566"/>
      <c r="G24" s="566"/>
      <c r="H24" s="563">
        <f>SUM(H22:H23)</f>
        <v>826950</v>
      </c>
    </row>
    <row r="25" spans="2:9" x14ac:dyDescent="0.25">
      <c r="B25" s="566" t="s">
        <v>1788</v>
      </c>
      <c r="C25" s="566"/>
      <c r="D25" s="566"/>
      <c r="E25" s="566"/>
      <c r="F25" s="566"/>
      <c r="G25" s="566"/>
      <c r="H25" s="563">
        <f>H6+H9+H12+H15+H18+H21+H24</f>
        <v>2317400</v>
      </c>
    </row>
    <row r="27" spans="2:9" x14ac:dyDescent="0.25">
      <c r="H27" s="564">
        <f>H4+H7+H10+H13+H16+H19+H22</f>
        <v>1779950</v>
      </c>
    </row>
    <row r="28" spans="2:9" x14ac:dyDescent="0.25">
      <c r="H28" s="564">
        <f>H5+H8+H11+H14+H17+H20+H23</f>
        <v>537450</v>
      </c>
    </row>
  </sheetData>
  <mergeCells count="7">
    <mergeCell ref="B19:B20"/>
    <mergeCell ref="B22:B23"/>
    <mergeCell ref="B4:B5"/>
    <mergeCell ref="B7:B8"/>
    <mergeCell ref="B10:B11"/>
    <mergeCell ref="B13:B14"/>
    <mergeCell ref="B16:B17"/>
  </mergeCells>
  <pageMargins left="0.7" right="0.7" top="0.75" bottom="0.75" header="0.3" footer="0.3"/>
  <pageSetup paperSize="9" scale="79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7"/>
  <sheetViews>
    <sheetView view="pageBreakPreview" topLeftCell="A155" zoomScale="80" zoomScaleNormal="100" zoomScaleSheetLayoutView="80" workbookViewId="0">
      <selection activeCell="F115" sqref="F115"/>
    </sheetView>
  </sheetViews>
  <sheetFormatPr defaultColWidth="9.140625" defaultRowHeight="15" x14ac:dyDescent="0.25"/>
  <cols>
    <col min="1" max="1" width="25" style="457" customWidth="1"/>
    <col min="2" max="2" width="71.7109375" style="457" customWidth="1"/>
    <col min="3" max="3" width="16" style="22" customWidth="1"/>
    <col min="4" max="4" width="17.28515625" style="22" customWidth="1"/>
    <col min="5" max="5" width="12.5703125" style="457" customWidth="1"/>
    <col min="6" max="6" width="10.85546875" style="457" customWidth="1"/>
    <col min="7" max="7" width="9" style="457" customWidth="1"/>
    <col min="8" max="9" width="10.28515625" style="457" customWidth="1"/>
    <col min="10" max="10" width="11.140625" style="457" customWidth="1"/>
    <col min="11" max="11" width="9" style="457" customWidth="1"/>
    <col min="12" max="16384" width="9.140625" style="457"/>
  </cols>
  <sheetData>
    <row r="1" spans="1:11" ht="15.75" x14ac:dyDescent="0.25">
      <c r="A1" s="128"/>
      <c r="B1" s="128"/>
      <c r="C1" s="613" t="s">
        <v>1528</v>
      </c>
      <c r="D1" s="613"/>
    </row>
    <row r="2" spans="1:11" ht="15.75" x14ac:dyDescent="0.25">
      <c r="A2" s="128"/>
      <c r="B2" s="128"/>
      <c r="C2" s="613" t="s">
        <v>1527</v>
      </c>
      <c r="D2" s="613"/>
    </row>
    <row r="3" spans="1:11" ht="15.75" x14ac:dyDescent="0.25">
      <c r="A3" s="128"/>
      <c r="B3" s="130"/>
      <c r="C3" s="613" t="s">
        <v>1526</v>
      </c>
      <c r="D3" s="613"/>
    </row>
    <row r="4" spans="1:11" ht="15.75" x14ac:dyDescent="0.25">
      <c r="A4" s="606" t="s">
        <v>1138</v>
      </c>
      <c r="B4" s="606"/>
      <c r="C4" s="606"/>
      <c r="D4" s="606"/>
    </row>
    <row r="5" spans="1:11" ht="15.75" x14ac:dyDescent="0.25">
      <c r="A5" s="606" t="s">
        <v>1347</v>
      </c>
      <c r="B5" s="606"/>
      <c r="C5" s="606"/>
      <c r="D5" s="606"/>
    </row>
    <row r="6" spans="1:11" ht="15.75" x14ac:dyDescent="0.25">
      <c r="A6" s="606" t="s">
        <v>1319</v>
      </c>
      <c r="B6" s="606"/>
      <c r="C6" s="606"/>
      <c r="D6" s="606"/>
    </row>
    <row r="7" spans="1:11" ht="15.75" x14ac:dyDescent="0.25">
      <c r="A7" s="131"/>
      <c r="B7" s="131"/>
      <c r="C7" s="370"/>
      <c r="D7" s="530" t="s">
        <v>698</v>
      </c>
    </row>
    <row r="8" spans="1:11" ht="33" customHeight="1" x14ac:dyDescent="0.25">
      <c r="A8" s="132" t="s">
        <v>2</v>
      </c>
      <c r="B8" s="133" t="s">
        <v>3</v>
      </c>
      <c r="C8" s="371" t="s">
        <v>1029</v>
      </c>
      <c r="D8" s="10" t="s">
        <v>1295</v>
      </c>
      <c r="H8" s="615" t="s">
        <v>1449</v>
      </c>
      <c r="I8" s="615"/>
      <c r="J8" s="615"/>
      <c r="K8" s="615"/>
    </row>
    <row r="9" spans="1:11" ht="18.75" x14ac:dyDescent="0.25">
      <c r="A9" s="134" t="s">
        <v>5</v>
      </c>
      <c r="B9" s="135" t="s">
        <v>6</v>
      </c>
      <c r="C9" s="336">
        <f>C10+C16+C21+C31+C39+C42+C48+C55+C58+C63+C71</f>
        <v>293404.7</v>
      </c>
      <c r="D9" s="336">
        <f>D10+D16+D21+D31+D39+D42+D48+D55+D58+D63+D71</f>
        <v>303294.5</v>
      </c>
      <c r="E9" s="22">
        <f>C10+C16+C21+C31+C39</f>
        <v>243348</v>
      </c>
      <c r="F9" s="22">
        <f>D10+D16+D21+D31+D39</f>
        <v>253104</v>
      </c>
    </row>
    <row r="10" spans="1:11" ht="18.75" x14ac:dyDescent="0.25">
      <c r="A10" s="136" t="s">
        <v>7</v>
      </c>
      <c r="B10" s="135" t="s">
        <v>8</v>
      </c>
      <c r="C10" s="336">
        <f t="shared" ref="C10:D10" si="0">C11</f>
        <v>222889</v>
      </c>
      <c r="D10" s="336">
        <f t="shared" si="0"/>
        <v>231597</v>
      </c>
      <c r="E10" s="457">
        <f>(C9+C76)*2.5%</f>
        <v>12478.692500000001</v>
      </c>
      <c r="F10" s="457">
        <f>(D9+D76)*5%</f>
        <v>25451.875</v>
      </c>
      <c r="I10" s="328">
        <f>SUM(I16:I55)</f>
        <v>335.19999999999982</v>
      </c>
      <c r="J10" s="327"/>
      <c r="K10" s="328">
        <f>SUM(K16:K52)</f>
        <v>392.09999999999945</v>
      </c>
    </row>
    <row r="11" spans="1:11" ht="18.75" x14ac:dyDescent="0.25">
      <c r="A11" s="137" t="s">
        <v>9</v>
      </c>
      <c r="B11" s="138" t="s">
        <v>10</v>
      </c>
      <c r="C11" s="336">
        <f t="shared" ref="C11:D11" si="1">SUM(C12:C15)</f>
        <v>222889</v>
      </c>
      <c r="D11" s="336">
        <f t="shared" si="1"/>
        <v>231597</v>
      </c>
    </row>
    <row r="12" spans="1:11" ht="64.5" customHeight="1" x14ac:dyDescent="0.25">
      <c r="A12" s="201" t="s">
        <v>11</v>
      </c>
      <c r="B12" s="139" t="s">
        <v>12</v>
      </c>
      <c r="C12" s="344">
        <v>220139</v>
      </c>
      <c r="D12" s="344">
        <v>228667</v>
      </c>
    </row>
    <row r="13" spans="1:11" ht="110.25" x14ac:dyDescent="0.25">
      <c r="A13" s="201" t="s">
        <v>13</v>
      </c>
      <c r="B13" s="140" t="s">
        <v>14</v>
      </c>
      <c r="C13" s="344">
        <v>916</v>
      </c>
      <c r="D13" s="344">
        <v>978</v>
      </c>
    </row>
    <row r="14" spans="1:11" ht="47.25" x14ac:dyDescent="0.25">
      <c r="A14" s="201" t="s">
        <v>15</v>
      </c>
      <c r="B14" s="140" t="s">
        <v>16</v>
      </c>
      <c r="C14" s="344">
        <v>1257</v>
      </c>
      <c r="D14" s="344">
        <v>1343</v>
      </c>
    </row>
    <row r="15" spans="1:11" ht="78.75" x14ac:dyDescent="0.25">
      <c r="A15" s="201" t="s">
        <v>17</v>
      </c>
      <c r="B15" s="140" t="s">
        <v>18</v>
      </c>
      <c r="C15" s="344">
        <v>577</v>
      </c>
      <c r="D15" s="344">
        <v>609</v>
      </c>
    </row>
    <row r="16" spans="1:11" ht="31.5" x14ac:dyDescent="0.25">
      <c r="A16" s="141" t="s">
        <v>19</v>
      </c>
      <c r="B16" s="142" t="s">
        <v>20</v>
      </c>
      <c r="C16" s="336">
        <f t="shared" ref="C16:D16" si="2">C17</f>
        <v>2319</v>
      </c>
      <c r="D16" s="336">
        <f t="shared" si="2"/>
        <v>2319</v>
      </c>
      <c r="H16" s="328">
        <v>3288</v>
      </c>
      <c r="I16" s="328">
        <f>H16-C16</f>
        <v>969</v>
      </c>
      <c r="J16" s="328">
        <v>3345</v>
      </c>
      <c r="K16" s="328">
        <f>J16-D16</f>
        <v>1026</v>
      </c>
    </row>
    <row r="17" spans="1:11" ht="31.5" x14ac:dyDescent="0.25">
      <c r="A17" s="180" t="s">
        <v>21</v>
      </c>
      <c r="B17" s="181" t="s">
        <v>22</v>
      </c>
      <c r="C17" s="336">
        <f t="shared" ref="C17:D17" si="3">SUM(C18:C20)</f>
        <v>2319</v>
      </c>
      <c r="D17" s="336">
        <f t="shared" si="3"/>
        <v>2319</v>
      </c>
      <c r="K17" s="327"/>
    </row>
    <row r="18" spans="1:11" ht="63" x14ac:dyDescent="0.25">
      <c r="A18" s="143" t="s">
        <v>1715</v>
      </c>
      <c r="B18" s="140" t="s">
        <v>1716</v>
      </c>
      <c r="C18" s="344">
        <f>1382.2-205.4</f>
        <v>1176.8</v>
      </c>
      <c r="D18" s="344">
        <f>1382.2-205.4</f>
        <v>1176.8</v>
      </c>
      <c r="K18" s="327"/>
    </row>
    <row r="19" spans="1:11" ht="78.75" x14ac:dyDescent="0.25">
      <c r="A19" s="534" t="s">
        <v>1717</v>
      </c>
      <c r="B19" s="140" t="s">
        <v>1718</v>
      </c>
      <c r="C19" s="344">
        <v>6.9</v>
      </c>
      <c r="D19" s="344">
        <v>6.9</v>
      </c>
      <c r="K19" s="327"/>
    </row>
    <row r="20" spans="1:11" ht="63" x14ac:dyDescent="0.25">
      <c r="A20" s="534" t="s">
        <v>1719</v>
      </c>
      <c r="B20" s="140" t="s">
        <v>1720</v>
      </c>
      <c r="C20" s="344">
        <f>1800.3-665</f>
        <v>1135.3</v>
      </c>
      <c r="D20" s="344">
        <f>1800.3-665</f>
        <v>1135.3</v>
      </c>
      <c r="K20" s="327"/>
    </row>
    <row r="21" spans="1:11" ht="18.75" x14ac:dyDescent="0.25">
      <c r="A21" s="137" t="s">
        <v>23</v>
      </c>
      <c r="B21" s="138" t="s">
        <v>24</v>
      </c>
      <c r="C21" s="336">
        <f>SUM(C22+C27+C29)</f>
        <v>14911</v>
      </c>
      <c r="D21" s="336">
        <f>SUM(D22+D27+D29)</f>
        <v>15831</v>
      </c>
      <c r="K21" s="327"/>
    </row>
    <row r="22" spans="1:11" ht="31.5" x14ac:dyDescent="0.25">
      <c r="A22" s="134" t="s">
        <v>25</v>
      </c>
      <c r="B22" s="138" t="s">
        <v>26</v>
      </c>
      <c r="C22" s="336">
        <f>C23+C25</f>
        <v>14519</v>
      </c>
      <c r="D22" s="336">
        <f>D23+D25</f>
        <v>15414</v>
      </c>
      <c r="H22" s="328">
        <v>14519</v>
      </c>
      <c r="I22" s="328">
        <f>H22-C22</f>
        <v>0</v>
      </c>
      <c r="J22" s="328">
        <v>15413.9</v>
      </c>
      <c r="K22" s="328">
        <f>J22-D22</f>
        <v>-0.1000000000003638</v>
      </c>
    </row>
    <row r="23" spans="1:11" ht="31.5" x14ac:dyDescent="0.25">
      <c r="A23" s="134" t="s">
        <v>1119</v>
      </c>
      <c r="B23" s="210" t="s">
        <v>28</v>
      </c>
      <c r="C23" s="336">
        <f>C24</f>
        <v>7259.5</v>
      </c>
      <c r="D23" s="336">
        <f>D24</f>
        <v>7707</v>
      </c>
      <c r="K23" s="327"/>
    </row>
    <row r="24" spans="1:11" ht="31.5" x14ac:dyDescent="0.25">
      <c r="A24" s="132" t="s">
        <v>27</v>
      </c>
      <c r="B24" s="144" t="s">
        <v>28</v>
      </c>
      <c r="C24" s="344">
        <v>7259.5</v>
      </c>
      <c r="D24" s="344">
        <v>7707</v>
      </c>
      <c r="K24" s="327"/>
    </row>
    <row r="25" spans="1:11" ht="47.25" x14ac:dyDescent="0.25">
      <c r="A25" s="134" t="s">
        <v>1118</v>
      </c>
      <c r="B25" s="241" t="s">
        <v>1117</v>
      </c>
      <c r="C25" s="336">
        <f>C26</f>
        <v>7259.5</v>
      </c>
      <c r="D25" s="336">
        <f>D26</f>
        <v>7707</v>
      </c>
      <c r="K25" s="327"/>
    </row>
    <row r="26" spans="1:11" ht="63" x14ac:dyDescent="0.25">
      <c r="A26" s="132" t="s">
        <v>29</v>
      </c>
      <c r="B26" s="144" t="s">
        <v>30</v>
      </c>
      <c r="C26" s="344">
        <f>C24</f>
        <v>7259.5</v>
      </c>
      <c r="D26" s="344">
        <f>D24</f>
        <v>7707</v>
      </c>
      <c r="K26" s="327"/>
    </row>
    <row r="27" spans="1:11" ht="31.5" hidden="1" x14ac:dyDescent="0.25">
      <c r="A27" s="134" t="s">
        <v>31</v>
      </c>
      <c r="B27" s="138" t="s">
        <v>32</v>
      </c>
      <c r="C27" s="336">
        <f t="shared" ref="C27:D27" si="4">SUM(C28:C28)</f>
        <v>0</v>
      </c>
      <c r="D27" s="336">
        <f t="shared" si="4"/>
        <v>0</v>
      </c>
      <c r="K27" s="327"/>
    </row>
    <row r="28" spans="1:11" ht="21.75" hidden="1" customHeight="1" x14ac:dyDescent="0.25">
      <c r="A28" s="201" t="s">
        <v>33</v>
      </c>
      <c r="B28" s="227" t="s">
        <v>32</v>
      </c>
      <c r="C28" s="344">
        <v>0</v>
      </c>
      <c r="D28" s="344">
        <v>0</v>
      </c>
      <c r="E28" s="224"/>
      <c r="K28" s="327"/>
    </row>
    <row r="29" spans="1:11" ht="36" customHeight="1" x14ac:dyDescent="0.25">
      <c r="A29" s="134" t="s">
        <v>1130</v>
      </c>
      <c r="B29" s="145" t="s">
        <v>1120</v>
      </c>
      <c r="C29" s="336">
        <f>C30</f>
        <v>392</v>
      </c>
      <c r="D29" s="344">
        <f>D30</f>
        <v>417</v>
      </c>
      <c r="K29" s="327"/>
    </row>
    <row r="30" spans="1:11" ht="31.5" x14ac:dyDescent="0.25">
      <c r="A30" s="132" t="s">
        <v>34</v>
      </c>
      <c r="B30" s="235" t="s">
        <v>35</v>
      </c>
      <c r="C30" s="344">
        <v>392</v>
      </c>
      <c r="D30" s="344">
        <v>417</v>
      </c>
      <c r="K30" s="327"/>
    </row>
    <row r="31" spans="1:11" ht="18.75" x14ac:dyDescent="0.25">
      <c r="A31" s="137" t="s">
        <v>36</v>
      </c>
      <c r="B31" s="138" t="s">
        <v>37</v>
      </c>
      <c r="C31" s="336">
        <f>C32+C34</f>
        <v>1695</v>
      </c>
      <c r="D31" s="336">
        <f t="shared" ref="D31" si="5">D32+D34</f>
        <v>1823</v>
      </c>
      <c r="K31" s="327"/>
    </row>
    <row r="32" spans="1:11" ht="18.75" x14ac:dyDescent="0.25">
      <c r="A32" s="137" t="s">
        <v>38</v>
      </c>
      <c r="B32" s="138" t="s">
        <v>39</v>
      </c>
      <c r="C32" s="336">
        <f t="shared" ref="C32:D32" si="6">C33</f>
        <v>990</v>
      </c>
      <c r="D32" s="336">
        <f t="shared" si="6"/>
        <v>1089</v>
      </c>
      <c r="K32" s="327"/>
    </row>
    <row r="33" spans="1:11" ht="47.25" x14ac:dyDescent="0.25">
      <c r="A33" s="201" t="s">
        <v>40</v>
      </c>
      <c r="B33" s="144" t="s">
        <v>41</v>
      </c>
      <c r="C33" s="344">
        <v>990</v>
      </c>
      <c r="D33" s="344">
        <v>1089</v>
      </c>
      <c r="K33" s="327"/>
    </row>
    <row r="34" spans="1:11" ht="18.75" x14ac:dyDescent="0.25">
      <c r="A34" s="137" t="s">
        <v>42</v>
      </c>
      <c r="B34" s="138" t="s">
        <v>43</v>
      </c>
      <c r="C34" s="336">
        <f>C35+C37</f>
        <v>705</v>
      </c>
      <c r="D34" s="336">
        <f>D35+D37</f>
        <v>734</v>
      </c>
      <c r="J34" s="457">
        <v>734</v>
      </c>
      <c r="K34" s="328">
        <f>J34-D34</f>
        <v>0</v>
      </c>
    </row>
    <row r="35" spans="1:11" ht="18.75" x14ac:dyDescent="0.25">
      <c r="A35" s="137" t="s">
        <v>1132</v>
      </c>
      <c r="B35" s="138" t="s">
        <v>1131</v>
      </c>
      <c r="C35" s="336">
        <f>C36</f>
        <v>541</v>
      </c>
      <c r="D35" s="336">
        <f>D36</f>
        <v>563</v>
      </c>
      <c r="K35" s="327"/>
    </row>
    <row r="36" spans="1:11" ht="31.5" x14ac:dyDescent="0.25">
      <c r="A36" s="201" t="s">
        <v>44</v>
      </c>
      <c r="B36" s="144" t="s">
        <v>45</v>
      </c>
      <c r="C36" s="344">
        <v>541</v>
      </c>
      <c r="D36" s="344">
        <v>563</v>
      </c>
      <c r="K36" s="327"/>
    </row>
    <row r="37" spans="1:11" ht="18.75" x14ac:dyDescent="0.25">
      <c r="A37" s="137" t="s">
        <v>1134</v>
      </c>
      <c r="B37" s="138" t="s">
        <v>1133</v>
      </c>
      <c r="C37" s="336">
        <f>C38</f>
        <v>164</v>
      </c>
      <c r="D37" s="336">
        <f>D38</f>
        <v>171</v>
      </c>
      <c r="K37" s="327"/>
    </row>
    <row r="38" spans="1:11" ht="31.5" x14ac:dyDescent="0.25">
      <c r="A38" s="201" t="s">
        <v>46</v>
      </c>
      <c r="B38" s="144" t="s">
        <v>47</v>
      </c>
      <c r="C38" s="344">
        <v>164</v>
      </c>
      <c r="D38" s="344">
        <v>171</v>
      </c>
      <c r="K38" s="327"/>
    </row>
    <row r="39" spans="1:11" ht="18.75" x14ac:dyDescent="0.25">
      <c r="A39" s="137" t="s">
        <v>48</v>
      </c>
      <c r="B39" s="138" t="s">
        <v>49</v>
      </c>
      <c r="C39" s="336">
        <f t="shared" ref="C39:D40" si="7">C40</f>
        <v>1534</v>
      </c>
      <c r="D39" s="336">
        <f t="shared" si="7"/>
        <v>1534</v>
      </c>
      <c r="K39" s="327"/>
    </row>
    <row r="40" spans="1:11" ht="31.5" x14ac:dyDescent="0.25">
      <c r="A40" s="137" t="s">
        <v>50</v>
      </c>
      <c r="B40" s="138" t="s">
        <v>51</v>
      </c>
      <c r="C40" s="336">
        <f t="shared" si="7"/>
        <v>1534</v>
      </c>
      <c r="D40" s="336">
        <f t="shared" si="7"/>
        <v>1534</v>
      </c>
      <c r="K40" s="327"/>
    </row>
    <row r="41" spans="1:11" ht="47.25" x14ac:dyDescent="0.25">
      <c r="A41" s="201" t="s">
        <v>52</v>
      </c>
      <c r="B41" s="139" t="s">
        <v>53</v>
      </c>
      <c r="C41" s="344">
        <v>1534</v>
      </c>
      <c r="D41" s="344">
        <v>1534</v>
      </c>
      <c r="K41" s="327"/>
    </row>
    <row r="42" spans="1:11" ht="47.25" x14ac:dyDescent="0.25">
      <c r="A42" s="137" t="s">
        <v>54</v>
      </c>
      <c r="B42" s="146" t="s">
        <v>55</v>
      </c>
      <c r="C42" s="336">
        <f t="shared" ref="C42:D42" si="8">C43</f>
        <v>45000</v>
      </c>
      <c r="D42" s="336">
        <f t="shared" si="8"/>
        <v>45000</v>
      </c>
      <c r="E42" s="22"/>
      <c r="F42" s="22"/>
      <c r="H42" s="231">
        <v>45000</v>
      </c>
      <c r="I42" s="231">
        <f>H42-C42</f>
        <v>0</v>
      </c>
      <c r="J42" s="231">
        <v>45000</v>
      </c>
      <c r="K42" s="328">
        <f>J42-D42</f>
        <v>0</v>
      </c>
    </row>
    <row r="43" spans="1:11" ht="78.75" x14ac:dyDescent="0.25">
      <c r="A43" s="137" t="s">
        <v>56</v>
      </c>
      <c r="B43" s="146" t="s">
        <v>57</v>
      </c>
      <c r="C43" s="336">
        <f t="shared" ref="C43:D43" si="9">C44+C46</f>
        <v>45000</v>
      </c>
      <c r="D43" s="336">
        <f t="shared" si="9"/>
        <v>45000</v>
      </c>
      <c r="K43" s="327"/>
    </row>
    <row r="44" spans="1:11" ht="63" x14ac:dyDescent="0.25">
      <c r="A44" s="137" t="s">
        <v>58</v>
      </c>
      <c r="B44" s="138" t="s">
        <v>59</v>
      </c>
      <c r="C44" s="336">
        <f t="shared" ref="C44:D44" si="10">C45</f>
        <v>40000</v>
      </c>
      <c r="D44" s="336">
        <f t="shared" si="10"/>
        <v>40000</v>
      </c>
      <c r="K44" s="327"/>
    </row>
    <row r="45" spans="1:11" ht="78.75" x14ac:dyDescent="0.25">
      <c r="A45" s="201" t="s">
        <v>60</v>
      </c>
      <c r="B45" s="144" t="s">
        <v>61</v>
      </c>
      <c r="C45" s="344">
        <v>40000</v>
      </c>
      <c r="D45" s="344">
        <v>40000</v>
      </c>
      <c r="K45" s="327"/>
    </row>
    <row r="46" spans="1:11" ht="47.25" x14ac:dyDescent="0.25">
      <c r="A46" s="137" t="s">
        <v>62</v>
      </c>
      <c r="B46" s="138" t="s">
        <v>63</v>
      </c>
      <c r="C46" s="336">
        <f t="shared" ref="C46:D46" si="11">C47</f>
        <v>5000</v>
      </c>
      <c r="D46" s="336">
        <f t="shared" si="11"/>
        <v>5000</v>
      </c>
      <c r="K46" s="327"/>
    </row>
    <row r="47" spans="1:11" ht="31.5" x14ac:dyDescent="0.25">
      <c r="A47" s="201" t="s">
        <v>64</v>
      </c>
      <c r="B47" s="144" t="s">
        <v>65</v>
      </c>
      <c r="C47" s="344">
        <v>5000</v>
      </c>
      <c r="D47" s="344">
        <v>5000</v>
      </c>
      <c r="K47" s="327"/>
    </row>
    <row r="48" spans="1:11" ht="26.45" customHeight="1" x14ac:dyDescent="0.25">
      <c r="A48" s="137" t="s">
        <v>66</v>
      </c>
      <c r="B48" s="234" t="s">
        <v>67</v>
      </c>
      <c r="C48" s="336">
        <f t="shared" ref="C48:D48" si="12">SUM(C49)</f>
        <v>3980.5</v>
      </c>
      <c r="D48" s="336">
        <f t="shared" si="12"/>
        <v>4114.3</v>
      </c>
      <c r="H48" s="231">
        <v>3346.7</v>
      </c>
      <c r="I48" s="231">
        <f>H48-C48</f>
        <v>-633.80000000000018</v>
      </c>
      <c r="J48" s="231">
        <v>3480.5</v>
      </c>
      <c r="K48" s="328">
        <f>J48-D48</f>
        <v>-633.80000000000018</v>
      </c>
    </row>
    <row r="49" spans="1:11" ht="18.75" x14ac:dyDescent="0.25">
      <c r="A49" s="137" t="s">
        <v>68</v>
      </c>
      <c r="B49" s="146" t="s">
        <v>69</v>
      </c>
      <c r="C49" s="336">
        <f>C50+C51+C52</f>
        <v>3980.5</v>
      </c>
      <c r="D49" s="336">
        <f>D50+D51+D52</f>
        <v>4114.3</v>
      </c>
      <c r="K49" s="327"/>
    </row>
    <row r="50" spans="1:11" ht="31.5" x14ac:dyDescent="0.25">
      <c r="A50" s="137" t="s">
        <v>70</v>
      </c>
      <c r="B50" s="146" t="s">
        <v>71</v>
      </c>
      <c r="C50" s="336">
        <v>405</v>
      </c>
      <c r="D50" s="336">
        <v>405</v>
      </c>
      <c r="K50" s="327"/>
    </row>
    <row r="51" spans="1:11" ht="18.75" x14ac:dyDescent="0.25">
      <c r="A51" s="137" t="s">
        <v>72</v>
      </c>
      <c r="B51" s="146" t="s">
        <v>73</v>
      </c>
      <c r="C51" s="336">
        <v>228.8</v>
      </c>
      <c r="D51" s="336">
        <v>228.8</v>
      </c>
      <c r="K51" s="327"/>
    </row>
    <row r="52" spans="1:11" ht="31.5" x14ac:dyDescent="0.25">
      <c r="A52" s="137" t="s">
        <v>1721</v>
      </c>
      <c r="B52" s="234" t="s">
        <v>1121</v>
      </c>
      <c r="C52" s="336">
        <f>C53+C54</f>
        <v>3346.7</v>
      </c>
      <c r="D52" s="336">
        <f>D53+D54</f>
        <v>3480.5</v>
      </c>
      <c r="K52" s="327"/>
    </row>
    <row r="53" spans="1:11" ht="18.75" x14ac:dyDescent="0.25">
      <c r="A53" s="201" t="s">
        <v>795</v>
      </c>
      <c r="B53" s="139" t="s">
        <v>796</v>
      </c>
      <c r="C53" s="344">
        <f>3588-372.3</f>
        <v>3215.7</v>
      </c>
      <c r="D53" s="344">
        <f>3588-238.5</f>
        <v>3349.5</v>
      </c>
      <c r="K53" s="327"/>
    </row>
    <row r="54" spans="1:11" ht="18.75" x14ac:dyDescent="0.25">
      <c r="A54" s="201" t="s">
        <v>797</v>
      </c>
      <c r="B54" s="139" t="s">
        <v>798</v>
      </c>
      <c r="C54" s="344">
        <v>131</v>
      </c>
      <c r="D54" s="344">
        <v>131</v>
      </c>
      <c r="K54" s="327"/>
    </row>
    <row r="55" spans="1:11" ht="31.5" x14ac:dyDescent="0.25">
      <c r="A55" s="137" t="s">
        <v>74</v>
      </c>
      <c r="B55" s="146" t="s">
        <v>75</v>
      </c>
      <c r="C55" s="336">
        <f>C57</f>
        <v>833.9</v>
      </c>
      <c r="D55" s="336">
        <f>D57</f>
        <v>833.9</v>
      </c>
      <c r="K55" s="327"/>
    </row>
    <row r="56" spans="1:11" ht="18.75" x14ac:dyDescent="0.25">
      <c r="A56" s="137" t="s">
        <v>76</v>
      </c>
      <c r="B56" s="146" t="s">
        <v>77</v>
      </c>
      <c r="C56" s="336">
        <f>C57</f>
        <v>833.9</v>
      </c>
      <c r="D56" s="336">
        <f>D57</f>
        <v>833.9</v>
      </c>
      <c r="K56" s="327"/>
    </row>
    <row r="57" spans="1:11" ht="31.5" x14ac:dyDescent="0.25">
      <c r="A57" s="201" t="s">
        <v>78</v>
      </c>
      <c r="B57" s="139" t="s">
        <v>79</v>
      </c>
      <c r="C57" s="344">
        <v>833.9</v>
      </c>
      <c r="D57" s="344">
        <v>833.9</v>
      </c>
      <c r="K57" s="327"/>
    </row>
    <row r="58" spans="1:11" ht="31.5" x14ac:dyDescent="0.25">
      <c r="A58" s="137" t="s">
        <v>80</v>
      </c>
      <c r="B58" s="146" t="s">
        <v>81</v>
      </c>
      <c r="C58" s="336">
        <f t="shared" ref="C58:D58" si="13">SUM(C59+C61)</f>
        <v>236</v>
      </c>
      <c r="D58" s="336">
        <f t="shared" si="13"/>
        <v>236</v>
      </c>
      <c r="K58" s="327"/>
    </row>
    <row r="59" spans="1:11" ht="78.75" x14ac:dyDescent="0.25">
      <c r="A59" s="137" t="s">
        <v>82</v>
      </c>
      <c r="B59" s="146" t="s">
        <v>83</v>
      </c>
      <c r="C59" s="336">
        <f t="shared" ref="C59:D59" si="14">C60</f>
        <v>235</v>
      </c>
      <c r="D59" s="336">
        <f t="shared" si="14"/>
        <v>235</v>
      </c>
      <c r="K59" s="327"/>
    </row>
    <row r="60" spans="1:11" ht="94.5" x14ac:dyDescent="0.25">
      <c r="A60" s="201" t="s">
        <v>84</v>
      </c>
      <c r="B60" s="139" t="s">
        <v>699</v>
      </c>
      <c r="C60" s="344">
        <v>235</v>
      </c>
      <c r="D60" s="344">
        <v>235</v>
      </c>
      <c r="K60" s="327"/>
    </row>
    <row r="61" spans="1:11" ht="31.5" x14ac:dyDescent="0.25">
      <c r="A61" s="137" t="s">
        <v>85</v>
      </c>
      <c r="B61" s="146" t="s">
        <v>86</v>
      </c>
      <c r="C61" s="336">
        <f t="shared" ref="C61:D61" si="15">SUM(C62)</f>
        <v>1</v>
      </c>
      <c r="D61" s="336">
        <f t="shared" si="15"/>
        <v>1</v>
      </c>
      <c r="K61" s="327"/>
    </row>
    <row r="62" spans="1:11" ht="47.25" x14ac:dyDescent="0.25">
      <c r="A62" s="201" t="s">
        <v>87</v>
      </c>
      <c r="B62" s="139" t="s">
        <v>88</v>
      </c>
      <c r="C62" s="344">
        <v>1</v>
      </c>
      <c r="D62" s="344">
        <v>1</v>
      </c>
      <c r="K62" s="327"/>
    </row>
    <row r="63" spans="1:11" ht="18.75" x14ac:dyDescent="0.25">
      <c r="A63" s="137" t="s">
        <v>89</v>
      </c>
      <c r="B63" s="146" t="s">
        <v>90</v>
      </c>
      <c r="C63" s="336">
        <f>C64</f>
        <v>6.3</v>
      </c>
      <c r="D63" s="336">
        <f>D64</f>
        <v>6.3</v>
      </c>
      <c r="K63" s="327"/>
    </row>
    <row r="64" spans="1:11" ht="31.5" x14ac:dyDescent="0.25">
      <c r="A64" s="137" t="s">
        <v>1100</v>
      </c>
      <c r="B64" s="234" t="s">
        <v>91</v>
      </c>
      <c r="C64" s="368">
        <f>C65+C67+C69</f>
        <v>6.3</v>
      </c>
      <c r="D64" s="368">
        <f>D65+D67+D69</f>
        <v>6.3</v>
      </c>
      <c r="K64" s="327"/>
    </row>
    <row r="65" spans="1:11" ht="63" x14ac:dyDescent="0.25">
      <c r="A65" s="137" t="s">
        <v>1114</v>
      </c>
      <c r="B65" s="242" t="s">
        <v>1113</v>
      </c>
      <c r="C65" s="368">
        <f>C66</f>
        <v>2.5</v>
      </c>
      <c r="D65" s="368">
        <f>D66</f>
        <v>2.5</v>
      </c>
      <c r="K65" s="327"/>
    </row>
    <row r="66" spans="1:11" ht="78.75" x14ac:dyDescent="0.25">
      <c r="A66" s="201" t="s">
        <v>1102</v>
      </c>
      <c r="B66" s="243" t="s">
        <v>1108</v>
      </c>
      <c r="C66" s="364">
        <v>2.5</v>
      </c>
      <c r="D66" s="364">
        <v>2.5</v>
      </c>
      <c r="K66" s="327"/>
    </row>
    <row r="67" spans="1:11" ht="78.75" hidden="1" x14ac:dyDescent="0.25">
      <c r="A67" s="137" t="s">
        <v>1116</v>
      </c>
      <c r="B67" s="242" t="s">
        <v>1115</v>
      </c>
      <c r="C67" s="368">
        <f>C68</f>
        <v>0</v>
      </c>
      <c r="D67" s="368">
        <f>D68</f>
        <v>0</v>
      </c>
      <c r="K67" s="327"/>
    </row>
    <row r="68" spans="1:11" ht="96" hidden="1" customHeight="1" x14ac:dyDescent="0.25">
      <c r="A68" s="201" t="s">
        <v>1101</v>
      </c>
      <c r="B68" s="243" t="s">
        <v>1109</v>
      </c>
      <c r="C68" s="364">
        <v>0</v>
      </c>
      <c r="D68" s="364">
        <v>0</v>
      </c>
      <c r="K68" s="327"/>
    </row>
    <row r="69" spans="1:11" ht="75.2" customHeight="1" x14ac:dyDescent="0.25">
      <c r="A69" s="137" t="s">
        <v>1112</v>
      </c>
      <c r="B69" s="244" t="s">
        <v>1111</v>
      </c>
      <c r="C69" s="368">
        <f>C70</f>
        <v>3.8</v>
      </c>
      <c r="D69" s="368">
        <f>D70</f>
        <v>3.8</v>
      </c>
    </row>
    <row r="70" spans="1:11" ht="87.75" customHeight="1" x14ac:dyDescent="0.25">
      <c r="A70" s="201" t="s">
        <v>1105</v>
      </c>
      <c r="B70" s="245" t="s">
        <v>1110</v>
      </c>
      <c r="C70" s="344">
        <v>3.8</v>
      </c>
      <c r="D70" s="344">
        <v>3.8</v>
      </c>
    </row>
    <row r="71" spans="1:11" ht="18.75" hidden="1" x14ac:dyDescent="0.25">
      <c r="A71" s="3" t="s">
        <v>1103</v>
      </c>
      <c r="B71" s="179" t="s">
        <v>767</v>
      </c>
      <c r="C71" s="336">
        <f>C72</f>
        <v>0</v>
      </c>
      <c r="D71" s="336">
        <f>D72</f>
        <v>0</v>
      </c>
    </row>
    <row r="72" spans="1:11" ht="18.75" hidden="1" x14ac:dyDescent="0.25">
      <c r="A72" s="3" t="s">
        <v>1104</v>
      </c>
      <c r="B72" s="179" t="s">
        <v>768</v>
      </c>
      <c r="C72" s="336">
        <f t="shared" ref="C72:D72" si="16">SUM(C73)</f>
        <v>0</v>
      </c>
      <c r="D72" s="336">
        <f t="shared" si="16"/>
        <v>0</v>
      </c>
    </row>
    <row r="73" spans="1:11" ht="18.75" hidden="1" x14ac:dyDescent="0.25">
      <c r="A73" s="2" t="s">
        <v>769</v>
      </c>
      <c r="B73" s="178" t="s">
        <v>770</v>
      </c>
      <c r="C73" s="344">
        <v>0</v>
      </c>
      <c r="D73" s="344">
        <v>0</v>
      </c>
    </row>
    <row r="74" spans="1:11" ht="18.75" x14ac:dyDescent="0.25">
      <c r="A74" s="137" t="s">
        <v>92</v>
      </c>
      <c r="B74" s="138" t="s">
        <v>93</v>
      </c>
      <c r="C74" s="336">
        <f>SUM(C75+C149)</f>
        <v>442875.89999999997</v>
      </c>
      <c r="D74" s="336">
        <f>SUM(D75+D149)</f>
        <v>473972.89999999991</v>
      </c>
      <c r="E74" s="22">
        <f>C74-C76</f>
        <v>237132.89999999997</v>
      </c>
      <c r="F74" s="22">
        <f>D74-D76</f>
        <v>268229.89999999991</v>
      </c>
    </row>
    <row r="75" spans="1:11" ht="31.5" x14ac:dyDescent="0.25">
      <c r="A75" s="137" t="s">
        <v>94</v>
      </c>
      <c r="B75" s="138" t="s">
        <v>95</v>
      </c>
      <c r="C75" s="336">
        <f>SUM(C76+C81+C115+C141)</f>
        <v>442875.89999999997</v>
      </c>
      <c r="D75" s="336">
        <f>SUM(D76+D81+D115+D141)</f>
        <v>473972.89999999991</v>
      </c>
      <c r="E75" s="457">
        <v>265225.5</v>
      </c>
    </row>
    <row r="76" spans="1:11" ht="18.75" x14ac:dyDescent="0.25">
      <c r="A76" s="137" t="s">
        <v>814</v>
      </c>
      <c r="B76" s="147" t="s">
        <v>96</v>
      </c>
      <c r="C76" s="336">
        <f>C77+C79</f>
        <v>205743</v>
      </c>
      <c r="D76" s="336">
        <f>D77+D79</f>
        <v>205743</v>
      </c>
      <c r="E76" s="22">
        <f>E74-E75</f>
        <v>-28092.600000000035</v>
      </c>
    </row>
    <row r="77" spans="1:11" ht="31.5" x14ac:dyDescent="0.25">
      <c r="A77" s="137" t="s">
        <v>1136</v>
      </c>
      <c r="B77" s="147" t="s">
        <v>1135</v>
      </c>
      <c r="C77" s="336">
        <f t="shared" ref="C77:D77" si="17">C78</f>
        <v>154837</v>
      </c>
      <c r="D77" s="336">
        <f t="shared" si="17"/>
        <v>154837</v>
      </c>
    </row>
    <row r="78" spans="1:11" ht="36.75" customHeight="1" x14ac:dyDescent="0.25">
      <c r="A78" s="201" t="s">
        <v>813</v>
      </c>
      <c r="B78" s="144" t="s">
        <v>1145</v>
      </c>
      <c r="C78" s="344">
        <v>154837</v>
      </c>
      <c r="D78" s="344">
        <v>154837</v>
      </c>
    </row>
    <row r="79" spans="1:11" ht="31.5" x14ac:dyDescent="0.25">
      <c r="A79" s="134" t="s">
        <v>1464</v>
      </c>
      <c r="B79" s="138" t="s">
        <v>1465</v>
      </c>
      <c r="C79" s="336">
        <f>C80</f>
        <v>50906</v>
      </c>
      <c r="D79" s="336">
        <f>D80</f>
        <v>50906</v>
      </c>
    </row>
    <row r="80" spans="1:11" ht="31.5" x14ac:dyDescent="0.25">
      <c r="A80" s="132" t="s">
        <v>1466</v>
      </c>
      <c r="B80" s="144" t="s">
        <v>1467</v>
      </c>
      <c r="C80" s="344">
        <v>50906</v>
      </c>
      <c r="D80" s="344">
        <v>50906</v>
      </c>
    </row>
    <row r="81" spans="1:6" ht="31.5" x14ac:dyDescent="0.25">
      <c r="A81" s="137" t="s">
        <v>812</v>
      </c>
      <c r="B81" s="138" t="s">
        <v>97</v>
      </c>
      <c r="C81" s="336">
        <f>C91+C96+C99+C92+C94+C88+C86+C82+C84</f>
        <v>14026.500000000002</v>
      </c>
      <c r="D81" s="336">
        <f>D91+D96+D99+D92+D94+D88+D86+D82+D84</f>
        <v>13511.800000000001</v>
      </c>
    </row>
    <row r="82" spans="1:6" ht="47.25" hidden="1" x14ac:dyDescent="0.25">
      <c r="A82" s="532" t="s">
        <v>1160</v>
      </c>
      <c r="B82" s="256" t="s">
        <v>1162</v>
      </c>
      <c r="C82" s="338">
        <f>C83</f>
        <v>0</v>
      </c>
      <c r="D82" s="338">
        <f>D83</f>
        <v>0</v>
      </c>
    </row>
    <row r="83" spans="1:6" ht="47.25" hidden="1" x14ac:dyDescent="0.25">
      <c r="A83" s="201" t="s">
        <v>1159</v>
      </c>
      <c r="B83" s="258" t="s">
        <v>1161</v>
      </c>
      <c r="C83" s="344">
        <v>0</v>
      </c>
      <c r="D83" s="344">
        <v>0</v>
      </c>
    </row>
    <row r="84" spans="1:6" ht="53.45" customHeight="1" x14ac:dyDescent="0.25">
      <c r="A84" s="137" t="s">
        <v>1479</v>
      </c>
      <c r="B84" s="341" t="s">
        <v>1481</v>
      </c>
      <c r="C84" s="336">
        <f>C85</f>
        <v>1677.7</v>
      </c>
      <c r="D84" s="336">
        <f>D85</f>
        <v>2245</v>
      </c>
    </row>
    <row r="85" spans="1:6" ht="47.25" x14ac:dyDescent="0.25">
      <c r="A85" s="201" t="s">
        <v>1480</v>
      </c>
      <c r="B85" s="396" t="s">
        <v>1482</v>
      </c>
      <c r="C85" s="344">
        <v>1677.7</v>
      </c>
      <c r="D85" s="344">
        <v>2245</v>
      </c>
      <c r="E85" s="231">
        <f>'пр.6.1.ведом.22-23 (2)'!G680-167.95</f>
        <v>1581.4999999999998</v>
      </c>
      <c r="F85" s="231">
        <f>'пр.6.1.ведом.22-23 (2)'!H680-224.75</f>
        <v>2116.25</v>
      </c>
    </row>
    <row r="86" spans="1:6" ht="47.25" hidden="1" x14ac:dyDescent="0.25">
      <c r="A86" s="137" t="s">
        <v>1163</v>
      </c>
      <c r="B86" s="257" t="s">
        <v>1166</v>
      </c>
      <c r="C86" s="336">
        <f>C87</f>
        <v>0</v>
      </c>
      <c r="D86" s="336">
        <f>D87</f>
        <v>0</v>
      </c>
    </row>
    <row r="87" spans="1:6" ht="47.25" hidden="1" x14ac:dyDescent="0.25">
      <c r="A87" s="201" t="s">
        <v>1164</v>
      </c>
      <c r="B87" s="258" t="s">
        <v>1165</v>
      </c>
      <c r="C87" s="344">
        <v>0</v>
      </c>
      <c r="D87" s="344">
        <v>0</v>
      </c>
    </row>
    <row r="88" spans="1:6" ht="18.75" hidden="1" x14ac:dyDescent="0.25">
      <c r="A88" s="277"/>
      <c r="B88" s="278" t="s">
        <v>1289</v>
      </c>
      <c r="C88" s="336">
        <f>C89</f>
        <v>0</v>
      </c>
      <c r="D88" s="336">
        <f>D89</f>
        <v>0</v>
      </c>
    </row>
    <row r="89" spans="1:6" ht="18.75" hidden="1" x14ac:dyDescent="0.25">
      <c r="A89" s="275"/>
      <c r="B89" s="276"/>
      <c r="C89" s="344">
        <v>0</v>
      </c>
      <c r="D89" s="336">
        <v>0</v>
      </c>
      <c r="E89" s="231">
        <f>'пр.6.1.ведом.22-23 (2)'!G400-'пр.6.1.ведом.22-23 (2)'!R1096</f>
        <v>0</v>
      </c>
    </row>
    <row r="90" spans="1:6" ht="31.5" x14ac:dyDescent="0.25">
      <c r="A90" s="532" t="s">
        <v>1122</v>
      </c>
      <c r="B90" s="138" t="s">
        <v>1137</v>
      </c>
      <c r="C90" s="336">
        <f>C91</f>
        <v>267.8</v>
      </c>
      <c r="D90" s="336">
        <f>D91</f>
        <v>262.8</v>
      </c>
    </row>
    <row r="91" spans="1:6" ht="31.5" x14ac:dyDescent="0.25">
      <c r="A91" s="534" t="s">
        <v>792</v>
      </c>
      <c r="B91" s="144" t="s">
        <v>794</v>
      </c>
      <c r="C91" s="344">
        <v>267.8</v>
      </c>
      <c r="D91" s="344">
        <v>262.8</v>
      </c>
      <c r="E91" s="231">
        <f>'пр.6.1.ведом.22-23 (2)'!G452-'пр.6.1.ведом.22-23 (2)'!L452</f>
        <v>267.8</v>
      </c>
      <c r="F91" s="231">
        <f>'пр.6.1.ведом.22-23 (2)'!H452-'пр.6.1.ведом.22-23 (2)'!M452</f>
        <v>262.8</v>
      </c>
    </row>
    <row r="92" spans="1:6" ht="40.700000000000003" hidden="1" customHeight="1" x14ac:dyDescent="0.25">
      <c r="A92" s="532" t="s">
        <v>1123</v>
      </c>
      <c r="B92" s="146" t="s">
        <v>826</v>
      </c>
      <c r="C92" s="336">
        <f>C93</f>
        <v>0</v>
      </c>
      <c r="D92" s="336">
        <f>D93</f>
        <v>0</v>
      </c>
    </row>
    <row r="93" spans="1:6" ht="39.75" hidden="1" customHeight="1" x14ac:dyDescent="0.25">
      <c r="A93" s="534" t="s">
        <v>825</v>
      </c>
      <c r="B93" s="139" t="s">
        <v>826</v>
      </c>
      <c r="C93" s="344">
        <v>0</v>
      </c>
      <c r="D93" s="344">
        <v>0</v>
      </c>
    </row>
    <row r="94" spans="1:6" ht="19.5" hidden="1" customHeight="1" x14ac:dyDescent="0.25">
      <c r="A94" s="262" t="s">
        <v>1156</v>
      </c>
      <c r="B94" s="261" t="s">
        <v>1157</v>
      </c>
      <c r="C94" s="336">
        <f>C95</f>
        <v>0</v>
      </c>
      <c r="D94" s="336">
        <f>D95</f>
        <v>0</v>
      </c>
    </row>
    <row r="95" spans="1:6" ht="87.75" hidden="1" customHeight="1" x14ac:dyDescent="0.25">
      <c r="A95" s="263" t="s">
        <v>1154</v>
      </c>
      <c r="B95" s="264" t="s">
        <v>1194</v>
      </c>
      <c r="C95" s="344">
        <v>0</v>
      </c>
      <c r="D95" s="344">
        <v>0</v>
      </c>
    </row>
    <row r="96" spans="1:6" ht="60.75" customHeight="1" x14ac:dyDescent="0.25">
      <c r="A96" s="532" t="s">
        <v>1454</v>
      </c>
      <c r="B96" s="138" t="s">
        <v>1455</v>
      </c>
      <c r="C96" s="336">
        <f t="shared" ref="C96:D98" si="18">SUM(C97)</f>
        <v>5193.6000000000004</v>
      </c>
      <c r="D96" s="336">
        <f t="shared" si="18"/>
        <v>4931.6000000000004</v>
      </c>
    </row>
    <row r="97" spans="1:7" ht="68.25" customHeight="1" x14ac:dyDescent="0.25">
      <c r="A97" s="534" t="s">
        <v>1456</v>
      </c>
      <c r="B97" s="144" t="s">
        <v>1434</v>
      </c>
      <c r="C97" s="344">
        <v>5193.6000000000004</v>
      </c>
      <c r="D97" s="344">
        <v>4931.6000000000004</v>
      </c>
      <c r="E97" s="231">
        <f>'пр.6.1.ведом.22-23 (2)'!G672-519.93</f>
        <v>4895.72</v>
      </c>
      <c r="F97" s="231">
        <f>'пр.6.1.ведом.22-23 (2)'!H672-493.7</f>
        <v>4648.7500000000009</v>
      </c>
    </row>
    <row r="98" spans="1:7" ht="18.75" x14ac:dyDescent="0.25">
      <c r="A98" s="532" t="s">
        <v>1128</v>
      </c>
      <c r="B98" s="138" t="s">
        <v>1127</v>
      </c>
      <c r="C98" s="336">
        <f t="shared" si="18"/>
        <v>6887.4000000000005</v>
      </c>
      <c r="D98" s="336">
        <f t="shared" si="18"/>
        <v>6072.4000000000005</v>
      </c>
    </row>
    <row r="99" spans="1:7" ht="18.75" x14ac:dyDescent="0.25">
      <c r="A99" s="201" t="s">
        <v>810</v>
      </c>
      <c r="B99" s="144" t="s">
        <v>98</v>
      </c>
      <c r="C99" s="361">
        <f>C100+C101+C102+C104+C105+C108+C109+C110+C111+C112+C114+C107+C113+C103</f>
        <v>6887.4000000000005</v>
      </c>
      <c r="D99" s="361">
        <f>D100+D101+D102+D104+D105+D108+D109+D110+D111+D112+D114+D107+D113+D103</f>
        <v>6072.4000000000005</v>
      </c>
    </row>
    <row r="100" spans="1:7" ht="63" customHeight="1" x14ac:dyDescent="0.25">
      <c r="A100" s="610"/>
      <c r="B100" s="139" t="s">
        <v>1722</v>
      </c>
      <c r="C100" s="344">
        <v>65.2</v>
      </c>
      <c r="D100" s="344">
        <v>65.2</v>
      </c>
      <c r="E100" s="328" t="e">
        <f>'пр.6.1.ведом.22-23 (2)'!#REF!</f>
        <v>#REF!</v>
      </c>
      <c r="F100" s="328" t="e">
        <f>'пр.6.1.ведом.22-23 (2)'!#REF!</f>
        <v>#REF!</v>
      </c>
    </row>
    <row r="101" spans="1:7" ht="82.15" customHeight="1" x14ac:dyDescent="0.25">
      <c r="A101" s="611"/>
      <c r="B101" s="149" t="s">
        <v>1723</v>
      </c>
      <c r="C101" s="362">
        <v>1666.6</v>
      </c>
      <c r="D101" s="362">
        <v>915</v>
      </c>
      <c r="E101" s="332">
        <f>'пр.6.1.ведом.22-23 (2)'!G598</f>
        <v>1666.6</v>
      </c>
      <c r="F101" s="332">
        <f>'пр.6.1.ведом.22-23 (2)'!H598</f>
        <v>915</v>
      </c>
    </row>
    <row r="102" spans="1:7" ht="143.44999999999999" hidden="1" customHeight="1" x14ac:dyDescent="0.25">
      <c r="A102" s="611"/>
      <c r="B102" s="260" t="s">
        <v>1158</v>
      </c>
      <c r="C102" s="362">
        <v>0</v>
      </c>
      <c r="D102" s="362">
        <v>0</v>
      </c>
      <c r="E102" s="231" t="e">
        <f>'пр.6.1.ведом.22-23 (2)'!#REF!</f>
        <v>#REF!</v>
      </c>
      <c r="F102" s="231" t="e">
        <f>'пр.6.1.ведом.22-23 (2)'!#REF!</f>
        <v>#REF!</v>
      </c>
    </row>
    <row r="103" spans="1:7" ht="101.25" customHeight="1" x14ac:dyDescent="0.25">
      <c r="A103" s="611"/>
      <c r="B103" s="260" t="s">
        <v>1724</v>
      </c>
      <c r="C103" s="362">
        <v>200</v>
      </c>
      <c r="D103" s="362">
        <f>C103</f>
        <v>200</v>
      </c>
      <c r="E103" s="231"/>
      <c r="F103" s="231"/>
    </row>
    <row r="104" spans="1:7" ht="31.5" x14ac:dyDescent="0.25">
      <c r="A104" s="611"/>
      <c r="B104" s="419" t="s">
        <v>1725</v>
      </c>
      <c r="C104" s="363">
        <v>2161.1</v>
      </c>
      <c r="D104" s="363">
        <v>2161.1</v>
      </c>
      <c r="E104" s="328">
        <f>'пр.6.1.ведом.22-23 (2)'!G728</f>
        <v>0</v>
      </c>
      <c r="F104" s="328">
        <f>'пр.6.1.ведом.22-23 (2)'!H728</f>
        <v>0</v>
      </c>
    </row>
    <row r="105" spans="1:7" ht="67.7" hidden="1" customHeight="1" x14ac:dyDescent="0.25">
      <c r="A105" s="611"/>
      <c r="B105" s="149" t="s">
        <v>1432</v>
      </c>
      <c r="C105" s="364"/>
      <c r="D105" s="364"/>
    </row>
    <row r="106" spans="1:7" ht="116.45" hidden="1" customHeight="1" x14ac:dyDescent="0.25">
      <c r="A106" s="611"/>
      <c r="B106" s="246" t="s">
        <v>802</v>
      </c>
      <c r="C106" s="365">
        <v>0</v>
      </c>
      <c r="D106" s="365">
        <v>0</v>
      </c>
    </row>
    <row r="107" spans="1:7" ht="94.5" x14ac:dyDescent="0.25">
      <c r="A107" s="611"/>
      <c r="B107" s="139" t="s">
        <v>1726</v>
      </c>
      <c r="C107" s="344">
        <v>40</v>
      </c>
      <c r="D107" s="344">
        <v>40</v>
      </c>
      <c r="E107" s="332">
        <f>'пр.6.1.ведом.22-23 (2)'!G51</f>
        <v>0</v>
      </c>
      <c r="F107" s="332">
        <f>'пр.6.1.ведом.22-23 (2)'!H51</f>
        <v>0</v>
      </c>
    </row>
    <row r="108" spans="1:7" ht="32.65" customHeight="1" x14ac:dyDescent="0.25">
      <c r="A108" s="611"/>
      <c r="B108" s="139" t="s">
        <v>1727</v>
      </c>
      <c r="C108" s="344">
        <v>1731.8</v>
      </c>
      <c r="D108" s="344">
        <v>1665.2</v>
      </c>
      <c r="E108" s="332" t="e">
        <f>'пр.6.1.ведом.22-23 (2)'!#REF!</f>
        <v>#REF!</v>
      </c>
      <c r="F108" s="332" t="e">
        <f>'пр.6.1.ведом.22-23 (2)'!#REF!</f>
        <v>#REF!</v>
      </c>
    </row>
    <row r="109" spans="1:7" ht="38.1" customHeight="1" x14ac:dyDescent="0.25">
      <c r="A109" s="611"/>
      <c r="B109" s="139" t="s">
        <v>1728</v>
      </c>
      <c r="C109" s="344">
        <v>255</v>
      </c>
      <c r="D109" s="344">
        <v>255</v>
      </c>
      <c r="E109" s="332">
        <f>'пр.6.1.ведом.22-23 (2)'!G200</f>
        <v>0</v>
      </c>
      <c r="F109" s="332">
        <f>'пр.6.1.ведом.22-23 (2)'!H200</f>
        <v>0</v>
      </c>
    </row>
    <row r="110" spans="1:7" ht="47.25" x14ac:dyDescent="0.25">
      <c r="A110" s="611"/>
      <c r="B110" s="139" t="s">
        <v>1729</v>
      </c>
      <c r="C110" s="344">
        <v>516.6</v>
      </c>
      <c r="D110" s="344">
        <v>516.6</v>
      </c>
      <c r="E110" s="332" t="e">
        <f>'пр.6.1.ведом.22-23 (2)'!#REF!</f>
        <v>#REF!</v>
      </c>
      <c r="F110" s="332" t="e">
        <f>'пр.6.1.ведом.22-23 (2)'!#REF!</f>
        <v>#REF!</v>
      </c>
    </row>
    <row r="111" spans="1:7" ht="95.25" hidden="1" customHeight="1" x14ac:dyDescent="0.25">
      <c r="A111" s="611"/>
      <c r="B111" s="264" t="s">
        <v>1167</v>
      </c>
      <c r="C111" s="372">
        <v>0</v>
      </c>
      <c r="D111" s="344">
        <v>0</v>
      </c>
    </row>
    <row r="112" spans="1:7" ht="95.1" customHeight="1" x14ac:dyDescent="0.25">
      <c r="A112" s="611"/>
      <c r="B112" s="421" t="s">
        <v>1730</v>
      </c>
      <c r="C112" s="361">
        <v>173.3</v>
      </c>
      <c r="D112" s="361">
        <v>173.3</v>
      </c>
      <c r="E112" s="332" t="e">
        <f>'пр.6.1.ведом.22-23 (2)'!#REF!</f>
        <v>#REF!</v>
      </c>
      <c r="F112" s="332" t="e">
        <f>'пр.6.1.ведом.22-23 (2)'!#REF!</f>
        <v>#REF!</v>
      </c>
      <c r="G112" s="327"/>
    </row>
    <row r="113" spans="1:7" ht="31.5" x14ac:dyDescent="0.25">
      <c r="A113" s="611"/>
      <c r="B113" s="422" t="s">
        <v>1731</v>
      </c>
      <c r="C113" s="361">
        <v>77.8</v>
      </c>
      <c r="D113" s="361">
        <v>81</v>
      </c>
      <c r="E113" s="332">
        <f>'пр.6.1.ведом.22-23 (2)'!G668</f>
        <v>0</v>
      </c>
      <c r="F113" s="332">
        <f>'пр.6.1.ведом.22-23 (2)'!H668</f>
        <v>0</v>
      </c>
    </row>
    <row r="114" spans="1:7" ht="63" hidden="1" x14ac:dyDescent="0.25">
      <c r="A114" s="612"/>
      <c r="B114" s="310" t="s">
        <v>1434</v>
      </c>
      <c r="C114" s="361">
        <v>0</v>
      </c>
      <c r="D114" s="361">
        <v>0</v>
      </c>
      <c r="E114" s="328"/>
      <c r="F114" s="328"/>
    </row>
    <row r="115" spans="1:7" ht="24.75" customHeight="1" x14ac:dyDescent="0.25">
      <c r="A115" s="137" t="s">
        <v>809</v>
      </c>
      <c r="B115" s="234" t="s">
        <v>100</v>
      </c>
      <c r="C115" s="336">
        <f>C139+C116+C137</f>
        <v>215880.3</v>
      </c>
      <c r="D115" s="336">
        <f>D139+D116+D137</f>
        <v>247491.99999999997</v>
      </c>
    </row>
    <row r="116" spans="1:7" ht="31.5" x14ac:dyDescent="0.25">
      <c r="A116" s="137" t="s">
        <v>808</v>
      </c>
      <c r="B116" s="146" t="s">
        <v>101</v>
      </c>
      <c r="C116" s="336">
        <f t="shared" ref="C116:D116" si="19">C117</f>
        <v>215317.09999999998</v>
      </c>
      <c r="D116" s="336">
        <f t="shared" si="19"/>
        <v>247144.29999999996</v>
      </c>
    </row>
    <row r="117" spans="1:7" ht="31.5" x14ac:dyDescent="0.25">
      <c r="A117" s="201" t="s">
        <v>807</v>
      </c>
      <c r="B117" s="139" t="s">
        <v>102</v>
      </c>
      <c r="C117" s="344">
        <f>SUM(C118+C119+C120+C121+C122+C123+C124+C127+C128+C129+C130+C131+C132+C133)</f>
        <v>215317.09999999998</v>
      </c>
      <c r="D117" s="344">
        <f>SUM(D118+D119+D120+D121+D122+D123+D124+D127+D128+D129+D130+D131+D132+D133)</f>
        <v>247144.29999999996</v>
      </c>
    </row>
    <row r="118" spans="1:7" ht="53.1" customHeight="1" x14ac:dyDescent="0.25">
      <c r="A118" s="610"/>
      <c r="B118" s="419" t="s">
        <v>1732</v>
      </c>
      <c r="C118" s="364">
        <v>115047.8</v>
      </c>
      <c r="D118" s="364">
        <v>134211.70000000001</v>
      </c>
      <c r="E118" s="332">
        <f>'пр.6.1.ведом.22-23 (2)'!G624</f>
        <v>115047.8</v>
      </c>
      <c r="F118" s="332">
        <f>'пр.6.1.ведом.22-23 (2)'!H624</f>
        <v>134211.70000000001</v>
      </c>
    </row>
    <row r="119" spans="1:7" ht="35.450000000000003" customHeight="1" x14ac:dyDescent="0.25">
      <c r="A119" s="611"/>
      <c r="B119" s="139" t="s">
        <v>1733</v>
      </c>
      <c r="C119" s="364">
        <v>70113.2</v>
      </c>
      <c r="D119" s="364">
        <v>74475.8</v>
      </c>
      <c r="E119" s="332">
        <f>'пр.6.1.ведом.22-23 (2)'!G567</f>
        <v>70113.2</v>
      </c>
      <c r="F119" s="332">
        <f>'пр.6.1.ведом.22-23 (2)'!H567</f>
        <v>74475.8</v>
      </c>
    </row>
    <row r="120" spans="1:7" ht="63.2" customHeight="1" x14ac:dyDescent="0.25">
      <c r="A120" s="611"/>
      <c r="B120" s="139" t="s">
        <v>1734</v>
      </c>
      <c r="C120" s="364">
        <v>4743.8999999999996</v>
      </c>
      <c r="D120" s="364">
        <f t="shared" ref="D120:D129" si="20">C120</f>
        <v>4743.8999999999996</v>
      </c>
      <c r="E120" s="334">
        <f>'пр.6.1.ведом.22-23 (2)'!G326+'пр.6.1.ведом.22-23 (2)'!G564+'пр.6.1.ведом.22-23 (2)'!G630+'пр.6.1.ведом.22-23 (2)'!G706</f>
        <v>4743.8999999999996</v>
      </c>
      <c r="F120" s="334">
        <f>'пр.6.1.ведом.22-23 (2)'!H326+'пр.6.1.ведом.22-23 (2)'!H564+'пр.6.1.ведом.22-23 (2)'!H630+'пр.6.1.ведом.22-23 (2)'!H706</f>
        <v>4743.8999999999996</v>
      </c>
      <c r="G120" s="335"/>
    </row>
    <row r="121" spans="1:7" ht="64.5" customHeight="1" x14ac:dyDescent="0.25">
      <c r="A121" s="611"/>
      <c r="B121" s="139" t="s">
        <v>1735</v>
      </c>
      <c r="C121" s="364">
        <f>[1]пр.1дох.21!C126</f>
        <v>2185</v>
      </c>
      <c r="D121" s="364">
        <f t="shared" si="20"/>
        <v>2185</v>
      </c>
      <c r="E121" s="332">
        <f>'пр.6.1.ведом.22-23 (2)'!G703+'пр.6.1.ведом.22-23 (2)'!G627+'пр.6.1.ведом.22-23 (2)'!G561+'пр.6.1.ведом.22-23 (2)'!G323</f>
        <v>2185</v>
      </c>
      <c r="F121" s="332">
        <f>'пр.6.1.ведом.22-23 (2)'!H703+'пр.6.1.ведом.22-23 (2)'!H627+'пр.6.1.ведом.22-23 (2)'!H561+'пр.6.1.ведом.22-23 (2)'!H323</f>
        <v>2185</v>
      </c>
    </row>
    <row r="122" spans="1:7" ht="46.9" customHeight="1" x14ac:dyDescent="0.25">
      <c r="A122" s="611"/>
      <c r="B122" s="139" t="s">
        <v>1736</v>
      </c>
      <c r="C122" s="364">
        <v>1411.1</v>
      </c>
      <c r="D122" s="364">
        <v>1411.1</v>
      </c>
      <c r="E122" s="332">
        <f>'пр.6.1.ведом.22-23 (2)'!G79</f>
        <v>1411.1</v>
      </c>
      <c r="F122" s="332">
        <f>'пр.6.1.ведом.22-23 (2)'!H79</f>
        <v>1411.1</v>
      </c>
    </row>
    <row r="123" spans="1:7" ht="141.75" x14ac:dyDescent="0.25">
      <c r="A123" s="611"/>
      <c r="B123" s="139" t="s">
        <v>1737</v>
      </c>
      <c r="C123" s="364">
        <v>264.2</v>
      </c>
      <c r="D123" s="364">
        <v>274.8</v>
      </c>
      <c r="E123" s="332">
        <f>'пр.6.1.ведом.22-23 (2)'!G208</f>
        <v>264.2</v>
      </c>
      <c r="F123" s="332">
        <f>'пр.6.1.ведом.22-23 (2)'!H208</f>
        <v>274.8</v>
      </c>
    </row>
    <row r="124" spans="1:7" ht="47.25" x14ac:dyDescent="0.25">
      <c r="A124" s="611"/>
      <c r="B124" s="139" t="s">
        <v>1738</v>
      </c>
      <c r="C124" s="364">
        <f>SUM(C125:C126)</f>
        <v>3650.3999999999996</v>
      </c>
      <c r="D124" s="364">
        <f>SUM(D125:D126)</f>
        <v>3606.4</v>
      </c>
      <c r="E124" s="328">
        <f>'пр.6.1.ведом.22-23 (2)'!G237</f>
        <v>3650.4</v>
      </c>
      <c r="F124" s="328">
        <f>'пр.6.1.ведом.22-23 (2)'!H237</f>
        <v>3606.4</v>
      </c>
      <c r="G124" s="328"/>
    </row>
    <row r="125" spans="1:7" ht="31.5" x14ac:dyDescent="0.25">
      <c r="A125" s="611"/>
      <c r="B125" s="423" t="s">
        <v>1739</v>
      </c>
      <c r="C125" s="364">
        <f>[1]пр.1дох.21!C130</f>
        <v>2829.1</v>
      </c>
      <c r="D125" s="364">
        <v>2759</v>
      </c>
    </row>
    <row r="126" spans="1:7" ht="31.5" x14ac:dyDescent="0.25">
      <c r="A126" s="611"/>
      <c r="B126" s="423" t="s">
        <v>1740</v>
      </c>
      <c r="C126" s="364">
        <v>821.3</v>
      </c>
      <c r="D126" s="364">
        <v>847.4</v>
      </c>
    </row>
    <row r="127" spans="1:7" ht="62.1" customHeight="1" x14ac:dyDescent="0.25">
      <c r="A127" s="611"/>
      <c r="B127" s="139" t="s">
        <v>1741</v>
      </c>
      <c r="C127" s="364">
        <f>[1]пр.1дох.21!C132</f>
        <v>341.4</v>
      </c>
      <c r="D127" s="364">
        <f t="shared" si="20"/>
        <v>341.4</v>
      </c>
      <c r="E127" s="332">
        <f>'пр.6.1.ведом.22-23 (2)'!G384</f>
        <v>341.4</v>
      </c>
      <c r="F127" s="332">
        <f>'пр.6.1.ведом.22-23 (2)'!H384</f>
        <v>341.4</v>
      </c>
    </row>
    <row r="128" spans="1:7" ht="62.1" customHeight="1" x14ac:dyDescent="0.25">
      <c r="A128" s="611"/>
      <c r="B128" s="139" t="s">
        <v>1742</v>
      </c>
      <c r="C128" s="364">
        <v>909.3</v>
      </c>
      <c r="D128" s="364">
        <v>909.3</v>
      </c>
      <c r="E128" s="332">
        <f>'пр.6.1.ведом.22-23 (2)'!G633</f>
        <v>909.3</v>
      </c>
      <c r="F128" s="332">
        <f>'пр.6.1.ведом.22-23 (2)'!H633</f>
        <v>909.3</v>
      </c>
    </row>
    <row r="129" spans="1:6" ht="47.25" x14ac:dyDescent="0.25">
      <c r="A129" s="611"/>
      <c r="B129" s="139" t="s">
        <v>1743</v>
      </c>
      <c r="C129" s="364">
        <f>[1]пр.1дох.21!C134</f>
        <v>1334.3</v>
      </c>
      <c r="D129" s="364">
        <f t="shared" si="20"/>
        <v>1334.3</v>
      </c>
      <c r="E129" s="332">
        <f>'пр.6.1.ведом.22-23 (2)'!G84</f>
        <v>1334.3</v>
      </c>
      <c r="F129" s="332">
        <f>'пр.6.1.ведом.22-23 (2)'!H84</f>
        <v>1334.3</v>
      </c>
    </row>
    <row r="130" spans="1:6" ht="78.75" x14ac:dyDescent="0.25">
      <c r="A130" s="611"/>
      <c r="B130" s="29" t="s">
        <v>1744</v>
      </c>
      <c r="C130" s="364">
        <v>22.3</v>
      </c>
      <c r="D130" s="364">
        <v>22.3</v>
      </c>
      <c r="E130" s="332">
        <f>'пр.6.1.ведом.22-23 (2)'!G506</f>
        <v>22.3</v>
      </c>
      <c r="F130" s="332">
        <f>'пр.6.1.ведом.22-23 (2)'!H506</f>
        <v>22.3</v>
      </c>
    </row>
    <row r="131" spans="1:6" ht="82.5" customHeight="1" x14ac:dyDescent="0.25">
      <c r="A131" s="611"/>
      <c r="B131" s="539" t="s">
        <v>1745</v>
      </c>
      <c r="C131" s="364">
        <v>2469.1</v>
      </c>
      <c r="D131" s="364">
        <v>10803.2</v>
      </c>
      <c r="E131" s="332">
        <f>'пр.6.1.ведом.22-23 (2)'!G536</f>
        <v>2469.1</v>
      </c>
      <c r="F131" s="332">
        <f>'пр.6.1.ведом.22-23 (2)'!H536</f>
        <v>10803.2</v>
      </c>
    </row>
    <row r="132" spans="1:6" ht="63" hidden="1" x14ac:dyDescent="0.25">
      <c r="A132" s="611"/>
      <c r="B132" s="139" t="s">
        <v>1457</v>
      </c>
      <c r="C132" s="364"/>
      <c r="D132" s="364"/>
      <c r="E132" s="332">
        <f>'пр.6.1.ведом.22-23 (2)'!G997</f>
        <v>0</v>
      </c>
      <c r="F132" s="332">
        <f>'пр.6.1.ведом.22-23 (2)'!H997</f>
        <v>0</v>
      </c>
    </row>
    <row r="133" spans="1:6" ht="63" x14ac:dyDescent="0.25">
      <c r="A133" s="611"/>
      <c r="B133" s="151" t="s">
        <v>1746</v>
      </c>
      <c r="C133" s="366">
        <f>SUM(C134:C136)</f>
        <v>12825.1</v>
      </c>
      <c r="D133" s="366">
        <f>SUM(D134:D136)</f>
        <v>12825.1</v>
      </c>
      <c r="E133" s="231"/>
      <c r="F133" s="231"/>
    </row>
    <row r="134" spans="1:6" ht="55.5" customHeight="1" x14ac:dyDescent="0.25">
      <c r="A134" s="611"/>
      <c r="B134" s="312" t="s">
        <v>1458</v>
      </c>
      <c r="C134" s="367">
        <v>9911</v>
      </c>
      <c r="D134" s="364">
        <f>C134</f>
        <v>9911</v>
      </c>
      <c r="E134" s="332">
        <f>'пр.6.1.ведом.22-23 (2)'!G700+'пр.6.1.ведом.22-23 (2)'!G621+'пр.6.1.ведом.22-23 (2)'!G558+'пр.6.1.ведом.22-23 (2)'!G320</f>
        <v>9911</v>
      </c>
      <c r="F134" s="332">
        <f>'пр.6.1.ведом.22-23 (2)'!H700+'пр.6.1.ведом.22-23 (2)'!H621+'пр.6.1.ведом.22-23 (2)'!H558+'пр.6.1.ведом.22-23 (2)'!H320</f>
        <v>9911</v>
      </c>
    </row>
    <row r="135" spans="1:6" ht="63" x14ac:dyDescent="0.25">
      <c r="A135" s="611"/>
      <c r="B135" s="312" t="s">
        <v>1459</v>
      </c>
      <c r="C135" s="367">
        <v>2100.6</v>
      </c>
      <c r="D135" s="364">
        <f>C135</f>
        <v>2100.6</v>
      </c>
      <c r="E135" s="332">
        <f>'пр.6.1.ведом.22-23 (2)'!G381</f>
        <v>2100.6</v>
      </c>
      <c r="F135" s="332">
        <f>'пр.6.1.ведом.22-23 (2)'!H381</f>
        <v>2100.6</v>
      </c>
    </row>
    <row r="136" spans="1:6" ht="45.75" customHeight="1" x14ac:dyDescent="0.25">
      <c r="A136" s="612"/>
      <c r="B136" s="312" t="s">
        <v>1460</v>
      </c>
      <c r="C136" s="367">
        <v>813.5</v>
      </c>
      <c r="D136" s="364">
        <f>C136</f>
        <v>813.5</v>
      </c>
      <c r="E136" s="332">
        <f>'пр.6.1.ведом.22-23 (2)'!G792</f>
        <v>813.5</v>
      </c>
      <c r="F136" s="332">
        <f>'пр.6.1.ведом.22-23 (2)'!H792</f>
        <v>813.5</v>
      </c>
    </row>
    <row r="137" spans="1:6" ht="63" hidden="1" x14ac:dyDescent="0.25">
      <c r="A137" s="137" t="s">
        <v>1168</v>
      </c>
      <c r="B137" s="257" t="s">
        <v>1170</v>
      </c>
      <c r="C137" s="368">
        <f>C138</f>
        <v>0</v>
      </c>
      <c r="D137" s="368">
        <f>D138</f>
        <v>0</v>
      </c>
    </row>
    <row r="138" spans="1:6" ht="63" hidden="1" x14ac:dyDescent="0.25">
      <c r="A138" s="201" t="s">
        <v>1169</v>
      </c>
      <c r="B138" s="258" t="s">
        <v>1170</v>
      </c>
      <c r="C138" s="364">
        <v>0</v>
      </c>
      <c r="D138" s="364">
        <v>0</v>
      </c>
      <c r="E138" s="231">
        <f>'пр.6.1.ведом.22-23 (2)'!G73</f>
        <v>0</v>
      </c>
      <c r="F138" s="231">
        <f>'пр.6.1.ведом.22-23 (2)'!H73</f>
        <v>0</v>
      </c>
    </row>
    <row r="139" spans="1:6" ht="31.5" x14ac:dyDescent="0.25">
      <c r="A139" s="137" t="s">
        <v>806</v>
      </c>
      <c r="B139" s="146" t="s">
        <v>103</v>
      </c>
      <c r="C139" s="336">
        <f t="shared" ref="C139:D139" si="21">C140</f>
        <v>563.20000000000005</v>
      </c>
      <c r="D139" s="336">
        <f t="shared" si="21"/>
        <v>347.7</v>
      </c>
    </row>
    <row r="140" spans="1:6" ht="31.5" x14ac:dyDescent="0.25">
      <c r="A140" s="201" t="s">
        <v>805</v>
      </c>
      <c r="B140" s="139" t="s">
        <v>104</v>
      </c>
      <c r="C140" s="344">
        <v>563.20000000000005</v>
      </c>
      <c r="D140" s="344">
        <v>347.7</v>
      </c>
      <c r="E140" s="332">
        <f>'пр.6.1.ведом.22-23 (2)'!G74</f>
        <v>563.20000000000005</v>
      </c>
      <c r="F140" s="332">
        <f>'пр.6.1.ведом.22-23 (2)'!H74</f>
        <v>347.7</v>
      </c>
    </row>
    <row r="141" spans="1:6" ht="18.75" x14ac:dyDescent="0.25">
      <c r="A141" s="137" t="s">
        <v>804</v>
      </c>
      <c r="B141" s="146" t="s">
        <v>105</v>
      </c>
      <c r="C141" s="336">
        <f>C142</f>
        <v>7226.1</v>
      </c>
      <c r="D141" s="336">
        <f>D142</f>
        <v>7226.1</v>
      </c>
    </row>
    <row r="142" spans="1:6" ht="67.7" customHeight="1" x14ac:dyDescent="0.25">
      <c r="A142" s="533" t="s">
        <v>1399</v>
      </c>
      <c r="B142" s="302" t="s">
        <v>1397</v>
      </c>
      <c r="C142" s="336">
        <f>C143</f>
        <v>7226.1</v>
      </c>
      <c r="D142" s="336">
        <f>D143</f>
        <v>7226.1</v>
      </c>
    </row>
    <row r="143" spans="1:6" ht="72" customHeight="1" x14ac:dyDescent="0.25">
      <c r="A143" s="201" t="s">
        <v>1400</v>
      </c>
      <c r="B143" s="286" t="s">
        <v>1398</v>
      </c>
      <c r="C143" s="344">
        <v>7226.1</v>
      </c>
      <c r="D143" s="344">
        <v>7226.1</v>
      </c>
      <c r="E143" s="328">
        <f>'пр.6.1.ведом.22-23 (2)'!G618</f>
        <v>7226.1</v>
      </c>
      <c r="F143" s="231">
        <f>'пр.6.1.ведом.22-23 (2)'!H618</f>
        <v>7226.1</v>
      </c>
    </row>
    <row r="144" spans="1:6" ht="18.75" hidden="1" x14ac:dyDescent="0.25">
      <c r="A144" s="137" t="s">
        <v>803</v>
      </c>
      <c r="B144" s="146" t="s">
        <v>106</v>
      </c>
      <c r="C144" s="336">
        <f t="shared" ref="C144:D144" si="22">C145</f>
        <v>0</v>
      </c>
      <c r="D144" s="336">
        <f t="shared" si="22"/>
        <v>0</v>
      </c>
    </row>
    <row r="145" spans="1:4" ht="31.5" hidden="1" x14ac:dyDescent="0.25">
      <c r="A145" s="201" t="s">
        <v>815</v>
      </c>
      <c r="B145" s="139" t="s">
        <v>1129</v>
      </c>
      <c r="C145" s="344">
        <f>SUM(C146:C148)</f>
        <v>0</v>
      </c>
      <c r="D145" s="344">
        <f>SUM(D146:D148)</f>
        <v>0</v>
      </c>
    </row>
    <row r="146" spans="1:4" ht="126" hidden="1" x14ac:dyDescent="0.25">
      <c r="A146" s="610"/>
      <c r="B146" s="151" t="s">
        <v>787</v>
      </c>
      <c r="C146" s="367">
        <f>[1]пр.1дох.21!C153</f>
        <v>0</v>
      </c>
      <c r="D146" s="367">
        <f>C146</f>
        <v>0</v>
      </c>
    </row>
    <row r="147" spans="1:4" ht="141.75" hidden="1" x14ac:dyDescent="0.25">
      <c r="A147" s="611"/>
      <c r="B147" s="151" t="s">
        <v>788</v>
      </c>
      <c r="C147" s="367">
        <f>[1]пр.1дох.21!C154</f>
        <v>0</v>
      </c>
      <c r="D147" s="367">
        <f t="shared" ref="D147:D148" si="23">C147</f>
        <v>0</v>
      </c>
    </row>
    <row r="148" spans="1:4" ht="126" hidden="1" x14ac:dyDescent="0.25">
      <c r="A148" s="612"/>
      <c r="B148" s="151" t="s">
        <v>829</v>
      </c>
      <c r="C148" s="367">
        <f>[1]пр.1дох.21!C155</f>
        <v>0</v>
      </c>
      <c r="D148" s="367">
        <f t="shared" si="23"/>
        <v>0</v>
      </c>
    </row>
    <row r="149" spans="1:4" ht="18.75" hidden="1" x14ac:dyDescent="0.25">
      <c r="A149" s="461" t="s">
        <v>783</v>
      </c>
      <c r="B149" s="187" t="s">
        <v>784</v>
      </c>
      <c r="C149" s="369">
        <f>SUM(C150)</f>
        <v>0</v>
      </c>
      <c r="D149" s="369">
        <f>SUM(D150)</f>
        <v>0</v>
      </c>
    </row>
    <row r="150" spans="1:4" ht="31.5" hidden="1" x14ac:dyDescent="0.25">
      <c r="A150" s="461" t="s">
        <v>785</v>
      </c>
      <c r="B150" s="187" t="s">
        <v>786</v>
      </c>
      <c r="C150" s="369">
        <f>SUM(C151)</f>
        <v>0</v>
      </c>
      <c r="D150" s="369">
        <f>SUM(D151)</f>
        <v>0</v>
      </c>
    </row>
    <row r="151" spans="1:4" ht="18.75" hidden="1" x14ac:dyDescent="0.25">
      <c r="A151" s="604" t="s">
        <v>834</v>
      </c>
      <c r="B151" s="190" t="s">
        <v>786</v>
      </c>
      <c r="C151" s="369">
        <f>SUM(C153:C154)</f>
        <v>0</v>
      </c>
      <c r="D151" s="369">
        <f>SUM(D153:D154)</f>
        <v>0</v>
      </c>
    </row>
    <row r="152" spans="1:4" ht="18.75" hidden="1" x14ac:dyDescent="0.25">
      <c r="A152" s="605"/>
      <c r="B152" s="190" t="s">
        <v>99</v>
      </c>
      <c r="C152" s="369"/>
      <c r="D152" s="369"/>
    </row>
    <row r="153" spans="1:4" ht="94.5" hidden="1" x14ac:dyDescent="0.25">
      <c r="A153" s="605"/>
      <c r="B153" s="188" t="s">
        <v>831</v>
      </c>
      <c r="C153" s="367">
        <v>0</v>
      </c>
      <c r="D153" s="367">
        <v>0</v>
      </c>
    </row>
    <row r="154" spans="1:4" ht="78.75" hidden="1" x14ac:dyDescent="0.25">
      <c r="A154" s="614"/>
      <c r="B154" s="188" t="s">
        <v>832</v>
      </c>
      <c r="C154" s="367">
        <v>0</v>
      </c>
      <c r="D154" s="367">
        <v>0</v>
      </c>
    </row>
    <row r="155" spans="1:4" ht="18.75" x14ac:dyDescent="0.25">
      <c r="A155" s="201"/>
      <c r="B155" s="184" t="s">
        <v>107</v>
      </c>
      <c r="C155" s="336">
        <f>SUM(C9+C74)</f>
        <v>736280.6</v>
      </c>
      <c r="D155" s="336">
        <f>SUM(D9+D74)</f>
        <v>777267.39999999991</v>
      </c>
    </row>
    <row r="156" spans="1:4" x14ac:dyDescent="0.25">
      <c r="C156" s="115">
        <f>C74-C76</f>
        <v>237132.89999999997</v>
      </c>
      <c r="D156" s="115">
        <f>D74-D76</f>
        <v>268229.89999999991</v>
      </c>
    </row>
    <row r="157" spans="1:4" x14ac:dyDescent="0.25">
      <c r="C157" s="22">
        <f>C9+C78+C80</f>
        <v>499147.7</v>
      </c>
      <c r="D157" s="22">
        <f>D9+D78+D80</f>
        <v>509037.5</v>
      </c>
    </row>
  </sheetData>
  <mergeCells count="11">
    <mergeCell ref="H8:K8"/>
    <mergeCell ref="A100:A114"/>
    <mergeCell ref="A118:A136"/>
    <mergeCell ref="A146:A148"/>
    <mergeCell ref="A151:A154"/>
    <mergeCell ref="A6:D6"/>
    <mergeCell ref="C1:D1"/>
    <mergeCell ref="C2:D2"/>
    <mergeCell ref="C3:D3"/>
    <mergeCell ref="A4:D4"/>
    <mergeCell ref="A5:D5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5" orientation="portrait"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view="pageBreakPreview" zoomScaleNormal="100" zoomScaleSheetLayoutView="100" workbookViewId="0">
      <selection activeCell="A4" sqref="A4:D4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style="22" customWidth="1"/>
  </cols>
  <sheetData>
    <row r="1" spans="1:5" ht="15.75" x14ac:dyDescent="0.25">
      <c r="A1" s="11"/>
      <c r="B1" s="635" t="s">
        <v>1804</v>
      </c>
      <c r="C1" s="635"/>
      <c r="D1" s="635"/>
    </row>
    <row r="2" spans="1:5" ht="15.75" x14ac:dyDescent="0.25">
      <c r="A2" s="11"/>
      <c r="B2" s="635" t="s">
        <v>0</v>
      </c>
      <c r="C2" s="635"/>
      <c r="D2" s="635"/>
    </row>
    <row r="3" spans="1:5" ht="18.75" customHeight="1" x14ac:dyDescent="0.25">
      <c r="A3" s="11"/>
      <c r="B3" s="635" t="s">
        <v>1816</v>
      </c>
      <c r="C3" s="635"/>
      <c r="D3" s="635"/>
    </row>
    <row r="4" spans="1:5" ht="15.75" x14ac:dyDescent="0.25">
      <c r="A4" s="616" t="s">
        <v>1139</v>
      </c>
      <c r="B4" s="616"/>
      <c r="C4" s="616"/>
      <c r="D4" s="616"/>
    </row>
    <row r="5" spans="1:5" ht="15.75" x14ac:dyDescent="0.25">
      <c r="A5" s="616" t="s">
        <v>1140</v>
      </c>
      <c r="B5" s="616"/>
      <c r="C5" s="616"/>
      <c r="D5" s="616"/>
    </row>
    <row r="6" spans="1:5" ht="15.75" x14ac:dyDescent="0.25">
      <c r="A6" s="616" t="s">
        <v>1311</v>
      </c>
      <c r="B6" s="616"/>
      <c r="C6" s="616"/>
      <c r="D6" s="616"/>
    </row>
    <row r="7" spans="1:5" x14ac:dyDescent="0.25">
      <c r="B7" s="90"/>
      <c r="C7" s="90"/>
      <c r="D7" s="373" t="s">
        <v>1</v>
      </c>
    </row>
    <row r="8" spans="1:5" ht="66.2" customHeight="1" x14ac:dyDescent="0.25">
      <c r="A8" s="91" t="s">
        <v>675</v>
      </c>
      <c r="B8" s="91" t="s">
        <v>676</v>
      </c>
      <c r="C8" s="91" t="s">
        <v>677</v>
      </c>
      <c r="D8" s="374" t="s">
        <v>1028</v>
      </c>
    </row>
    <row r="9" spans="1:5" ht="15.75" x14ac:dyDescent="0.25">
      <c r="A9" s="47" t="s">
        <v>117</v>
      </c>
      <c r="B9" s="24" t="s">
        <v>118</v>
      </c>
      <c r="C9" s="92"/>
      <c r="D9" s="375">
        <f>SUM(D10:D16)</f>
        <v>177451.61987999998</v>
      </c>
    </row>
    <row r="10" spans="1:5" ht="31.5" x14ac:dyDescent="0.25">
      <c r="A10" s="31" t="s">
        <v>575</v>
      </c>
      <c r="B10" s="20" t="s">
        <v>118</v>
      </c>
      <c r="C10" s="20" t="s">
        <v>213</v>
      </c>
      <c r="D10" s="27">
        <f>'Пр.3 Рд,пр, ЦС,ВР 21'!F9</f>
        <v>5241.54</v>
      </c>
      <c r="E10" s="22"/>
    </row>
    <row r="11" spans="1:5" ht="47.25" x14ac:dyDescent="0.25">
      <c r="A11" s="31" t="s">
        <v>578</v>
      </c>
      <c r="B11" s="20" t="s">
        <v>118</v>
      </c>
      <c r="C11" s="20" t="s">
        <v>215</v>
      </c>
      <c r="D11" s="27">
        <f>'Пр.3 Рд,пр, ЦС,ВР 21'!F28</f>
        <v>6460.1337000000003</v>
      </c>
    </row>
    <row r="12" spans="1:5" ht="47.25" x14ac:dyDescent="0.25">
      <c r="A12" s="25" t="s">
        <v>149</v>
      </c>
      <c r="B12" s="20" t="s">
        <v>118</v>
      </c>
      <c r="C12" s="20" t="s">
        <v>150</v>
      </c>
      <c r="D12" s="27">
        <f>'Пр.3 Рд,пр, ЦС,ВР 21'!F47</f>
        <v>69734.410049999991</v>
      </c>
    </row>
    <row r="13" spans="1:5" ht="31.5" x14ac:dyDescent="0.25">
      <c r="A13" s="25" t="s">
        <v>119</v>
      </c>
      <c r="B13" s="20" t="s">
        <v>118</v>
      </c>
      <c r="C13" s="20" t="s">
        <v>120</v>
      </c>
      <c r="D13" s="27">
        <f>'Пр.3 Рд,пр, ЦС,ВР 21'!F111</f>
        <v>17998.234900000003</v>
      </c>
    </row>
    <row r="14" spans="1:5" s="203" customFormat="1" ht="15.75" hidden="1" x14ac:dyDescent="0.25">
      <c r="A14" s="25" t="s">
        <v>1152</v>
      </c>
      <c r="B14" s="20" t="s">
        <v>118</v>
      </c>
      <c r="C14" s="20" t="s">
        <v>264</v>
      </c>
      <c r="D14" s="27">
        <f>'Пр.3 Рд,пр, ЦС,ВР 21'!F148</f>
        <v>0</v>
      </c>
    </row>
    <row r="15" spans="1:5" s="203" customFormat="1" ht="15.75" x14ac:dyDescent="0.25">
      <c r="A15" s="25" t="s">
        <v>1418</v>
      </c>
      <c r="B15" s="20" t="s">
        <v>118</v>
      </c>
      <c r="C15" s="20" t="s">
        <v>491</v>
      </c>
      <c r="D15" s="27">
        <f>'Пр.3 Рд,пр, ЦС,ВР 21'!F156</f>
        <v>50</v>
      </c>
    </row>
    <row r="16" spans="1:5" ht="15.75" x14ac:dyDescent="0.25">
      <c r="A16" s="93" t="s">
        <v>139</v>
      </c>
      <c r="B16" s="20" t="s">
        <v>118</v>
      </c>
      <c r="C16" s="20" t="s">
        <v>140</v>
      </c>
      <c r="D16" s="27">
        <f>'Пр.3 Рд,пр, ЦС,ВР 21'!F162</f>
        <v>77967.301229999983</v>
      </c>
    </row>
    <row r="17" spans="1:5" ht="15.75" hidden="1" x14ac:dyDescent="0.25">
      <c r="A17" s="19" t="s">
        <v>212</v>
      </c>
      <c r="B17" s="24" t="s">
        <v>213</v>
      </c>
      <c r="C17" s="20"/>
      <c r="D17" s="44">
        <f t="shared" ref="D17" si="0">D18</f>
        <v>0</v>
      </c>
    </row>
    <row r="18" spans="1:5" ht="15.75" hidden="1" x14ac:dyDescent="0.25">
      <c r="A18" s="25" t="s">
        <v>218</v>
      </c>
      <c r="B18" s="20" t="s">
        <v>213</v>
      </c>
      <c r="C18" s="20" t="s">
        <v>219</v>
      </c>
      <c r="D18" s="27"/>
    </row>
    <row r="19" spans="1:5" ht="18" customHeight="1" x14ac:dyDescent="0.25">
      <c r="A19" s="34" t="s">
        <v>222</v>
      </c>
      <c r="B19" s="24" t="s">
        <v>215</v>
      </c>
      <c r="C19" s="24"/>
      <c r="D19" s="44">
        <f t="shared" ref="D19" si="1">D20</f>
        <v>7435.9079100000008</v>
      </c>
    </row>
    <row r="20" spans="1:5" ht="31.5" x14ac:dyDescent="0.25">
      <c r="A20" s="31" t="s">
        <v>1356</v>
      </c>
      <c r="B20" s="20" t="s">
        <v>215</v>
      </c>
      <c r="C20" s="20" t="s">
        <v>244</v>
      </c>
      <c r="D20" s="27">
        <f>'Пр.3 Рд,пр, ЦС,ВР 21'!F260</f>
        <v>7435.9079100000008</v>
      </c>
    </row>
    <row r="21" spans="1:5" ht="15.75" x14ac:dyDescent="0.25">
      <c r="A21" s="47" t="s">
        <v>232</v>
      </c>
      <c r="B21" s="24" t="s">
        <v>150</v>
      </c>
      <c r="C21" s="24"/>
      <c r="D21" s="44">
        <f t="shared" ref="D21" si="2">D22+D23+D24+D25</f>
        <v>8485.7000000000007</v>
      </c>
    </row>
    <row r="22" spans="1:5" ht="15.75" x14ac:dyDescent="0.25">
      <c r="A22" s="94" t="s">
        <v>233</v>
      </c>
      <c r="B22" s="20" t="s">
        <v>150</v>
      </c>
      <c r="C22" s="20" t="s">
        <v>234</v>
      </c>
      <c r="D22" s="27">
        <f>'Пр.3 Рд,пр, ЦС,ВР 21'!F290</f>
        <v>19</v>
      </c>
    </row>
    <row r="23" spans="1:5" ht="15.75" x14ac:dyDescent="0.25">
      <c r="A23" s="93" t="s">
        <v>505</v>
      </c>
      <c r="B23" s="20" t="s">
        <v>150</v>
      </c>
      <c r="C23" s="20" t="s">
        <v>299</v>
      </c>
      <c r="D23" s="27">
        <f>'Пр.3 Рд,пр, ЦС,ВР 21'!F300</f>
        <v>3258</v>
      </c>
    </row>
    <row r="24" spans="1:5" ht="15.75" x14ac:dyDescent="0.25">
      <c r="A24" s="93" t="s">
        <v>508</v>
      </c>
      <c r="B24" s="20" t="s">
        <v>150</v>
      </c>
      <c r="C24" s="20" t="s">
        <v>219</v>
      </c>
      <c r="D24" s="27">
        <f>'Пр.3 Рд,пр, ЦС,ВР 21'!F306</f>
        <v>4844.5</v>
      </c>
    </row>
    <row r="25" spans="1:5" ht="15.75" x14ac:dyDescent="0.25">
      <c r="A25" s="95" t="s">
        <v>237</v>
      </c>
      <c r="B25" s="20" t="s">
        <v>150</v>
      </c>
      <c r="C25" s="20" t="s">
        <v>238</v>
      </c>
      <c r="D25" s="27">
        <f>'Пр.3 Рд,пр, ЦС,ВР 21'!F320</f>
        <v>364.2</v>
      </c>
    </row>
    <row r="26" spans="1:5" ht="15.75" x14ac:dyDescent="0.25">
      <c r="A26" s="47" t="s">
        <v>390</v>
      </c>
      <c r="B26" s="24" t="s">
        <v>234</v>
      </c>
      <c r="C26" s="24"/>
      <c r="D26" s="44">
        <f t="shared" ref="D26" si="3">SUM(D27:D30)</f>
        <v>201358.07167999999</v>
      </c>
    </row>
    <row r="27" spans="1:5" ht="15.75" x14ac:dyDescent="0.25">
      <c r="A27" s="94" t="s">
        <v>391</v>
      </c>
      <c r="B27" s="20" t="s">
        <v>234</v>
      </c>
      <c r="C27" s="20" t="s">
        <v>118</v>
      </c>
      <c r="D27" s="27">
        <f>'Пр.3 Рд,пр, ЦС,ВР 21'!F352</f>
        <v>23849.203469999997</v>
      </c>
      <c r="E27" s="22"/>
    </row>
    <row r="28" spans="1:5" ht="15.75" x14ac:dyDescent="0.25">
      <c r="A28" s="94" t="s">
        <v>517</v>
      </c>
      <c r="B28" s="20" t="s">
        <v>234</v>
      </c>
      <c r="C28" s="20" t="s">
        <v>213</v>
      </c>
      <c r="D28" s="27">
        <f>'Пр.3 Рд,пр, ЦС,ВР 21'!F369</f>
        <v>92512.65241000001</v>
      </c>
    </row>
    <row r="29" spans="1:5" ht="15.75" x14ac:dyDescent="0.25">
      <c r="A29" s="93" t="s">
        <v>541</v>
      </c>
      <c r="B29" s="20" t="s">
        <v>234</v>
      </c>
      <c r="C29" s="20" t="s">
        <v>215</v>
      </c>
      <c r="D29" s="27">
        <f>'Пр.3 Рд,пр, ЦС,ВР 21'!F438</f>
        <v>35177.311000000002</v>
      </c>
    </row>
    <row r="30" spans="1:5" ht="15.75" x14ac:dyDescent="0.25">
      <c r="A30" s="25" t="s">
        <v>569</v>
      </c>
      <c r="B30" s="20" t="s">
        <v>234</v>
      </c>
      <c r="C30" s="20" t="s">
        <v>234</v>
      </c>
      <c r="D30" s="27">
        <f>'Пр.3 Рд,пр, ЦС,ВР 21'!F500</f>
        <v>49818.904799999989</v>
      </c>
    </row>
    <row r="31" spans="1:5" ht="15.75" x14ac:dyDescent="0.25">
      <c r="A31" s="47" t="s">
        <v>263</v>
      </c>
      <c r="B31" s="24" t="s">
        <v>264</v>
      </c>
      <c r="C31" s="24"/>
      <c r="D31" s="44">
        <f t="shared" ref="D31" si="4">SUM(D32:D36)</f>
        <v>398874.81100000005</v>
      </c>
    </row>
    <row r="32" spans="1:5" ht="15.75" x14ac:dyDescent="0.25">
      <c r="A32" s="93" t="s">
        <v>404</v>
      </c>
      <c r="B32" s="20" t="s">
        <v>264</v>
      </c>
      <c r="C32" s="20" t="s">
        <v>118</v>
      </c>
      <c r="D32" s="27">
        <f>'Пр.3 Рд,пр, ЦС,ВР 21'!F548</f>
        <v>112462.06999999999</v>
      </c>
    </row>
    <row r="33" spans="1:4" ht="15.75" x14ac:dyDescent="0.25">
      <c r="A33" s="93" t="s">
        <v>425</v>
      </c>
      <c r="B33" s="20" t="s">
        <v>264</v>
      </c>
      <c r="C33" s="20" t="s">
        <v>213</v>
      </c>
      <c r="D33" s="27">
        <f>'Пр.3 Рд,пр, ЦС,ВР 21'!F613</f>
        <v>194871.88</v>
      </c>
    </row>
    <row r="34" spans="1:4" ht="15.75" x14ac:dyDescent="0.25">
      <c r="A34" s="93" t="s">
        <v>265</v>
      </c>
      <c r="B34" s="20" t="s">
        <v>264</v>
      </c>
      <c r="C34" s="20" t="s">
        <v>215</v>
      </c>
      <c r="D34" s="27">
        <f>'Пр.3 Рд,пр, ЦС,ВР 21'!F704</f>
        <v>61388.770000000011</v>
      </c>
    </row>
    <row r="35" spans="1:4" ht="15.75" x14ac:dyDescent="0.25">
      <c r="A35" s="93" t="s">
        <v>466</v>
      </c>
      <c r="B35" s="20" t="s">
        <v>264</v>
      </c>
      <c r="C35" s="20" t="s">
        <v>264</v>
      </c>
      <c r="D35" s="27">
        <f>'Пр.3 Рд,пр, ЦС,ВР 21'!F789</f>
        <v>7096.4500000000007</v>
      </c>
    </row>
    <row r="36" spans="1:4" ht="15.75" x14ac:dyDescent="0.25">
      <c r="A36" s="93" t="s">
        <v>295</v>
      </c>
      <c r="B36" s="20" t="s">
        <v>264</v>
      </c>
      <c r="C36" s="20" t="s">
        <v>219</v>
      </c>
      <c r="D36" s="27">
        <f>'Пр.3 Рд,пр, ЦС,ВР 21'!F817</f>
        <v>23055.641</v>
      </c>
    </row>
    <row r="37" spans="1:4" ht="15.75" x14ac:dyDescent="0.25">
      <c r="A37" s="96" t="s">
        <v>298</v>
      </c>
      <c r="B37" s="24" t="s">
        <v>299</v>
      </c>
      <c r="C37" s="20"/>
      <c r="D37" s="44">
        <f t="shared" ref="D37" si="5">D38+D39</f>
        <v>85236.564099999989</v>
      </c>
    </row>
    <row r="38" spans="1:4" ht="15.75" x14ac:dyDescent="0.25">
      <c r="A38" s="95" t="s">
        <v>300</v>
      </c>
      <c r="B38" s="20" t="s">
        <v>299</v>
      </c>
      <c r="C38" s="20" t="s">
        <v>118</v>
      </c>
      <c r="D38" s="27">
        <f>'Пр.3 Рд,пр, ЦС,ВР 21'!F856</f>
        <v>64414.369999999995</v>
      </c>
    </row>
    <row r="39" spans="1:4" ht="15.75" x14ac:dyDescent="0.25">
      <c r="A39" s="95" t="s">
        <v>333</v>
      </c>
      <c r="B39" s="20" t="s">
        <v>299</v>
      </c>
      <c r="C39" s="20" t="s">
        <v>150</v>
      </c>
      <c r="D39" s="27">
        <f>'Пр.3 Рд,пр, ЦС,ВР 21'!F915</f>
        <v>20822.194099999997</v>
      </c>
    </row>
    <row r="40" spans="1:4" ht="15.75" x14ac:dyDescent="0.25">
      <c r="A40" s="47" t="s">
        <v>243</v>
      </c>
      <c r="B40" s="24" t="s">
        <v>244</v>
      </c>
      <c r="C40" s="24"/>
      <c r="D40" s="44">
        <f>SUM(D41:D44)</f>
        <v>16120.630000000001</v>
      </c>
    </row>
    <row r="41" spans="1:4" ht="15.75" x14ac:dyDescent="0.25">
      <c r="A41" s="93" t="s">
        <v>245</v>
      </c>
      <c r="B41" s="20" t="s">
        <v>244</v>
      </c>
      <c r="C41" s="20" t="s">
        <v>118</v>
      </c>
      <c r="D41" s="27">
        <f>'Пр.3 Рд,пр, ЦС,ВР 21'!F962</f>
        <v>11049.23</v>
      </c>
    </row>
    <row r="42" spans="1:4" ht="15.75" x14ac:dyDescent="0.25">
      <c r="A42" s="25" t="s">
        <v>252</v>
      </c>
      <c r="B42" s="20" t="s">
        <v>244</v>
      </c>
      <c r="C42" s="20" t="s">
        <v>215</v>
      </c>
      <c r="D42" s="27">
        <f>'Пр.3 Рд,пр, ЦС,ВР 21'!F968</f>
        <v>1452.2</v>
      </c>
    </row>
    <row r="43" spans="1:4" s="203" customFormat="1" ht="15.75" hidden="1" x14ac:dyDescent="0.25">
      <c r="A43" s="25" t="s">
        <v>400</v>
      </c>
      <c r="B43" s="20" t="s">
        <v>244</v>
      </c>
      <c r="C43" s="20" t="s">
        <v>150</v>
      </c>
      <c r="D43" s="27">
        <f>'Пр.3 Рд,пр, ЦС,ВР 21'!F997</f>
        <v>0</v>
      </c>
    </row>
    <row r="44" spans="1:4" ht="15.75" x14ac:dyDescent="0.25">
      <c r="A44" s="25" t="s">
        <v>258</v>
      </c>
      <c r="B44" s="20" t="s">
        <v>244</v>
      </c>
      <c r="C44" s="20" t="s">
        <v>120</v>
      </c>
      <c r="D44" s="27">
        <f>'Пр.3 Рд,пр, ЦС,ВР 21'!F1002</f>
        <v>3619.2000000000007</v>
      </c>
    </row>
    <row r="45" spans="1:4" ht="15.75" x14ac:dyDescent="0.25">
      <c r="A45" s="96" t="s">
        <v>490</v>
      </c>
      <c r="B45" s="24" t="s">
        <v>491</v>
      </c>
      <c r="C45" s="20"/>
      <c r="D45" s="44">
        <f t="shared" ref="D45" si="6">D46+D47</f>
        <v>70582.803799999994</v>
      </c>
    </row>
    <row r="46" spans="1:4" ht="15.75" x14ac:dyDescent="0.25">
      <c r="A46" s="95" t="s">
        <v>492</v>
      </c>
      <c r="B46" s="20" t="s">
        <v>491</v>
      </c>
      <c r="C46" s="20" t="s">
        <v>118</v>
      </c>
      <c r="D46" s="27">
        <f>'Пр.3 Рд,пр, ЦС,ВР 21'!F1016</f>
        <v>56758.36</v>
      </c>
    </row>
    <row r="47" spans="1:4" ht="15.75" x14ac:dyDescent="0.25">
      <c r="A47" s="95" t="s">
        <v>500</v>
      </c>
      <c r="B47" s="20" t="s">
        <v>491</v>
      </c>
      <c r="C47" s="20" t="s">
        <v>234</v>
      </c>
      <c r="D47" s="27">
        <f>'Пр.3 Рд,пр, ЦС,ВР 21'!F1062</f>
        <v>13824.443800000001</v>
      </c>
    </row>
    <row r="48" spans="1:4" ht="15.75" x14ac:dyDescent="0.25">
      <c r="A48" s="19" t="s">
        <v>582</v>
      </c>
      <c r="B48" s="24" t="s">
        <v>238</v>
      </c>
      <c r="C48" s="20"/>
      <c r="D48" s="44">
        <f t="shared" ref="D48" si="7">D49</f>
        <v>5633.9500000000007</v>
      </c>
    </row>
    <row r="49" spans="1:5" ht="15.75" x14ac:dyDescent="0.25">
      <c r="A49" s="31" t="s">
        <v>583</v>
      </c>
      <c r="B49" s="20" t="s">
        <v>238</v>
      </c>
      <c r="C49" s="20" t="s">
        <v>213</v>
      </c>
      <c r="D49" s="27">
        <f>'Пр.3 Рд,пр, ЦС,ВР 21'!F1097</f>
        <v>5633.9500000000007</v>
      </c>
    </row>
    <row r="50" spans="1:5" ht="15.75" x14ac:dyDescent="0.25">
      <c r="A50" s="92" t="s">
        <v>678</v>
      </c>
      <c r="B50" s="24"/>
      <c r="C50" s="24"/>
      <c r="D50" s="44">
        <f>D9+D19+D21+D26+D31+D37+D40+D45+D48+D17</f>
        <v>971180.05836999987</v>
      </c>
      <c r="E50" s="22"/>
    </row>
    <row r="51" spans="1:5" hidden="1" x14ac:dyDescent="0.25">
      <c r="D51" s="22">
        <f>'Пр.4 ведом.21'!G1245</f>
        <v>971180.05836999998</v>
      </c>
    </row>
    <row r="52" spans="1:5" hidden="1" x14ac:dyDescent="0.25">
      <c r="D52" s="22">
        <f t="shared" ref="D52" si="8">D51-D50</f>
        <v>0</v>
      </c>
    </row>
    <row r="53" spans="1:5" hidden="1" x14ac:dyDescent="0.25">
      <c r="D53" s="22">
        <f>пр.1дох.21!C189</f>
        <v>936302.3528799999</v>
      </c>
    </row>
    <row r="54" spans="1:5" hidden="1" x14ac:dyDescent="0.25">
      <c r="D54" s="22">
        <f>D53-D50</f>
        <v>-34877.705489999964</v>
      </c>
    </row>
    <row r="55" spans="1:5" x14ac:dyDescent="0.25">
      <c r="D55" s="22">
        <f>'Пр.4 ведом.21'!G1245</f>
        <v>971180.05836999998</v>
      </c>
    </row>
    <row r="56" spans="1:5" x14ac:dyDescent="0.25">
      <c r="D56" s="22">
        <f>D55-D50</f>
        <v>0</v>
      </c>
    </row>
  </sheetData>
  <mergeCells count="6">
    <mergeCell ref="B1:D1"/>
    <mergeCell ref="A4:D4"/>
    <mergeCell ref="A5:D5"/>
    <mergeCell ref="A6:D6"/>
    <mergeCell ref="B3:D3"/>
    <mergeCell ref="B2:D2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17" zoomScaleNormal="100" zoomScaleSheetLayoutView="100" workbookViewId="0">
      <selection activeCell="D3" sqref="D3:E3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style="22" customWidth="1"/>
    <col min="5" max="5" width="15.5703125" style="22" customWidth="1"/>
  </cols>
  <sheetData>
    <row r="1" spans="1:7" ht="15.75" x14ac:dyDescent="0.25">
      <c r="A1" s="11"/>
      <c r="B1" s="203"/>
      <c r="C1" s="11"/>
      <c r="D1" s="613" t="s">
        <v>1805</v>
      </c>
      <c r="E1" s="613"/>
    </row>
    <row r="2" spans="1:7" ht="15.75" x14ac:dyDescent="0.25">
      <c r="A2" s="11"/>
      <c r="B2" s="203"/>
      <c r="C2" s="11"/>
      <c r="D2" s="613" t="s">
        <v>1530</v>
      </c>
      <c r="E2" s="613"/>
    </row>
    <row r="3" spans="1:7" ht="18.75" x14ac:dyDescent="0.3">
      <c r="A3" s="11"/>
      <c r="B3" s="152"/>
      <c r="C3" s="11"/>
      <c r="D3" s="613" t="s">
        <v>1817</v>
      </c>
      <c r="E3" s="613"/>
    </row>
    <row r="4" spans="1:7" ht="15.75" x14ac:dyDescent="0.25">
      <c r="A4" s="616" t="s">
        <v>1139</v>
      </c>
      <c r="B4" s="616"/>
      <c r="C4" s="616"/>
      <c r="D4" s="616"/>
      <c r="E4" s="616"/>
    </row>
    <row r="5" spans="1:7" ht="15.75" x14ac:dyDescent="0.25">
      <c r="A5" s="616" t="s">
        <v>1141</v>
      </c>
      <c r="B5" s="616"/>
      <c r="C5" s="616"/>
      <c r="D5" s="616"/>
      <c r="E5" s="616"/>
    </row>
    <row r="6" spans="1:7" ht="15.75" x14ac:dyDescent="0.25">
      <c r="A6" s="616" t="s">
        <v>1320</v>
      </c>
      <c r="B6" s="616"/>
      <c r="C6" s="616"/>
      <c r="D6" s="616"/>
      <c r="E6" s="616"/>
    </row>
    <row r="7" spans="1:7" ht="15.75" x14ac:dyDescent="0.25">
      <c r="A7" s="617"/>
      <c r="B7" s="618"/>
      <c r="C7" s="618"/>
    </row>
    <row r="8" spans="1:7" x14ac:dyDescent="0.25">
      <c r="A8" s="203"/>
      <c r="B8" s="90"/>
      <c r="C8" s="90"/>
      <c r="E8" s="373" t="s">
        <v>1</v>
      </c>
    </row>
    <row r="9" spans="1:7" ht="31.5" x14ac:dyDescent="0.25">
      <c r="A9" s="91" t="s">
        <v>675</v>
      </c>
      <c r="B9" s="91" t="s">
        <v>676</v>
      </c>
      <c r="C9" s="91" t="s">
        <v>677</v>
      </c>
      <c r="D9" s="374" t="s">
        <v>1029</v>
      </c>
      <c r="E9" s="374" t="s">
        <v>1295</v>
      </c>
    </row>
    <row r="10" spans="1:7" s="203" customFormat="1" ht="15.75" x14ac:dyDescent="0.25">
      <c r="A10" s="43" t="s">
        <v>1424</v>
      </c>
      <c r="B10" s="47"/>
      <c r="C10" s="47"/>
      <c r="D10" s="376">
        <f>('Пр.1.1. дох.22-23'!C9+'Пр.1.1. дох.22-23'!C76)*2.5%</f>
        <v>12415.397850000001</v>
      </c>
      <c r="E10" s="376">
        <v>25451.88</v>
      </c>
    </row>
    <row r="11" spans="1:7" ht="15.75" x14ac:dyDescent="0.25">
      <c r="A11" s="47" t="s">
        <v>117</v>
      </c>
      <c r="B11" s="24" t="s">
        <v>118</v>
      </c>
      <c r="C11" s="92"/>
      <c r="D11" s="375">
        <f>SUM(D12:D17)</f>
        <v>136787.32</v>
      </c>
      <c r="E11" s="375">
        <f>SUM(E12:E17)</f>
        <v>123941.67000000001</v>
      </c>
      <c r="G11" s="22"/>
    </row>
    <row r="12" spans="1:7" ht="31.5" x14ac:dyDescent="0.25">
      <c r="A12" s="31" t="s">
        <v>575</v>
      </c>
      <c r="B12" s="20" t="s">
        <v>118</v>
      </c>
      <c r="C12" s="20" t="s">
        <v>213</v>
      </c>
      <c r="D12" s="377">
        <f>'пр.3.1.рдпрцс 22-23'!F10</f>
        <v>4867.3999999999996</v>
      </c>
      <c r="E12" s="377">
        <f>'пр.3.1.рдпрцс 22-23'!G10</f>
        <v>4867.3999999999996</v>
      </c>
    </row>
    <row r="13" spans="1:7" ht="47.25" x14ac:dyDescent="0.25">
      <c r="A13" s="31" t="s">
        <v>578</v>
      </c>
      <c r="B13" s="20" t="s">
        <v>118</v>
      </c>
      <c r="C13" s="20" t="s">
        <v>215</v>
      </c>
      <c r="D13" s="377">
        <f>'пр.3.1.рдпрцс 22-23'!F29</f>
        <v>5488</v>
      </c>
      <c r="E13" s="377">
        <f>'пр.3.1.рдпрцс 22-23'!G29</f>
        <v>5488</v>
      </c>
    </row>
    <row r="14" spans="1:7" ht="47.25" x14ac:dyDescent="0.25">
      <c r="A14" s="25" t="s">
        <v>149</v>
      </c>
      <c r="B14" s="20" t="s">
        <v>118</v>
      </c>
      <c r="C14" s="20" t="s">
        <v>150</v>
      </c>
      <c r="D14" s="377">
        <f>'пр.3.1.рдпрцс 22-23'!F45</f>
        <v>56977.020000000004</v>
      </c>
      <c r="E14" s="377">
        <f>'пр.3.1.рдпрцс 22-23'!G45</f>
        <v>43788.37</v>
      </c>
    </row>
    <row r="15" spans="1:7" ht="47.25" x14ac:dyDescent="0.25">
      <c r="A15" s="25" t="s">
        <v>119</v>
      </c>
      <c r="B15" s="20" t="s">
        <v>118</v>
      </c>
      <c r="C15" s="20" t="s">
        <v>120</v>
      </c>
      <c r="D15" s="377">
        <f>'пр.3.1.рдпрцс 22-23'!F106</f>
        <v>16636.7</v>
      </c>
      <c r="E15" s="377">
        <f>'пр.3.1.рдпрцс 22-23'!G106</f>
        <v>16636.7</v>
      </c>
    </row>
    <row r="16" spans="1:7" s="203" customFormat="1" ht="15.75" hidden="1" x14ac:dyDescent="0.25">
      <c r="A16" s="25" t="s">
        <v>1152</v>
      </c>
      <c r="B16" s="20" t="s">
        <v>118</v>
      </c>
      <c r="C16" s="20" t="s">
        <v>264</v>
      </c>
      <c r="D16" s="377">
        <f>'пр.3.1.рдпрцс 22-23'!F128</f>
        <v>0</v>
      </c>
      <c r="E16" s="377">
        <f>'пр.3.1.рдпрцс 22-23'!G128</f>
        <v>0</v>
      </c>
    </row>
    <row r="17" spans="1:7" ht="15.75" x14ac:dyDescent="0.25">
      <c r="A17" s="93" t="s">
        <v>139</v>
      </c>
      <c r="B17" s="20" t="s">
        <v>118</v>
      </c>
      <c r="C17" s="20" t="s">
        <v>140</v>
      </c>
      <c r="D17" s="377">
        <f>'пр.3.1.рдпрцс 22-23'!F136</f>
        <v>52818.200000000004</v>
      </c>
      <c r="E17" s="377">
        <f>'пр.3.1.рдпрцс 22-23'!G136</f>
        <v>53161.200000000004</v>
      </c>
    </row>
    <row r="18" spans="1:7" ht="15.75" hidden="1" x14ac:dyDescent="0.25">
      <c r="A18" s="19" t="s">
        <v>212</v>
      </c>
      <c r="B18" s="24" t="s">
        <v>213</v>
      </c>
      <c r="C18" s="20"/>
      <c r="D18" s="375">
        <f>'пр.2 Рд,пр 21'!D17</f>
        <v>0</v>
      </c>
      <c r="E18" s="375">
        <f>'пр.2 Рд,пр 21'!E17</f>
        <v>0</v>
      </c>
    </row>
    <row r="19" spans="1:7" ht="15.75" hidden="1" x14ac:dyDescent="0.25">
      <c r="A19" s="25" t="s">
        <v>218</v>
      </c>
      <c r="B19" s="20" t="s">
        <v>213</v>
      </c>
      <c r="C19" s="20" t="s">
        <v>219</v>
      </c>
      <c r="D19" s="377">
        <f>'пр.2 Рд,пр 21'!D18</f>
        <v>0</v>
      </c>
      <c r="E19" s="377">
        <f>'пр.2 Рд,пр 21'!E18</f>
        <v>0</v>
      </c>
    </row>
    <row r="20" spans="1:7" ht="31.5" x14ac:dyDescent="0.25">
      <c r="A20" s="34" t="s">
        <v>222</v>
      </c>
      <c r="B20" s="24" t="s">
        <v>215</v>
      </c>
      <c r="C20" s="24"/>
      <c r="D20" s="375">
        <f>D21</f>
        <v>8197.1</v>
      </c>
      <c r="E20" s="375">
        <f>E21</f>
        <v>8197.1</v>
      </c>
    </row>
    <row r="21" spans="1:7" ht="31.5" x14ac:dyDescent="0.25">
      <c r="A21" s="31" t="s">
        <v>1356</v>
      </c>
      <c r="B21" s="20" t="s">
        <v>215</v>
      </c>
      <c r="C21" s="20" t="s">
        <v>244</v>
      </c>
      <c r="D21" s="377">
        <f>'пр.3.1.рдпрцс 22-23'!F231</f>
        <v>8197.1</v>
      </c>
      <c r="E21" s="377">
        <f>'пр.3.1.рдпрцс 22-23'!G231</f>
        <v>8197.1</v>
      </c>
    </row>
    <row r="22" spans="1:7" ht="15.75" x14ac:dyDescent="0.25">
      <c r="A22" s="47" t="s">
        <v>232</v>
      </c>
      <c r="B22" s="24" t="s">
        <v>150</v>
      </c>
      <c r="C22" s="24"/>
      <c r="D22" s="375">
        <f>SUM(D23:D26)</f>
        <v>6333.8</v>
      </c>
      <c r="E22" s="375">
        <f>SUM(E23:E26)</f>
        <v>6165.9000000000005</v>
      </c>
    </row>
    <row r="23" spans="1:7" ht="15.75" x14ac:dyDescent="0.25">
      <c r="A23" s="94" t="s">
        <v>233</v>
      </c>
      <c r="B23" s="20" t="s">
        <v>150</v>
      </c>
      <c r="C23" s="20" t="s">
        <v>234</v>
      </c>
      <c r="D23" s="377">
        <f>'пр.3.1.рдпрцс 22-23'!F250</f>
        <v>274</v>
      </c>
      <c r="E23" s="377">
        <f>'пр.3.1.рдпрцс 22-23'!G250</f>
        <v>274</v>
      </c>
    </row>
    <row r="24" spans="1:7" ht="15.75" x14ac:dyDescent="0.25">
      <c r="A24" s="93" t="s">
        <v>505</v>
      </c>
      <c r="B24" s="20" t="s">
        <v>150</v>
      </c>
      <c r="C24" s="20" t="s">
        <v>299</v>
      </c>
      <c r="D24" s="377">
        <f>'пр.3.1.рдпрцс 22-23'!F263</f>
        <v>3258</v>
      </c>
      <c r="E24" s="377">
        <f>'пр.3.1.рдпрцс 22-23'!G263</f>
        <v>3258</v>
      </c>
    </row>
    <row r="25" spans="1:7" ht="15.75" x14ac:dyDescent="0.25">
      <c r="A25" s="93" t="s">
        <v>508</v>
      </c>
      <c r="B25" s="20" t="s">
        <v>150</v>
      </c>
      <c r="C25" s="20" t="s">
        <v>219</v>
      </c>
      <c r="D25" s="377">
        <f>'пр.3.1.рдпрцс 22-23'!F269</f>
        <v>2127.6</v>
      </c>
      <c r="E25" s="377">
        <f>'пр.3.1.рдпрцс 22-23'!G269</f>
        <v>1949.1</v>
      </c>
    </row>
    <row r="26" spans="1:7" ht="15.75" x14ac:dyDescent="0.25">
      <c r="A26" s="95" t="s">
        <v>237</v>
      </c>
      <c r="B26" s="20" t="s">
        <v>150</v>
      </c>
      <c r="C26" s="20" t="s">
        <v>238</v>
      </c>
      <c r="D26" s="377">
        <f>'пр.3.1.рдпрцс 22-23'!F283</f>
        <v>674.2</v>
      </c>
      <c r="E26" s="377">
        <f>'пр.3.1.рдпрцс 22-23'!G283</f>
        <v>684.8</v>
      </c>
    </row>
    <row r="27" spans="1:7" ht="15.75" x14ac:dyDescent="0.25">
      <c r="A27" s="47" t="s">
        <v>390</v>
      </c>
      <c r="B27" s="24" t="s">
        <v>234</v>
      </c>
      <c r="C27" s="24"/>
      <c r="D27" s="375">
        <f>SUM(D28:D31)</f>
        <v>39509</v>
      </c>
      <c r="E27" s="375">
        <f>SUM(E28:E31)</f>
        <v>47933.850000000006</v>
      </c>
    </row>
    <row r="28" spans="1:7" ht="15.75" x14ac:dyDescent="0.25">
      <c r="A28" s="94" t="s">
        <v>391</v>
      </c>
      <c r="B28" s="20" t="s">
        <v>234</v>
      </c>
      <c r="C28" s="20" t="s">
        <v>118</v>
      </c>
      <c r="D28" s="377">
        <f>'пр.3.1.рдпрцс 22-23'!F315</f>
        <v>6060.4</v>
      </c>
      <c r="E28" s="377">
        <f>'пр.3.1.рдпрцс 22-23'!G315</f>
        <v>6060.4</v>
      </c>
    </row>
    <row r="29" spans="1:7" ht="15.75" x14ac:dyDescent="0.25">
      <c r="A29" s="94" t="s">
        <v>517</v>
      </c>
      <c r="B29" s="20" t="s">
        <v>234</v>
      </c>
      <c r="C29" s="20" t="s">
        <v>213</v>
      </c>
      <c r="D29" s="377">
        <f>'пр.3.1.рдпрцс 22-23'!F329</f>
        <v>4334.0999999999985</v>
      </c>
      <c r="E29" s="377">
        <f>'пр.3.1.рдпрцс 22-23'!G329</f>
        <v>12505.950000000003</v>
      </c>
    </row>
    <row r="30" spans="1:7" ht="15.75" x14ac:dyDescent="0.25">
      <c r="A30" s="93" t="s">
        <v>541</v>
      </c>
      <c r="B30" s="20" t="s">
        <v>234</v>
      </c>
      <c r="C30" s="20" t="s">
        <v>215</v>
      </c>
      <c r="D30" s="377">
        <f>'пр.3.1.рдпрцс 22-23'!F393</f>
        <v>3810</v>
      </c>
      <c r="E30" s="377">
        <f>'пр.3.1.рдпрцс 22-23'!G393</f>
        <v>4063</v>
      </c>
    </row>
    <row r="31" spans="1:7" ht="15.75" x14ac:dyDescent="0.25">
      <c r="A31" s="25" t="s">
        <v>569</v>
      </c>
      <c r="B31" s="20" t="s">
        <v>234</v>
      </c>
      <c r="C31" s="20" t="s">
        <v>234</v>
      </c>
      <c r="D31" s="377">
        <f>'пр.3.1.рдпрцс 22-23'!F443</f>
        <v>25304.5</v>
      </c>
      <c r="E31" s="377">
        <f>'пр.3.1.рдпрцс 22-23'!G443</f>
        <v>25304.5</v>
      </c>
    </row>
    <row r="32" spans="1:7" ht="15.75" x14ac:dyDescent="0.25">
      <c r="A32" s="47" t="s">
        <v>263</v>
      </c>
      <c r="B32" s="24" t="s">
        <v>264</v>
      </c>
      <c r="C32" s="24"/>
      <c r="D32" s="375">
        <f>SUM(D33:D37)</f>
        <v>366206.80999999994</v>
      </c>
      <c r="E32" s="375">
        <f>SUM(E33:E37)</f>
        <v>389340.15999999997</v>
      </c>
      <c r="G32" s="22"/>
    </row>
    <row r="33" spans="1:7" ht="15.75" x14ac:dyDescent="0.25">
      <c r="A33" s="93" t="s">
        <v>404</v>
      </c>
      <c r="B33" s="20" t="s">
        <v>264</v>
      </c>
      <c r="C33" s="20" t="s">
        <v>118</v>
      </c>
      <c r="D33" s="377">
        <f>'пр.3.1.рдпрцс 22-23'!F479</f>
        <v>102250.3</v>
      </c>
      <c r="E33" s="377">
        <f>'пр.3.1.рдпрцс 22-23'!G479</f>
        <v>105829.20000000001</v>
      </c>
    </row>
    <row r="34" spans="1:7" ht="15.75" x14ac:dyDescent="0.25">
      <c r="A34" s="93" t="s">
        <v>425</v>
      </c>
      <c r="B34" s="20" t="s">
        <v>264</v>
      </c>
      <c r="C34" s="20" t="s">
        <v>213</v>
      </c>
      <c r="D34" s="377">
        <f>'пр.3.1.рдпрцс 22-23'!F542</f>
        <v>177341.49999999997</v>
      </c>
      <c r="E34" s="377">
        <f>'пр.3.1.рдпрцс 22-23'!G542</f>
        <v>196805.15000000002</v>
      </c>
    </row>
    <row r="35" spans="1:7" ht="15.75" x14ac:dyDescent="0.25">
      <c r="A35" s="93" t="s">
        <v>265</v>
      </c>
      <c r="B35" s="20" t="s">
        <v>264</v>
      </c>
      <c r="C35" s="20" t="s">
        <v>215</v>
      </c>
      <c r="D35" s="377">
        <f>'пр.3.1.рдпрцс 22-23'!F620</f>
        <v>60278.110000000008</v>
      </c>
      <c r="E35" s="377">
        <f>'пр.3.1.рдпрцс 22-23'!G620</f>
        <v>60303.91</v>
      </c>
    </row>
    <row r="36" spans="1:7" ht="15.75" x14ac:dyDescent="0.25">
      <c r="A36" s="93" t="s">
        <v>466</v>
      </c>
      <c r="B36" s="20" t="s">
        <v>264</v>
      </c>
      <c r="C36" s="20" t="s">
        <v>264</v>
      </c>
      <c r="D36" s="377">
        <f>'пр.3.1.рдпрцс 22-23'!F689</f>
        <v>6505.1</v>
      </c>
      <c r="E36" s="377">
        <f>'пр.3.1.рдпрцс 22-23'!G689</f>
        <v>6570.1</v>
      </c>
    </row>
    <row r="37" spans="1:7" ht="15.75" x14ac:dyDescent="0.25">
      <c r="A37" s="93" t="s">
        <v>295</v>
      </c>
      <c r="B37" s="20" t="s">
        <v>264</v>
      </c>
      <c r="C37" s="20" t="s">
        <v>219</v>
      </c>
      <c r="D37" s="377">
        <f>'пр.3.1.рдпрцс 22-23'!F714</f>
        <v>19831.8</v>
      </c>
      <c r="E37" s="377">
        <f>'пр.3.1.рдпрцс 22-23'!G714</f>
        <v>19831.8</v>
      </c>
    </row>
    <row r="38" spans="1:7" ht="15.75" x14ac:dyDescent="0.25">
      <c r="A38" s="96" t="s">
        <v>298</v>
      </c>
      <c r="B38" s="24" t="s">
        <v>299</v>
      </c>
      <c r="C38" s="20"/>
      <c r="D38" s="375">
        <f>SUM(D39:D40)</f>
        <v>76411.28</v>
      </c>
      <c r="E38" s="375">
        <f>SUM(E39:E40)</f>
        <v>78971.679999999993</v>
      </c>
    </row>
    <row r="39" spans="1:7" ht="15.75" x14ac:dyDescent="0.25">
      <c r="A39" s="95" t="s">
        <v>300</v>
      </c>
      <c r="B39" s="20" t="s">
        <v>299</v>
      </c>
      <c r="C39" s="20" t="s">
        <v>118</v>
      </c>
      <c r="D39" s="377">
        <f>'пр.3.1.рдпрцс 22-23'!F742</f>
        <v>57844.87999999999</v>
      </c>
      <c r="E39" s="377">
        <f>'пр.3.1.рдпрцс 22-23'!G742</f>
        <v>60376.279999999992</v>
      </c>
    </row>
    <row r="40" spans="1:7" ht="15.75" x14ac:dyDescent="0.25">
      <c r="A40" s="95" t="s">
        <v>333</v>
      </c>
      <c r="B40" s="20" t="s">
        <v>299</v>
      </c>
      <c r="C40" s="20" t="s">
        <v>150</v>
      </c>
      <c r="D40" s="377">
        <f>'пр.3.1.рдпрцс 22-23'!F795</f>
        <v>18566.400000000001</v>
      </c>
      <c r="E40" s="377">
        <f>'пр.3.1.рдпрцс 22-23'!G795</f>
        <v>18595.400000000001</v>
      </c>
    </row>
    <row r="41" spans="1:7" ht="15.75" x14ac:dyDescent="0.25">
      <c r="A41" s="47" t="s">
        <v>243</v>
      </c>
      <c r="B41" s="24" t="s">
        <v>244</v>
      </c>
      <c r="C41" s="24"/>
      <c r="D41" s="375">
        <f>SUM(D42:D45)</f>
        <v>18033.41</v>
      </c>
      <c r="E41" s="375">
        <f>SUM(E42:E45)</f>
        <v>26348.010000000002</v>
      </c>
      <c r="G41" s="22"/>
    </row>
    <row r="42" spans="1:7" ht="15.75" x14ac:dyDescent="0.25">
      <c r="A42" s="93" t="s">
        <v>245</v>
      </c>
      <c r="B42" s="20" t="s">
        <v>244</v>
      </c>
      <c r="C42" s="20" t="s">
        <v>118</v>
      </c>
      <c r="D42" s="377">
        <f>'пр.3.1.рдпрцс 22-23'!F830</f>
        <v>9815.2999999999993</v>
      </c>
      <c r="E42" s="377">
        <f>'пр.3.1.рдпрцс 22-23'!G830</f>
        <v>9815.2999999999993</v>
      </c>
    </row>
    <row r="43" spans="1:7" ht="15.75" x14ac:dyDescent="0.25">
      <c r="A43" s="25" t="s">
        <v>252</v>
      </c>
      <c r="B43" s="20" t="s">
        <v>244</v>
      </c>
      <c r="C43" s="20" t="s">
        <v>215</v>
      </c>
      <c r="D43" s="377">
        <f>'пр.3.1.рдпрцс 22-23'!F836</f>
        <v>2011.6100000000001</v>
      </c>
      <c r="E43" s="377">
        <f>'пр.3.1.рдпрцс 22-23'!G836</f>
        <v>2036.1100000000001</v>
      </c>
    </row>
    <row r="44" spans="1:7" s="203" customFormat="1" ht="15.75" x14ac:dyDescent="0.25">
      <c r="A44" s="25" t="s">
        <v>400</v>
      </c>
      <c r="B44" s="20" t="s">
        <v>244</v>
      </c>
      <c r="C44" s="20" t="s">
        <v>150</v>
      </c>
      <c r="D44" s="377">
        <f>'пр.3.1.рдпрцс 22-23'!F867</f>
        <v>2469.1</v>
      </c>
      <c r="E44" s="377">
        <f>'пр.3.1.рдпрцс 22-23'!G867</f>
        <v>10803.2</v>
      </c>
    </row>
    <row r="45" spans="1:7" ht="15.75" x14ac:dyDescent="0.25">
      <c r="A45" s="25" t="s">
        <v>258</v>
      </c>
      <c r="B45" s="20" t="s">
        <v>244</v>
      </c>
      <c r="C45" s="20" t="s">
        <v>120</v>
      </c>
      <c r="D45" s="377">
        <f>'пр.3.1.рдпрцс 22-23'!F872</f>
        <v>3737.4</v>
      </c>
      <c r="E45" s="377">
        <f>'пр.3.1.рдпрцс 22-23'!G872</f>
        <v>3693.4</v>
      </c>
    </row>
    <row r="46" spans="1:7" ht="15.75" x14ac:dyDescent="0.25">
      <c r="A46" s="96" t="s">
        <v>490</v>
      </c>
      <c r="B46" s="24" t="s">
        <v>491</v>
      </c>
      <c r="C46" s="20"/>
      <c r="D46" s="375">
        <f>SUM(D47:D48)</f>
        <v>63981.399999999994</v>
      </c>
      <c r="E46" s="375">
        <f>SUM(E47:E48)</f>
        <v>64012.600000000006</v>
      </c>
      <c r="G46" s="22"/>
    </row>
    <row r="47" spans="1:7" ht="15.75" x14ac:dyDescent="0.25">
      <c r="A47" s="95" t="s">
        <v>492</v>
      </c>
      <c r="B47" s="20" t="s">
        <v>491</v>
      </c>
      <c r="C47" s="20" t="s">
        <v>118</v>
      </c>
      <c r="D47" s="377">
        <f>'пр.3.1.рдпрцс 22-23'!F886</f>
        <v>50452.2</v>
      </c>
      <c r="E47" s="377">
        <f>'пр.3.1.рдпрцс 22-23'!G886</f>
        <v>50483.4</v>
      </c>
    </row>
    <row r="48" spans="1:7" ht="15.75" x14ac:dyDescent="0.25">
      <c r="A48" s="95" t="s">
        <v>500</v>
      </c>
      <c r="B48" s="20" t="s">
        <v>491</v>
      </c>
      <c r="C48" s="20" t="s">
        <v>234</v>
      </c>
      <c r="D48" s="377">
        <f>'пр.3.1.рдпрцс 22-23'!F923</f>
        <v>13529.2</v>
      </c>
      <c r="E48" s="377">
        <f>'пр.3.1.рдпрцс 22-23'!G923</f>
        <v>13529.2</v>
      </c>
    </row>
    <row r="49" spans="1:7" ht="15.75" x14ac:dyDescent="0.25">
      <c r="A49" s="19" t="s">
        <v>582</v>
      </c>
      <c r="B49" s="24" t="s">
        <v>238</v>
      </c>
      <c r="C49" s="20"/>
      <c r="D49" s="375">
        <f>D50</f>
        <v>5873.2</v>
      </c>
      <c r="E49" s="375">
        <f>E50</f>
        <v>5876.2</v>
      </c>
    </row>
    <row r="50" spans="1:7" ht="15.75" x14ac:dyDescent="0.25">
      <c r="A50" s="31" t="s">
        <v>583</v>
      </c>
      <c r="B50" s="20" t="s">
        <v>238</v>
      </c>
      <c r="C50" s="20" t="s">
        <v>213</v>
      </c>
      <c r="D50" s="377">
        <f>'пр.3.1.рдпрцс 22-23'!F952</f>
        <v>5873.2</v>
      </c>
      <c r="E50" s="377">
        <f>'пр.3.1.рдпрцс 22-23'!G952</f>
        <v>5876.2</v>
      </c>
    </row>
    <row r="51" spans="1:7" ht="15.75" x14ac:dyDescent="0.25">
      <c r="A51" s="92" t="s">
        <v>678</v>
      </c>
      <c r="B51" s="24"/>
      <c r="C51" s="24"/>
      <c r="D51" s="375">
        <f>D11+D20+D22+D27+D32+D38+D41+D46+D49+D10</f>
        <v>733748.7178499999</v>
      </c>
      <c r="E51" s="375">
        <f>E11+E20+E22+E27+E32+E38+E41+E46+E49+E10</f>
        <v>776239.04999999981</v>
      </c>
      <c r="G51" s="22"/>
    </row>
    <row r="52" spans="1:7" x14ac:dyDescent="0.25">
      <c r="D52" s="22">
        <f>'пр.3.1.рдпрцс 22-23'!F970</f>
        <v>733748.7178499999</v>
      </c>
      <c r="E52" s="22">
        <f>'пр.3.1.рдпрцс 22-23'!G970</f>
        <v>776239.05</v>
      </c>
    </row>
    <row r="53" spans="1:7" hidden="1" x14ac:dyDescent="0.25">
      <c r="D53" s="22">
        <f>'Пр.1.1. дох.22-23'!C157</f>
        <v>733748.73399999994</v>
      </c>
      <c r="E53" s="22">
        <f>'Пр.1.1. дох.22-23'!D157</f>
        <v>776239.07400000002</v>
      </c>
    </row>
    <row r="54" spans="1:7" hidden="1" x14ac:dyDescent="0.25"/>
    <row r="55" spans="1:7" hidden="1" x14ac:dyDescent="0.25">
      <c r="D55" s="22">
        <f>D53-D51</f>
        <v>1.6150000039488077E-2</v>
      </c>
      <c r="E55" s="22">
        <f>E53-E51</f>
        <v>2.4000000208616257E-2</v>
      </c>
    </row>
    <row r="56" spans="1:7" ht="15.6" hidden="1" customHeight="1" x14ac:dyDescent="0.25">
      <c r="D56" s="22">
        <f>'пр.4.1.ведом.22-23'!G1094</f>
        <v>733748.7178499999</v>
      </c>
      <c r="E56" s="22">
        <f>'пр.4.1.ведом.22-23'!H1094</f>
        <v>776239.04999999993</v>
      </c>
    </row>
    <row r="57" spans="1:7" hidden="1" x14ac:dyDescent="0.25"/>
    <row r="58" spans="1:7" hidden="1" x14ac:dyDescent="0.25">
      <c r="D58" s="22">
        <f>D56-D51</f>
        <v>0</v>
      </c>
      <c r="E58" s="22">
        <f>E56-E51</f>
        <v>0</v>
      </c>
    </row>
    <row r="59" spans="1:7" x14ac:dyDescent="0.25">
      <c r="D59" s="22">
        <f>D10+D11+D20+D22+D27+D32+D38+D41+D46+D49</f>
        <v>733748.71785000002</v>
      </c>
    </row>
  </sheetData>
  <mergeCells count="7">
    <mergeCell ref="A7:C7"/>
    <mergeCell ref="D3:E3"/>
    <mergeCell ref="D2:E2"/>
    <mergeCell ref="D1:E1"/>
    <mergeCell ref="A4:E4"/>
    <mergeCell ref="A5:E5"/>
    <mergeCell ref="A6:E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0"/>
  <sheetViews>
    <sheetView view="pageBreakPreview" zoomScaleNormal="100" zoomScaleSheetLayoutView="100" workbookViewId="0">
      <selection activeCell="A5" sqref="A5:F5"/>
    </sheetView>
  </sheetViews>
  <sheetFormatPr defaultRowHeight="15" x14ac:dyDescent="0.25"/>
  <cols>
    <col min="1" max="1" width="55.140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4.28515625" style="22" customWidth="1"/>
    <col min="7" max="7" width="11.7109375" hidden="1" customWidth="1"/>
    <col min="8" max="10" width="0" hidden="1" customWidth="1"/>
    <col min="11" max="12" width="9.85546875" bestFit="1" customWidth="1"/>
  </cols>
  <sheetData>
    <row r="1" spans="1:12" ht="15.75" x14ac:dyDescent="0.25">
      <c r="A1" s="56"/>
      <c r="B1" s="56"/>
      <c r="C1" s="56"/>
      <c r="D1" s="204"/>
      <c r="E1" s="635" t="s">
        <v>1633</v>
      </c>
      <c r="F1" s="635"/>
    </row>
    <row r="2" spans="1:12" ht="15.75" x14ac:dyDescent="0.25">
      <c r="A2" s="56"/>
      <c r="B2" s="56"/>
      <c r="C2" s="56"/>
      <c r="D2" s="204"/>
      <c r="E2" s="635" t="s">
        <v>0</v>
      </c>
      <c r="F2" s="635"/>
    </row>
    <row r="3" spans="1:12" ht="18.75" customHeight="1" x14ac:dyDescent="0.25">
      <c r="A3" s="56"/>
      <c r="B3" s="56"/>
      <c r="C3" s="56"/>
      <c r="D3" s="204"/>
      <c r="E3" s="635" t="s">
        <v>1818</v>
      </c>
      <c r="F3" s="635"/>
    </row>
    <row r="4" spans="1:12" x14ac:dyDescent="0.25">
      <c r="A4" s="56"/>
      <c r="B4" s="56"/>
      <c r="C4" s="56"/>
      <c r="D4" s="56"/>
      <c r="E4" s="56"/>
      <c r="F4" s="115"/>
    </row>
    <row r="5" spans="1:12" ht="63.75" customHeight="1" x14ac:dyDescent="0.25">
      <c r="A5" s="619" t="s">
        <v>1819</v>
      </c>
      <c r="B5" s="619"/>
      <c r="C5" s="619"/>
      <c r="D5" s="619"/>
      <c r="E5" s="619"/>
      <c r="F5" s="619"/>
    </row>
    <row r="6" spans="1:12" x14ac:dyDescent="0.25">
      <c r="A6" s="56"/>
      <c r="B6" s="56"/>
      <c r="C6" s="56"/>
      <c r="D6" s="56"/>
      <c r="E6" s="56"/>
      <c r="F6" s="270" t="s">
        <v>1</v>
      </c>
    </row>
    <row r="7" spans="1:12" ht="30.2" customHeight="1" x14ac:dyDescent="0.25">
      <c r="A7" s="225" t="s">
        <v>592</v>
      </c>
      <c r="B7" s="226" t="s">
        <v>112</v>
      </c>
      <c r="C7" s="226" t="s">
        <v>113</v>
      </c>
      <c r="D7" s="226" t="s">
        <v>114</v>
      </c>
      <c r="E7" s="226" t="s">
        <v>115</v>
      </c>
      <c r="F7" s="271" t="s">
        <v>1085</v>
      </c>
    </row>
    <row r="8" spans="1:12" ht="15.75" x14ac:dyDescent="0.25">
      <c r="A8" s="41" t="s">
        <v>117</v>
      </c>
      <c r="B8" s="7" t="s">
        <v>118</v>
      </c>
      <c r="C8" s="7"/>
      <c r="D8" s="7"/>
      <c r="E8" s="7"/>
      <c r="F8" s="4">
        <f>F9+F28+F47+F111+F162+F148+F156</f>
        <v>177451.61987999998</v>
      </c>
      <c r="G8" s="22"/>
      <c r="H8" s="22"/>
      <c r="K8" s="231">
        <f>F8-F68-'Пр.4 ведом.21'!L1249-'Пр.4 ведом.21'!Y1259</f>
        <v>173473.11987999998</v>
      </c>
      <c r="L8" s="231">
        <f>F25+F68+F108+F238-'Пр.4 ведом.21'!L1248-'Пр.4 ведом.21'!Y1258</f>
        <v>3979.0000000000005</v>
      </c>
    </row>
    <row r="9" spans="1:12" ht="47.25" x14ac:dyDescent="0.25">
      <c r="A9" s="41" t="s">
        <v>575</v>
      </c>
      <c r="B9" s="7" t="s">
        <v>118</v>
      </c>
      <c r="C9" s="7" t="s">
        <v>213</v>
      </c>
      <c r="D9" s="7"/>
      <c r="E9" s="7"/>
      <c r="F9" s="4">
        <f>F10+F23</f>
        <v>5241.54</v>
      </c>
    </row>
    <row r="10" spans="1:12" ht="31.5" x14ac:dyDescent="0.25">
      <c r="A10" s="23" t="s">
        <v>917</v>
      </c>
      <c r="B10" s="7" t="s">
        <v>118</v>
      </c>
      <c r="C10" s="7" t="s">
        <v>213</v>
      </c>
      <c r="D10" s="7" t="s">
        <v>858</v>
      </c>
      <c r="E10" s="7"/>
      <c r="F10" s="4">
        <f>F11+F20</f>
        <v>5239.8999999999996</v>
      </c>
    </row>
    <row r="11" spans="1:12" ht="15.75" x14ac:dyDescent="0.25">
      <c r="A11" s="23" t="s">
        <v>918</v>
      </c>
      <c r="B11" s="7" t="s">
        <v>118</v>
      </c>
      <c r="C11" s="7" t="s">
        <v>213</v>
      </c>
      <c r="D11" s="7" t="s">
        <v>859</v>
      </c>
      <c r="E11" s="7"/>
      <c r="F11" s="4">
        <f>F12+F17</f>
        <v>5239.8999999999996</v>
      </c>
    </row>
    <row r="12" spans="1:12" ht="31.5" x14ac:dyDescent="0.25">
      <c r="A12" s="29" t="s">
        <v>576</v>
      </c>
      <c r="B12" s="40" t="s">
        <v>118</v>
      </c>
      <c r="C12" s="40" t="s">
        <v>213</v>
      </c>
      <c r="D12" s="40" t="s">
        <v>1338</v>
      </c>
      <c r="E12" s="40"/>
      <c r="F12" s="6">
        <f t="shared" ref="F12" si="0">F13+F15</f>
        <v>5239.8999999999996</v>
      </c>
    </row>
    <row r="13" spans="1:12" ht="78.75" x14ac:dyDescent="0.25">
      <c r="A13" s="29" t="s">
        <v>127</v>
      </c>
      <c r="B13" s="40" t="s">
        <v>118</v>
      </c>
      <c r="C13" s="40" t="s">
        <v>213</v>
      </c>
      <c r="D13" s="40" t="s">
        <v>1338</v>
      </c>
      <c r="E13" s="40" t="s">
        <v>128</v>
      </c>
      <c r="F13" s="378">
        <f t="shared" ref="F13" si="1">F14</f>
        <v>5212.2</v>
      </c>
    </row>
    <row r="14" spans="1:12" ht="31.5" x14ac:dyDescent="0.25">
      <c r="A14" s="29" t="s">
        <v>129</v>
      </c>
      <c r="B14" s="40" t="s">
        <v>118</v>
      </c>
      <c r="C14" s="40" t="s">
        <v>213</v>
      </c>
      <c r="D14" s="40" t="s">
        <v>1338</v>
      </c>
      <c r="E14" s="40" t="s">
        <v>130</v>
      </c>
      <c r="F14" s="378">
        <f>'Пр.4 ведом.21'!G40</f>
        <v>5212.2</v>
      </c>
    </row>
    <row r="15" spans="1:12" ht="31.5" x14ac:dyDescent="0.25">
      <c r="A15" s="29" t="s">
        <v>131</v>
      </c>
      <c r="B15" s="40" t="s">
        <v>118</v>
      </c>
      <c r="C15" s="40" t="s">
        <v>213</v>
      </c>
      <c r="D15" s="40" t="s">
        <v>1338</v>
      </c>
      <c r="E15" s="40" t="s">
        <v>132</v>
      </c>
      <c r="F15" s="28">
        <f t="shared" ref="F15" si="2">F16</f>
        <v>27.700000000000003</v>
      </c>
    </row>
    <row r="16" spans="1:12" ht="31.5" x14ac:dyDescent="0.25">
      <c r="A16" s="29" t="s">
        <v>133</v>
      </c>
      <c r="B16" s="40" t="s">
        <v>118</v>
      </c>
      <c r="C16" s="40" t="s">
        <v>213</v>
      </c>
      <c r="D16" s="40" t="s">
        <v>1338</v>
      </c>
      <c r="E16" s="40" t="s">
        <v>134</v>
      </c>
      <c r="F16" s="28">
        <f>'Пр.4 ведом.21'!G42</f>
        <v>27.700000000000003</v>
      </c>
    </row>
    <row r="17" spans="1:6" s="203" customFormat="1" ht="47.25" hidden="1" x14ac:dyDescent="0.25">
      <c r="A17" s="25" t="s">
        <v>839</v>
      </c>
      <c r="B17" s="40" t="s">
        <v>118</v>
      </c>
      <c r="C17" s="40" t="s">
        <v>213</v>
      </c>
      <c r="D17" s="40" t="s">
        <v>862</v>
      </c>
      <c r="E17" s="40"/>
      <c r="F17" s="28">
        <f>F18</f>
        <v>0</v>
      </c>
    </row>
    <row r="18" spans="1:6" s="203" customFormat="1" ht="78.75" hidden="1" x14ac:dyDescent="0.25">
      <c r="A18" s="25" t="s">
        <v>127</v>
      </c>
      <c r="B18" s="40" t="s">
        <v>118</v>
      </c>
      <c r="C18" s="40" t="s">
        <v>213</v>
      </c>
      <c r="D18" s="40" t="s">
        <v>862</v>
      </c>
      <c r="E18" s="40" t="s">
        <v>128</v>
      </c>
      <c r="F18" s="28">
        <f>F19</f>
        <v>0</v>
      </c>
    </row>
    <row r="19" spans="1:6" s="203" customFormat="1" ht="31.5" hidden="1" x14ac:dyDescent="0.25">
      <c r="A19" s="25" t="s">
        <v>129</v>
      </c>
      <c r="B19" s="40" t="s">
        <v>118</v>
      </c>
      <c r="C19" s="40" t="s">
        <v>213</v>
      </c>
      <c r="D19" s="40" t="s">
        <v>862</v>
      </c>
      <c r="E19" s="40" t="s">
        <v>130</v>
      </c>
      <c r="F19" s="28">
        <f>'Пр.4 ведом.21'!G45</f>
        <v>0</v>
      </c>
    </row>
    <row r="20" spans="1:6" s="457" customFormat="1" ht="31.5" hidden="1" x14ac:dyDescent="0.25">
      <c r="A20" s="466" t="s">
        <v>1793</v>
      </c>
      <c r="B20" s="462" t="s">
        <v>118</v>
      </c>
      <c r="C20" s="462" t="s">
        <v>213</v>
      </c>
      <c r="D20" s="462" t="s">
        <v>1794</v>
      </c>
      <c r="E20" s="462"/>
      <c r="F20" s="28">
        <f>F21</f>
        <v>0</v>
      </c>
    </row>
    <row r="21" spans="1:6" s="457" customFormat="1" ht="78.75" hidden="1" x14ac:dyDescent="0.25">
      <c r="A21" s="466" t="s">
        <v>127</v>
      </c>
      <c r="B21" s="462" t="s">
        <v>118</v>
      </c>
      <c r="C21" s="462" t="s">
        <v>213</v>
      </c>
      <c r="D21" s="462" t="s">
        <v>1794</v>
      </c>
      <c r="E21" s="462" t="s">
        <v>128</v>
      </c>
      <c r="F21" s="28">
        <f>F22</f>
        <v>0</v>
      </c>
    </row>
    <row r="22" spans="1:6" s="457" customFormat="1" ht="31.5" hidden="1" x14ac:dyDescent="0.25">
      <c r="A22" s="466" t="s">
        <v>129</v>
      </c>
      <c r="B22" s="462" t="s">
        <v>118</v>
      </c>
      <c r="C22" s="462" t="s">
        <v>213</v>
      </c>
      <c r="D22" s="462" t="s">
        <v>1794</v>
      </c>
      <c r="E22" s="462" t="s">
        <v>130</v>
      </c>
      <c r="F22" s="28">
        <f>'Пр.4 ведом.21'!G48</f>
        <v>0</v>
      </c>
    </row>
    <row r="23" spans="1:6" s="203" customFormat="1" ht="47.25" x14ac:dyDescent="0.25">
      <c r="A23" s="23" t="s">
        <v>1349</v>
      </c>
      <c r="B23" s="24" t="s">
        <v>118</v>
      </c>
      <c r="C23" s="7" t="s">
        <v>213</v>
      </c>
      <c r="D23" s="24" t="s">
        <v>162</v>
      </c>
      <c r="E23" s="7"/>
      <c r="F23" s="379">
        <f>F24</f>
        <v>1.6400000000000006</v>
      </c>
    </row>
    <row r="24" spans="1:6" s="203" customFormat="1" ht="63" x14ac:dyDescent="0.25">
      <c r="A24" s="219" t="s">
        <v>843</v>
      </c>
      <c r="B24" s="24" t="s">
        <v>118</v>
      </c>
      <c r="C24" s="7" t="s">
        <v>213</v>
      </c>
      <c r="D24" s="7" t="s">
        <v>850</v>
      </c>
      <c r="E24" s="7"/>
      <c r="F24" s="379">
        <f>F25</f>
        <v>1.6400000000000006</v>
      </c>
    </row>
    <row r="25" spans="1:6" s="203" customFormat="1" ht="47.25" x14ac:dyDescent="0.25">
      <c r="A25" s="31" t="s">
        <v>695</v>
      </c>
      <c r="B25" s="20" t="s">
        <v>118</v>
      </c>
      <c r="C25" s="20" t="s">
        <v>213</v>
      </c>
      <c r="D25" s="40" t="s">
        <v>993</v>
      </c>
      <c r="E25" s="20"/>
      <c r="F25" s="26">
        <f>F26</f>
        <v>1.6400000000000006</v>
      </c>
    </row>
    <row r="26" spans="1:6" s="203" customFormat="1" ht="31.5" x14ac:dyDescent="0.25">
      <c r="A26" s="25" t="s">
        <v>131</v>
      </c>
      <c r="B26" s="20" t="s">
        <v>118</v>
      </c>
      <c r="C26" s="20" t="s">
        <v>213</v>
      </c>
      <c r="D26" s="40" t="s">
        <v>993</v>
      </c>
      <c r="E26" s="20" t="s">
        <v>132</v>
      </c>
      <c r="F26" s="26">
        <f>F27</f>
        <v>1.6400000000000006</v>
      </c>
    </row>
    <row r="27" spans="1:6" s="203" customFormat="1" ht="31.5" x14ac:dyDescent="0.25">
      <c r="A27" s="25" t="s">
        <v>133</v>
      </c>
      <c r="B27" s="20" t="s">
        <v>118</v>
      </c>
      <c r="C27" s="20" t="s">
        <v>213</v>
      </c>
      <c r="D27" s="40" t="s">
        <v>993</v>
      </c>
      <c r="E27" s="20" t="s">
        <v>134</v>
      </c>
      <c r="F27" s="26">
        <f>'Пр.4 ведом.21'!G53</f>
        <v>1.6400000000000006</v>
      </c>
    </row>
    <row r="28" spans="1:6" ht="63" x14ac:dyDescent="0.25">
      <c r="A28" s="41" t="s">
        <v>578</v>
      </c>
      <c r="B28" s="7" t="s">
        <v>118</v>
      </c>
      <c r="C28" s="7" t="s">
        <v>215</v>
      </c>
      <c r="D28" s="7"/>
      <c r="E28" s="7"/>
      <c r="F28" s="4">
        <f t="shared" ref="F28:F29" si="3">F29</f>
        <v>6460.1337000000003</v>
      </c>
    </row>
    <row r="29" spans="1:6" ht="31.5" x14ac:dyDescent="0.25">
      <c r="A29" s="23" t="s">
        <v>917</v>
      </c>
      <c r="B29" s="7" t="s">
        <v>118</v>
      </c>
      <c r="C29" s="7" t="s">
        <v>215</v>
      </c>
      <c r="D29" s="7" t="s">
        <v>858</v>
      </c>
      <c r="E29" s="7"/>
      <c r="F29" s="4">
        <f t="shared" si="3"/>
        <v>6460.1337000000003</v>
      </c>
    </row>
    <row r="30" spans="1:6" ht="31.5" x14ac:dyDescent="0.25">
      <c r="A30" s="23" t="s">
        <v>986</v>
      </c>
      <c r="B30" s="7" t="s">
        <v>118</v>
      </c>
      <c r="C30" s="7" t="s">
        <v>215</v>
      </c>
      <c r="D30" s="7" t="s">
        <v>987</v>
      </c>
      <c r="E30" s="7"/>
      <c r="F30" s="4">
        <f>F36+F41+F31+F44</f>
        <v>6460.1337000000003</v>
      </c>
    </row>
    <row r="31" spans="1:6" s="203" customFormat="1" ht="47.25" x14ac:dyDescent="0.25">
      <c r="A31" s="285" t="s">
        <v>1374</v>
      </c>
      <c r="B31" s="20" t="s">
        <v>118</v>
      </c>
      <c r="C31" s="20" t="s">
        <v>215</v>
      </c>
      <c r="D31" s="20" t="s">
        <v>1412</v>
      </c>
      <c r="E31" s="24"/>
      <c r="F31" s="6">
        <f>F32+F34</f>
        <v>4753.8</v>
      </c>
    </row>
    <row r="32" spans="1:6" s="203" customFormat="1" ht="78.75" x14ac:dyDescent="0.25">
      <c r="A32" s="25" t="s">
        <v>127</v>
      </c>
      <c r="B32" s="20" t="s">
        <v>118</v>
      </c>
      <c r="C32" s="20" t="s">
        <v>215</v>
      </c>
      <c r="D32" s="20" t="s">
        <v>1412</v>
      </c>
      <c r="E32" s="20" t="s">
        <v>128</v>
      </c>
      <c r="F32" s="6">
        <f>F33</f>
        <v>4485.8</v>
      </c>
    </row>
    <row r="33" spans="1:8" s="203" customFormat="1" ht="31.5" x14ac:dyDescent="0.25">
      <c r="A33" s="25" t="s">
        <v>129</v>
      </c>
      <c r="B33" s="20" t="s">
        <v>118</v>
      </c>
      <c r="C33" s="20" t="s">
        <v>215</v>
      </c>
      <c r="D33" s="20" t="s">
        <v>1412</v>
      </c>
      <c r="E33" s="20" t="s">
        <v>130</v>
      </c>
      <c r="F33" s="6">
        <f>'Пр.4 ведом.21'!G1220</f>
        <v>4485.8</v>
      </c>
    </row>
    <row r="34" spans="1:8" s="203" customFormat="1" ht="31.5" x14ac:dyDescent="0.25">
      <c r="A34" s="25" t="s">
        <v>198</v>
      </c>
      <c r="B34" s="20" t="s">
        <v>118</v>
      </c>
      <c r="C34" s="20" t="s">
        <v>215</v>
      </c>
      <c r="D34" s="20" t="s">
        <v>1412</v>
      </c>
      <c r="E34" s="20" t="s">
        <v>132</v>
      </c>
      <c r="F34" s="6">
        <f>F35</f>
        <v>268</v>
      </c>
    </row>
    <row r="35" spans="1:8" s="203" customFormat="1" ht="31.5" x14ac:dyDescent="0.25">
      <c r="A35" s="25" t="s">
        <v>133</v>
      </c>
      <c r="B35" s="20" t="s">
        <v>118</v>
      </c>
      <c r="C35" s="20" t="s">
        <v>215</v>
      </c>
      <c r="D35" s="20" t="s">
        <v>1412</v>
      </c>
      <c r="E35" s="20" t="s">
        <v>134</v>
      </c>
      <c r="F35" s="6">
        <f>'Пр.4 ведом.21'!G1222</f>
        <v>268</v>
      </c>
    </row>
    <row r="36" spans="1:8" ht="31.5" x14ac:dyDescent="0.25">
      <c r="A36" s="25" t="s">
        <v>990</v>
      </c>
      <c r="B36" s="40" t="s">
        <v>118</v>
      </c>
      <c r="C36" s="40" t="s">
        <v>215</v>
      </c>
      <c r="D36" s="40" t="s">
        <v>991</v>
      </c>
      <c r="E36" s="40"/>
      <c r="F36" s="6">
        <f t="shared" ref="F36" si="4">F37+F39</f>
        <v>1388.2</v>
      </c>
    </row>
    <row r="37" spans="1:8" ht="78.75" x14ac:dyDescent="0.25">
      <c r="A37" s="29" t="s">
        <v>127</v>
      </c>
      <c r="B37" s="40" t="s">
        <v>118</v>
      </c>
      <c r="C37" s="40" t="s">
        <v>215</v>
      </c>
      <c r="D37" s="40" t="s">
        <v>991</v>
      </c>
      <c r="E37" s="40" t="s">
        <v>128</v>
      </c>
      <c r="F37" s="378">
        <f t="shared" ref="F37" si="5">F38</f>
        <v>1388.2</v>
      </c>
    </row>
    <row r="38" spans="1:8" ht="31.5" x14ac:dyDescent="0.25">
      <c r="A38" s="29" t="s">
        <v>129</v>
      </c>
      <c r="B38" s="40" t="s">
        <v>118</v>
      </c>
      <c r="C38" s="40" t="s">
        <v>215</v>
      </c>
      <c r="D38" s="40" t="s">
        <v>991</v>
      </c>
      <c r="E38" s="40" t="s">
        <v>130</v>
      </c>
      <c r="F38" s="378">
        <f>'Пр.4 ведом.21'!G1225</f>
        <v>1388.2</v>
      </c>
    </row>
    <row r="39" spans="1:8" ht="31.5" hidden="1" x14ac:dyDescent="0.25">
      <c r="A39" s="29" t="s">
        <v>131</v>
      </c>
      <c r="B39" s="40" t="s">
        <v>118</v>
      </c>
      <c r="C39" s="40" t="s">
        <v>215</v>
      </c>
      <c r="D39" s="40" t="s">
        <v>991</v>
      </c>
      <c r="E39" s="40" t="s">
        <v>132</v>
      </c>
      <c r="F39" s="6">
        <f t="shared" ref="F39" si="6">F40</f>
        <v>0</v>
      </c>
    </row>
    <row r="40" spans="1:8" ht="31.5" hidden="1" x14ac:dyDescent="0.25">
      <c r="A40" s="29" t="s">
        <v>133</v>
      </c>
      <c r="B40" s="40" t="s">
        <v>118</v>
      </c>
      <c r="C40" s="40" t="s">
        <v>215</v>
      </c>
      <c r="D40" s="40" t="s">
        <v>991</v>
      </c>
      <c r="E40" s="40" t="s">
        <v>134</v>
      </c>
      <c r="F40" s="6">
        <f>'Пр.4 ведом.21'!G1227</f>
        <v>0</v>
      </c>
    </row>
    <row r="41" spans="1:8" s="203" customFormat="1" ht="30.2" customHeight="1" x14ac:dyDescent="0.25">
      <c r="A41" s="25" t="s">
        <v>839</v>
      </c>
      <c r="B41" s="40" t="s">
        <v>118</v>
      </c>
      <c r="C41" s="40" t="s">
        <v>215</v>
      </c>
      <c r="D41" s="40" t="s">
        <v>989</v>
      </c>
      <c r="E41" s="40"/>
      <c r="F41" s="28">
        <f>F42</f>
        <v>52</v>
      </c>
    </row>
    <row r="42" spans="1:8" s="203" customFormat="1" ht="85.7" customHeight="1" x14ac:dyDescent="0.25">
      <c r="A42" s="25" t="s">
        <v>127</v>
      </c>
      <c r="B42" s="40" t="s">
        <v>118</v>
      </c>
      <c r="C42" s="40" t="s">
        <v>215</v>
      </c>
      <c r="D42" s="40" t="s">
        <v>989</v>
      </c>
      <c r="E42" s="40" t="s">
        <v>128</v>
      </c>
      <c r="F42" s="28">
        <f>F43</f>
        <v>52</v>
      </c>
    </row>
    <row r="43" spans="1:8" s="203" customFormat="1" ht="38.25" customHeight="1" x14ac:dyDescent="0.25">
      <c r="A43" s="25" t="s">
        <v>129</v>
      </c>
      <c r="B43" s="40" t="s">
        <v>118</v>
      </c>
      <c r="C43" s="40" t="s">
        <v>215</v>
      </c>
      <c r="D43" s="40" t="s">
        <v>989</v>
      </c>
      <c r="E43" s="40" t="s">
        <v>130</v>
      </c>
      <c r="F43" s="28">
        <f>'Пр.4 ведом.21'!G1230</f>
        <v>52</v>
      </c>
    </row>
    <row r="44" spans="1:8" s="457" customFormat="1" ht="31.5" x14ac:dyDescent="0.25">
      <c r="A44" s="466" t="s">
        <v>1793</v>
      </c>
      <c r="B44" s="462" t="s">
        <v>118</v>
      </c>
      <c r="C44" s="462" t="s">
        <v>215</v>
      </c>
      <c r="D44" s="462" t="s">
        <v>1799</v>
      </c>
      <c r="E44" s="469"/>
      <c r="F44" s="28">
        <f>F45</f>
        <v>266.13369999999998</v>
      </c>
    </row>
    <row r="45" spans="1:8" s="457" customFormat="1" ht="78.75" x14ac:dyDescent="0.25">
      <c r="A45" s="466" t="s">
        <v>127</v>
      </c>
      <c r="B45" s="462" t="s">
        <v>118</v>
      </c>
      <c r="C45" s="462" t="s">
        <v>215</v>
      </c>
      <c r="D45" s="462" t="s">
        <v>1799</v>
      </c>
      <c r="E45" s="469" t="s">
        <v>128</v>
      </c>
      <c r="F45" s="28">
        <f>F46</f>
        <v>266.13369999999998</v>
      </c>
    </row>
    <row r="46" spans="1:8" s="457" customFormat="1" ht="31.5" x14ac:dyDescent="0.25">
      <c r="A46" s="466" t="s">
        <v>129</v>
      </c>
      <c r="B46" s="462" t="s">
        <v>118</v>
      </c>
      <c r="C46" s="462" t="s">
        <v>215</v>
      </c>
      <c r="D46" s="462" t="s">
        <v>1799</v>
      </c>
      <c r="E46" s="469" t="s">
        <v>130</v>
      </c>
      <c r="F46" s="28">
        <f>'Пр.4 ведом.21'!G1233</f>
        <v>266.13369999999998</v>
      </c>
    </row>
    <row r="47" spans="1:8" ht="70.5" customHeight="1" x14ac:dyDescent="0.25">
      <c r="A47" s="41" t="s">
        <v>149</v>
      </c>
      <c r="B47" s="7" t="s">
        <v>118</v>
      </c>
      <c r="C47" s="7" t="s">
        <v>150</v>
      </c>
      <c r="D47" s="7"/>
      <c r="E47" s="7"/>
      <c r="F47" s="4">
        <f>F48+F93</f>
        <v>69734.410049999991</v>
      </c>
      <c r="H47" s="22"/>
    </row>
    <row r="48" spans="1:8" ht="31.5" x14ac:dyDescent="0.25">
      <c r="A48" s="23" t="s">
        <v>917</v>
      </c>
      <c r="B48" s="7" t="s">
        <v>118</v>
      </c>
      <c r="C48" s="7" t="s">
        <v>150</v>
      </c>
      <c r="D48" s="7" t="s">
        <v>858</v>
      </c>
      <c r="E48" s="7"/>
      <c r="F48" s="4">
        <f>F49+F68</f>
        <v>69111.510049999997</v>
      </c>
    </row>
    <row r="49" spans="1:6" ht="15.75" x14ac:dyDescent="0.25">
      <c r="A49" s="23" t="s">
        <v>918</v>
      </c>
      <c r="B49" s="7" t="s">
        <v>118</v>
      </c>
      <c r="C49" s="7" t="s">
        <v>150</v>
      </c>
      <c r="D49" s="7" t="s">
        <v>859</v>
      </c>
      <c r="E49" s="7"/>
      <c r="F49" s="4">
        <f>F50+F59+F62+F65</f>
        <v>65732.610050000003</v>
      </c>
    </row>
    <row r="50" spans="1:6" ht="31.5" x14ac:dyDescent="0.25">
      <c r="A50" s="29" t="s">
        <v>897</v>
      </c>
      <c r="B50" s="40" t="s">
        <v>118</v>
      </c>
      <c r="C50" s="40" t="s">
        <v>150</v>
      </c>
      <c r="D50" s="40" t="s">
        <v>860</v>
      </c>
      <c r="E50" s="40"/>
      <c r="F50" s="6">
        <f>F51+F53+F57+F55</f>
        <v>60097.176449999999</v>
      </c>
    </row>
    <row r="51" spans="1:6" ht="78.75" x14ac:dyDescent="0.25">
      <c r="A51" s="29" t="s">
        <v>127</v>
      </c>
      <c r="B51" s="40" t="s">
        <v>118</v>
      </c>
      <c r="C51" s="40" t="s">
        <v>150</v>
      </c>
      <c r="D51" s="40" t="s">
        <v>860</v>
      </c>
      <c r="E51" s="40" t="s">
        <v>128</v>
      </c>
      <c r="F51" s="378">
        <f t="shared" ref="F51" si="7">F52</f>
        <v>50038.74</v>
      </c>
    </row>
    <row r="52" spans="1:6" ht="31.5" x14ac:dyDescent="0.25">
      <c r="A52" s="29" t="s">
        <v>129</v>
      </c>
      <c r="B52" s="40" t="s">
        <v>118</v>
      </c>
      <c r="C52" s="40" t="s">
        <v>150</v>
      </c>
      <c r="D52" s="40" t="s">
        <v>860</v>
      </c>
      <c r="E52" s="40" t="s">
        <v>130</v>
      </c>
      <c r="F52" s="378">
        <f>'Пр.4 ведом.21'!G574+'Пр.4 ведом.21'!G59</f>
        <v>50038.74</v>
      </c>
    </row>
    <row r="53" spans="1:6" ht="31.5" x14ac:dyDescent="0.25">
      <c r="A53" s="29" t="s">
        <v>131</v>
      </c>
      <c r="B53" s="40" t="s">
        <v>118</v>
      </c>
      <c r="C53" s="40" t="s">
        <v>150</v>
      </c>
      <c r="D53" s="40" t="s">
        <v>860</v>
      </c>
      <c r="E53" s="40" t="s">
        <v>132</v>
      </c>
      <c r="F53" s="6">
        <f t="shared" ref="F53" si="8">F54</f>
        <v>9840.63645</v>
      </c>
    </row>
    <row r="54" spans="1:6" ht="31.5" x14ac:dyDescent="0.25">
      <c r="A54" s="29" t="s">
        <v>133</v>
      </c>
      <c r="B54" s="40" t="s">
        <v>118</v>
      </c>
      <c r="C54" s="40" t="s">
        <v>150</v>
      </c>
      <c r="D54" s="40" t="s">
        <v>860</v>
      </c>
      <c r="E54" s="40" t="s">
        <v>134</v>
      </c>
      <c r="F54" s="6">
        <f>'Пр.4 ведом.21'!G61+'Пр.4 ведом.21'!G576</f>
        <v>9840.63645</v>
      </c>
    </row>
    <row r="55" spans="1:6" s="203" customFormat="1" ht="21.2" hidden="1" customHeight="1" x14ac:dyDescent="0.25">
      <c r="A55" s="25" t="s">
        <v>248</v>
      </c>
      <c r="B55" s="40" t="s">
        <v>118</v>
      </c>
      <c r="C55" s="40" t="s">
        <v>150</v>
      </c>
      <c r="D55" s="40" t="s">
        <v>860</v>
      </c>
      <c r="E55" s="40" t="s">
        <v>249</v>
      </c>
      <c r="F55" s="6">
        <f>F56</f>
        <v>0</v>
      </c>
    </row>
    <row r="56" spans="1:6" s="203" customFormat="1" ht="31.5" hidden="1" x14ac:dyDescent="0.25">
      <c r="A56" s="25" t="s">
        <v>250</v>
      </c>
      <c r="B56" s="40" t="s">
        <v>118</v>
      </c>
      <c r="C56" s="40" t="s">
        <v>150</v>
      </c>
      <c r="D56" s="40" t="s">
        <v>860</v>
      </c>
      <c r="E56" s="40" t="s">
        <v>251</v>
      </c>
      <c r="F56" s="6">
        <f>'Пр.4 ведом.21'!G63</f>
        <v>0</v>
      </c>
    </row>
    <row r="57" spans="1:6" ht="15.75" x14ac:dyDescent="0.25">
      <c r="A57" s="29" t="s">
        <v>135</v>
      </c>
      <c r="B57" s="40" t="s">
        <v>118</v>
      </c>
      <c r="C57" s="40" t="s">
        <v>150</v>
      </c>
      <c r="D57" s="40" t="s">
        <v>860</v>
      </c>
      <c r="E57" s="40" t="s">
        <v>145</v>
      </c>
      <c r="F57" s="6">
        <f t="shared" ref="F57" si="9">F58</f>
        <v>217.8</v>
      </c>
    </row>
    <row r="58" spans="1:6" ht="15.75" x14ac:dyDescent="0.25">
      <c r="A58" s="29" t="s">
        <v>568</v>
      </c>
      <c r="B58" s="40" t="s">
        <v>118</v>
      </c>
      <c r="C58" s="40" t="s">
        <v>150</v>
      </c>
      <c r="D58" s="40" t="s">
        <v>860</v>
      </c>
      <c r="E58" s="40" t="s">
        <v>138</v>
      </c>
      <c r="F58" s="6">
        <f>'Пр.4 ведом.21'!G578+'Пр.4 ведом.21'!G65</f>
        <v>217.8</v>
      </c>
    </row>
    <row r="59" spans="1:6" ht="31.5" x14ac:dyDescent="0.25">
      <c r="A59" s="25" t="s">
        <v>153</v>
      </c>
      <c r="B59" s="20" t="s">
        <v>118</v>
      </c>
      <c r="C59" s="20" t="s">
        <v>150</v>
      </c>
      <c r="D59" s="40" t="s">
        <v>861</v>
      </c>
      <c r="E59" s="20"/>
      <c r="F59" s="378">
        <f>F60</f>
        <v>2749.6000000000004</v>
      </c>
    </row>
    <row r="60" spans="1:6" ht="78.75" x14ac:dyDescent="0.25">
      <c r="A60" s="25" t="s">
        <v>127</v>
      </c>
      <c r="B60" s="20" t="s">
        <v>118</v>
      </c>
      <c r="C60" s="20" t="s">
        <v>150</v>
      </c>
      <c r="D60" s="40" t="s">
        <v>861</v>
      </c>
      <c r="E60" s="20" t="s">
        <v>128</v>
      </c>
      <c r="F60" s="378">
        <f>F61</f>
        <v>2749.6000000000004</v>
      </c>
    </row>
    <row r="61" spans="1:6" ht="31.5" x14ac:dyDescent="0.25">
      <c r="A61" s="25" t="s">
        <v>129</v>
      </c>
      <c r="B61" s="20" t="s">
        <v>118</v>
      </c>
      <c r="C61" s="20" t="s">
        <v>150</v>
      </c>
      <c r="D61" s="40" t="s">
        <v>861</v>
      </c>
      <c r="E61" s="20" t="s">
        <v>130</v>
      </c>
      <c r="F61" s="378">
        <f>'Пр.4 ведом.21'!G68</f>
        <v>2749.6000000000004</v>
      </c>
    </row>
    <row r="62" spans="1:6" s="203" customFormat="1" ht="47.25" x14ac:dyDescent="0.25">
      <c r="A62" s="25" t="s">
        <v>839</v>
      </c>
      <c r="B62" s="40" t="s">
        <v>118</v>
      </c>
      <c r="C62" s="20" t="s">
        <v>150</v>
      </c>
      <c r="D62" s="40" t="s">
        <v>862</v>
      </c>
      <c r="E62" s="40"/>
      <c r="F62" s="28">
        <f>F63</f>
        <v>1541.87</v>
      </c>
    </row>
    <row r="63" spans="1:6" s="203" customFormat="1" ht="78.75" x14ac:dyDescent="0.25">
      <c r="A63" s="25" t="s">
        <v>127</v>
      </c>
      <c r="B63" s="40" t="s">
        <v>118</v>
      </c>
      <c r="C63" s="20" t="s">
        <v>150</v>
      </c>
      <c r="D63" s="40" t="s">
        <v>862</v>
      </c>
      <c r="E63" s="40" t="s">
        <v>128</v>
      </c>
      <c r="F63" s="28">
        <f>F64</f>
        <v>1541.87</v>
      </c>
    </row>
    <row r="64" spans="1:6" s="203" customFormat="1" ht="31.5" x14ac:dyDescent="0.25">
      <c r="A64" s="25" t="s">
        <v>129</v>
      </c>
      <c r="B64" s="40" t="s">
        <v>118</v>
      </c>
      <c r="C64" s="20" t="s">
        <v>150</v>
      </c>
      <c r="D64" s="40" t="s">
        <v>862</v>
      </c>
      <c r="E64" s="40" t="s">
        <v>130</v>
      </c>
      <c r="F64" s="28">
        <f>'Пр.4 ведом.21'!G581+'Пр.4 ведом.21'!G71</f>
        <v>1541.87</v>
      </c>
    </row>
    <row r="65" spans="1:7" s="457" customFormat="1" ht="31.5" x14ac:dyDescent="0.25">
      <c r="A65" s="466" t="s">
        <v>1793</v>
      </c>
      <c r="B65" s="469" t="s">
        <v>118</v>
      </c>
      <c r="C65" s="462" t="s">
        <v>150</v>
      </c>
      <c r="D65" s="462" t="s">
        <v>1794</v>
      </c>
      <c r="E65" s="469"/>
      <c r="F65" s="28">
        <f>F66</f>
        <v>1343.9635999999998</v>
      </c>
    </row>
    <row r="66" spans="1:7" s="457" customFormat="1" ht="78.75" x14ac:dyDescent="0.25">
      <c r="A66" s="466" t="s">
        <v>127</v>
      </c>
      <c r="B66" s="469" t="s">
        <v>118</v>
      </c>
      <c r="C66" s="462" t="s">
        <v>150</v>
      </c>
      <c r="D66" s="462" t="s">
        <v>1794</v>
      </c>
      <c r="E66" s="469" t="s">
        <v>128</v>
      </c>
      <c r="F66" s="28">
        <f>F67</f>
        <v>1343.9635999999998</v>
      </c>
    </row>
    <row r="67" spans="1:7" s="457" customFormat="1" ht="31.5" x14ac:dyDescent="0.25">
      <c r="A67" s="466" t="s">
        <v>129</v>
      </c>
      <c r="B67" s="469" t="s">
        <v>118</v>
      </c>
      <c r="C67" s="462" t="s">
        <v>150</v>
      </c>
      <c r="D67" s="462" t="s">
        <v>1794</v>
      </c>
      <c r="E67" s="469" t="s">
        <v>130</v>
      </c>
      <c r="F67" s="28">
        <f>'Пр.4 ведом.21'!G74+'Пр.4 ведом.21'!G588</f>
        <v>1343.9635999999998</v>
      </c>
    </row>
    <row r="68" spans="1:7" s="203" customFormat="1" ht="31.5" x14ac:dyDescent="0.25">
      <c r="A68" s="23" t="s">
        <v>885</v>
      </c>
      <c r="B68" s="7" t="s">
        <v>118</v>
      </c>
      <c r="C68" s="24" t="s">
        <v>150</v>
      </c>
      <c r="D68" s="7" t="s">
        <v>863</v>
      </c>
      <c r="E68" s="7"/>
      <c r="F68" s="4">
        <f>F69+F75+F80+F85+F72+F90</f>
        <v>3378.9</v>
      </c>
    </row>
    <row r="69" spans="1:7" s="203" customFormat="1" ht="47.25" hidden="1" x14ac:dyDescent="0.25">
      <c r="A69" s="25" t="s">
        <v>187</v>
      </c>
      <c r="B69" s="40" t="s">
        <v>118</v>
      </c>
      <c r="C69" s="20" t="s">
        <v>150</v>
      </c>
      <c r="D69" s="40" t="s">
        <v>1075</v>
      </c>
      <c r="E69" s="7"/>
      <c r="F69" s="10">
        <f>F70</f>
        <v>0</v>
      </c>
    </row>
    <row r="70" spans="1:7" s="203" customFormat="1" ht="31.5" hidden="1" x14ac:dyDescent="0.25">
      <c r="A70" s="25" t="s">
        <v>131</v>
      </c>
      <c r="B70" s="40" t="s">
        <v>118</v>
      </c>
      <c r="C70" s="20" t="s">
        <v>150</v>
      </c>
      <c r="D70" s="40" t="s">
        <v>1075</v>
      </c>
      <c r="E70" s="40" t="s">
        <v>132</v>
      </c>
      <c r="F70" s="10">
        <f t="shared" ref="F70" si="10">F71</f>
        <v>0</v>
      </c>
    </row>
    <row r="71" spans="1:7" s="203" customFormat="1" ht="31.5" hidden="1" x14ac:dyDescent="0.25">
      <c r="A71" s="25" t="s">
        <v>133</v>
      </c>
      <c r="B71" s="40" t="s">
        <v>118</v>
      </c>
      <c r="C71" s="20" t="s">
        <v>150</v>
      </c>
      <c r="D71" s="40" t="s">
        <v>1075</v>
      </c>
      <c r="E71" s="40" t="s">
        <v>134</v>
      </c>
      <c r="F71" s="10">
        <f>'Пр.4 ведом.21'!G78</f>
        <v>0</v>
      </c>
      <c r="G71" s="231">
        <f>F71+F72+F75+F80+F85+F90+F323+F999+F1005</f>
        <v>7262.3000000000011</v>
      </c>
    </row>
    <row r="72" spans="1:7" s="203" customFormat="1" ht="47.25" x14ac:dyDescent="0.25">
      <c r="A72" s="31" t="s">
        <v>1179</v>
      </c>
      <c r="B72" s="20" t="s">
        <v>118</v>
      </c>
      <c r="C72" s="20" t="s">
        <v>150</v>
      </c>
      <c r="D72" s="20" t="s">
        <v>1178</v>
      </c>
      <c r="E72" s="20"/>
      <c r="F72" s="26">
        <f>F73</f>
        <v>105.9</v>
      </c>
    </row>
    <row r="73" spans="1:7" s="203" customFormat="1" ht="31.5" x14ac:dyDescent="0.25">
      <c r="A73" s="29" t="s">
        <v>131</v>
      </c>
      <c r="B73" s="20" t="s">
        <v>118</v>
      </c>
      <c r="C73" s="20" t="s">
        <v>150</v>
      </c>
      <c r="D73" s="20" t="s">
        <v>1178</v>
      </c>
      <c r="E73" s="20" t="s">
        <v>132</v>
      </c>
      <c r="F73" s="26">
        <f>F74</f>
        <v>105.9</v>
      </c>
    </row>
    <row r="74" spans="1:7" s="203" customFormat="1" ht="31.5" x14ac:dyDescent="0.25">
      <c r="A74" s="29" t="s">
        <v>133</v>
      </c>
      <c r="B74" s="20" t="s">
        <v>118</v>
      </c>
      <c r="C74" s="20" t="s">
        <v>150</v>
      </c>
      <c r="D74" s="20" t="s">
        <v>1178</v>
      </c>
      <c r="E74" s="20" t="s">
        <v>134</v>
      </c>
      <c r="F74" s="26">
        <f>'Пр.4 ведом.21'!G81</f>
        <v>105.9</v>
      </c>
    </row>
    <row r="75" spans="1:7" s="203" customFormat="1" ht="47.25" x14ac:dyDescent="0.25">
      <c r="A75" s="45" t="s">
        <v>189</v>
      </c>
      <c r="B75" s="40" t="s">
        <v>118</v>
      </c>
      <c r="C75" s="20" t="s">
        <v>150</v>
      </c>
      <c r="D75" s="40" t="s">
        <v>920</v>
      </c>
      <c r="E75" s="40"/>
      <c r="F75" s="6">
        <f>F76+F78</f>
        <v>499.29999999999995</v>
      </c>
    </row>
    <row r="76" spans="1:7" s="203" customFormat="1" ht="78.75" x14ac:dyDescent="0.25">
      <c r="A76" s="29" t="s">
        <v>127</v>
      </c>
      <c r="B76" s="40" t="s">
        <v>118</v>
      </c>
      <c r="C76" s="20" t="s">
        <v>150</v>
      </c>
      <c r="D76" s="40" t="s">
        <v>920</v>
      </c>
      <c r="E76" s="40" t="s">
        <v>128</v>
      </c>
      <c r="F76" s="6">
        <f t="shared" ref="F76" si="11">F77</f>
        <v>499.29999999999995</v>
      </c>
    </row>
    <row r="77" spans="1:7" s="203" customFormat="1" ht="31.5" x14ac:dyDescent="0.25">
      <c r="A77" s="29" t="s">
        <v>129</v>
      </c>
      <c r="B77" s="40" t="s">
        <v>118</v>
      </c>
      <c r="C77" s="20" t="s">
        <v>150</v>
      </c>
      <c r="D77" s="40" t="s">
        <v>920</v>
      </c>
      <c r="E77" s="40" t="s">
        <v>130</v>
      </c>
      <c r="F77" s="6">
        <f>'Пр.4 ведом.21'!G84</f>
        <v>499.29999999999995</v>
      </c>
    </row>
    <row r="78" spans="1:7" s="203" customFormat="1" ht="31.5" hidden="1" x14ac:dyDescent="0.25">
      <c r="A78" s="25" t="s">
        <v>131</v>
      </c>
      <c r="B78" s="40" t="s">
        <v>118</v>
      </c>
      <c r="C78" s="20" t="s">
        <v>150</v>
      </c>
      <c r="D78" s="40" t="s">
        <v>920</v>
      </c>
      <c r="E78" s="40" t="s">
        <v>132</v>
      </c>
      <c r="F78" s="6">
        <f>F79</f>
        <v>0</v>
      </c>
    </row>
    <row r="79" spans="1:7" s="203" customFormat="1" ht="31.5" hidden="1" x14ac:dyDescent="0.25">
      <c r="A79" s="25" t="s">
        <v>133</v>
      </c>
      <c r="B79" s="40" t="s">
        <v>118</v>
      </c>
      <c r="C79" s="20" t="s">
        <v>150</v>
      </c>
      <c r="D79" s="40" t="s">
        <v>920</v>
      </c>
      <c r="E79" s="40" t="s">
        <v>134</v>
      </c>
      <c r="F79" s="6">
        <f>'Пр.4 ведом.21'!G86</f>
        <v>0</v>
      </c>
    </row>
    <row r="80" spans="1:7" s="203" customFormat="1" ht="47.25" x14ac:dyDescent="0.25">
      <c r="A80" s="31" t="s">
        <v>194</v>
      </c>
      <c r="B80" s="40" t="s">
        <v>118</v>
      </c>
      <c r="C80" s="20" t="s">
        <v>150</v>
      </c>
      <c r="D80" s="40" t="s">
        <v>1030</v>
      </c>
      <c r="E80" s="40"/>
      <c r="F80" s="6">
        <f>F81+F83</f>
        <v>1439.3999999999999</v>
      </c>
    </row>
    <row r="81" spans="1:6" s="203" customFormat="1" ht="78.75" x14ac:dyDescent="0.25">
      <c r="A81" s="29" t="s">
        <v>127</v>
      </c>
      <c r="B81" s="40" t="s">
        <v>118</v>
      </c>
      <c r="C81" s="20" t="s">
        <v>150</v>
      </c>
      <c r="D81" s="40" t="s">
        <v>1030</v>
      </c>
      <c r="E81" s="40" t="s">
        <v>128</v>
      </c>
      <c r="F81" s="6">
        <f t="shared" ref="F81" si="12">F82</f>
        <v>1359.1</v>
      </c>
    </row>
    <row r="82" spans="1:6" s="203" customFormat="1" ht="31.5" x14ac:dyDescent="0.25">
      <c r="A82" s="29" t="s">
        <v>129</v>
      </c>
      <c r="B82" s="40" t="s">
        <v>118</v>
      </c>
      <c r="C82" s="20" t="s">
        <v>150</v>
      </c>
      <c r="D82" s="40" t="s">
        <v>1030</v>
      </c>
      <c r="E82" s="40" t="s">
        <v>130</v>
      </c>
      <c r="F82" s="6">
        <f>'Пр.4 ведом.21'!G89</f>
        <v>1359.1</v>
      </c>
    </row>
    <row r="83" spans="1:6" s="203" customFormat="1" ht="31.5" x14ac:dyDescent="0.25">
      <c r="A83" s="25" t="s">
        <v>131</v>
      </c>
      <c r="B83" s="40" t="s">
        <v>118</v>
      </c>
      <c r="C83" s="20" t="s">
        <v>150</v>
      </c>
      <c r="D83" s="40" t="s">
        <v>1030</v>
      </c>
      <c r="E83" s="40" t="s">
        <v>132</v>
      </c>
      <c r="F83" s="6">
        <f>F84</f>
        <v>80.3</v>
      </c>
    </row>
    <row r="84" spans="1:6" s="203" customFormat="1" ht="31.5" x14ac:dyDescent="0.25">
      <c r="A84" s="25" t="s">
        <v>133</v>
      </c>
      <c r="B84" s="40" t="s">
        <v>118</v>
      </c>
      <c r="C84" s="20" t="s">
        <v>150</v>
      </c>
      <c r="D84" s="40" t="s">
        <v>1030</v>
      </c>
      <c r="E84" s="40" t="s">
        <v>134</v>
      </c>
      <c r="F84" s="6">
        <f>'Пр.4 ведом.21'!G91</f>
        <v>80.3</v>
      </c>
    </row>
    <row r="85" spans="1:6" ht="47.25" x14ac:dyDescent="0.25">
      <c r="A85" s="45" t="s">
        <v>196</v>
      </c>
      <c r="B85" s="40" t="s">
        <v>118</v>
      </c>
      <c r="C85" s="20" t="s">
        <v>150</v>
      </c>
      <c r="D85" s="40" t="s">
        <v>921</v>
      </c>
      <c r="E85" s="40"/>
      <c r="F85" s="6">
        <f t="shared" ref="F85" si="13">F86+F88</f>
        <v>1334.3000000000002</v>
      </c>
    </row>
    <row r="86" spans="1:6" ht="81.75" customHeight="1" x14ac:dyDescent="0.25">
      <c r="A86" s="29" t="s">
        <v>127</v>
      </c>
      <c r="B86" s="40" t="s">
        <v>118</v>
      </c>
      <c r="C86" s="20" t="s">
        <v>150</v>
      </c>
      <c r="D86" s="40" t="s">
        <v>921</v>
      </c>
      <c r="E86" s="40" t="s">
        <v>128</v>
      </c>
      <c r="F86" s="6">
        <f t="shared" ref="F86" si="14">F87</f>
        <v>1293.0000000000002</v>
      </c>
    </row>
    <row r="87" spans="1:6" ht="36" customHeight="1" x14ac:dyDescent="0.25">
      <c r="A87" s="29" t="s">
        <v>129</v>
      </c>
      <c r="B87" s="40" t="s">
        <v>118</v>
      </c>
      <c r="C87" s="20" t="s">
        <v>150</v>
      </c>
      <c r="D87" s="40" t="s">
        <v>921</v>
      </c>
      <c r="E87" s="40" t="s">
        <v>130</v>
      </c>
      <c r="F87" s="6">
        <f>'Пр.4 ведом.21'!G94</f>
        <v>1293.0000000000002</v>
      </c>
    </row>
    <row r="88" spans="1:6" ht="31.5" x14ac:dyDescent="0.25">
      <c r="A88" s="29" t="s">
        <v>131</v>
      </c>
      <c r="B88" s="40" t="s">
        <v>118</v>
      </c>
      <c r="C88" s="20" t="s">
        <v>150</v>
      </c>
      <c r="D88" s="40" t="s">
        <v>921</v>
      </c>
      <c r="E88" s="40" t="s">
        <v>132</v>
      </c>
      <c r="F88" s="6">
        <f t="shared" ref="F88" si="15">F89</f>
        <v>41.300000000000004</v>
      </c>
    </row>
    <row r="89" spans="1:6" ht="31.5" x14ac:dyDescent="0.25">
      <c r="A89" s="29" t="s">
        <v>133</v>
      </c>
      <c r="B89" s="40" t="s">
        <v>118</v>
      </c>
      <c r="C89" s="20" t="s">
        <v>150</v>
      </c>
      <c r="D89" s="40" t="s">
        <v>921</v>
      </c>
      <c r="E89" s="40" t="s">
        <v>134</v>
      </c>
      <c r="F89" s="6">
        <f>'Пр.4 ведом.21'!G96</f>
        <v>41.300000000000004</v>
      </c>
    </row>
    <row r="90" spans="1:6" s="203" customFormat="1" ht="94.5" hidden="1" x14ac:dyDescent="0.25">
      <c r="A90" s="31" t="s">
        <v>1174</v>
      </c>
      <c r="B90" s="20" t="s">
        <v>118</v>
      </c>
      <c r="C90" s="20" t="s">
        <v>150</v>
      </c>
      <c r="D90" s="20" t="s">
        <v>1173</v>
      </c>
      <c r="E90" s="20"/>
      <c r="F90" s="26">
        <f>F91</f>
        <v>0</v>
      </c>
    </row>
    <row r="91" spans="1:6" s="203" customFormat="1" ht="78.75" hidden="1" x14ac:dyDescent="0.25">
      <c r="A91" s="25" t="s">
        <v>127</v>
      </c>
      <c r="B91" s="20" t="s">
        <v>118</v>
      </c>
      <c r="C91" s="20" t="s">
        <v>150</v>
      </c>
      <c r="D91" s="20" t="s">
        <v>1173</v>
      </c>
      <c r="E91" s="20" t="s">
        <v>128</v>
      </c>
      <c r="F91" s="26">
        <f>F92</f>
        <v>0</v>
      </c>
    </row>
    <row r="92" spans="1:6" s="203" customFormat="1" ht="31.5" hidden="1" x14ac:dyDescent="0.25">
      <c r="A92" s="25" t="s">
        <v>129</v>
      </c>
      <c r="B92" s="20" t="s">
        <v>118</v>
      </c>
      <c r="C92" s="20" t="s">
        <v>150</v>
      </c>
      <c r="D92" s="20" t="s">
        <v>1173</v>
      </c>
      <c r="E92" s="20" t="s">
        <v>130</v>
      </c>
      <c r="F92" s="26">
        <f>'Пр.4 ведом.21'!G585</f>
        <v>0</v>
      </c>
    </row>
    <row r="93" spans="1:6" s="203" customFormat="1" ht="47.25" x14ac:dyDescent="0.25">
      <c r="A93" s="23" t="s">
        <v>1349</v>
      </c>
      <c r="B93" s="24" t="s">
        <v>118</v>
      </c>
      <c r="C93" s="24" t="s">
        <v>150</v>
      </c>
      <c r="D93" s="24" t="s">
        <v>162</v>
      </c>
      <c r="E93" s="24"/>
      <c r="F93" s="4">
        <f>F94+F98+F107</f>
        <v>622.9</v>
      </c>
    </row>
    <row r="94" spans="1:6" s="203" customFormat="1" ht="63" x14ac:dyDescent="0.25">
      <c r="A94" s="299" t="s">
        <v>1350</v>
      </c>
      <c r="B94" s="24" t="s">
        <v>118</v>
      </c>
      <c r="C94" s="24" t="s">
        <v>150</v>
      </c>
      <c r="D94" s="7" t="s">
        <v>849</v>
      </c>
      <c r="E94" s="24"/>
      <c r="F94" s="4">
        <f>F95</f>
        <v>426</v>
      </c>
    </row>
    <row r="95" spans="1:6" s="203" customFormat="1" ht="47.25" x14ac:dyDescent="0.25">
      <c r="A95" s="29" t="s">
        <v>1314</v>
      </c>
      <c r="B95" s="20" t="s">
        <v>118</v>
      </c>
      <c r="C95" s="20" t="s">
        <v>150</v>
      </c>
      <c r="D95" s="40" t="s">
        <v>841</v>
      </c>
      <c r="E95" s="20"/>
      <c r="F95" s="6">
        <f>F96</f>
        <v>426</v>
      </c>
    </row>
    <row r="96" spans="1:6" s="203" customFormat="1" ht="31.5" x14ac:dyDescent="0.25">
      <c r="A96" s="25" t="s">
        <v>131</v>
      </c>
      <c r="B96" s="20" t="s">
        <v>118</v>
      </c>
      <c r="C96" s="20" t="s">
        <v>150</v>
      </c>
      <c r="D96" s="40" t="s">
        <v>841</v>
      </c>
      <c r="E96" s="20" t="s">
        <v>132</v>
      </c>
      <c r="F96" s="6">
        <f>F97</f>
        <v>426</v>
      </c>
    </row>
    <row r="97" spans="1:6" s="203" customFormat="1" ht="31.5" x14ac:dyDescent="0.25">
      <c r="A97" s="25" t="s">
        <v>133</v>
      </c>
      <c r="B97" s="20" t="s">
        <v>118</v>
      </c>
      <c r="C97" s="20" t="s">
        <v>150</v>
      </c>
      <c r="D97" s="40" t="s">
        <v>841</v>
      </c>
      <c r="E97" s="20" t="s">
        <v>134</v>
      </c>
      <c r="F97" s="6">
        <f>'Пр.4 ведом.21'!G101</f>
        <v>426</v>
      </c>
    </row>
    <row r="98" spans="1:6" s="203" customFormat="1" ht="63" x14ac:dyDescent="0.25">
      <c r="A98" s="219" t="s">
        <v>843</v>
      </c>
      <c r="B98" s="24" t="s">
        <v>118</v>
      </c>
      <c r="C98" s="24" t="s">
        <v>150</v>
      </c>
      <c r="D98" s="7" t="s">
        <v>850</v>
      </c>
      <c r="E98" s="24"/>
      <c r="F98" s="4">
        <f>F99+F104</f>
        <v>196.4</v>
      </c>
    </row>
    <row r="99" spans="1:6" s="203" customFormat="1" ht="47.25" x14ac:dyDescent="0.25">
      <c r="A99" s="174" t="s">
        <v>165</v>
      </c>
      <c r="B99" s="20" t="s">
        <v>118</v>
      </c>
      <c r="C99" s="20" t="s">
        <v>150</v>
      </c>
      <c r="D99" s="40" t="s">
        <v>842</v>
      </c>
      <c r="E99" s="20"/>
      <c r="F99" s="6">
        <f>F100+F102</f>
        <v>196.4</v>
      </c>
    </row>
    <row r="100" spans="1:6" s="203" customFormat="1" ht="78.75" x14ac:dyDescent="0.25">
      <c r="A100" s="25" t="s">
        <v>127</v>
      </c>
      <c r="B100" s="20" t="s">
        <v>118</v>
      </c>
      <c r="C100" s="20" t="s">
        <v>150</v>
      </c>
      <c r="D100" s="40" t="s">
        <v>842</v>
      </c>
      <c r="E100" s="20" t="s">
        <v>128</v>
      </c>
      <c r="F100" s="6">
        <f>F101</f>
        <v>151.4</v>
      </c>
    </row>
    <row r="101" spans="1:6" s="203" customFormat="1" ht="31.5" x14ac:dyDescent="0.25">
      <c r="A101" s="25" t="s">
        <v>129</v>
      </c>
      <c r="B101" s="20" t="s">
        <v>118</v>
      </c>
      <c r="C101" s="20" t="s">
        <v>150</v>
      </c>
      <c r="D101" s="40" t="s">
        <v>842</v>
      </c>
      <c r="E101" s="20" t="s">
        <v>130</v>
      </c>
      <c r="F101" s="6">
        <f>'Пр.4 ведом.21'!G105</f>
        <v>151.4</v>
      </c>
    </row>
    <row r="102" spans="1:6" s="203" customFormat="1" ht="31.5" x14ac:dyDescent="0.25">
      <c r="A102" s="25" t="s">
        <v>131</v>
      </c>
      <c r="B102" s="20" t="s">
        <v>118</v>
      </c>
      <c r="C102" s="20" t="s">
        <v>150</v>
      </c>
      <c r="D102" s="40" t="s">
        <v>842</v>
      </c>
      <c r="E102" s="20" t="s">
        <v>132</v>
      </c>
      <c r="F102" s="6">
        <f>F103</f>
        <v>45</v>
      </c>
    </row>
    <row r="103" spans="1:6" s="203" customFormat="1" ht="31.5" x14ac:dyDescent="0.25">
      <c r="A103" s="25" t="s">
        <v>133</v>
      </c>
      <c r="B103" s="20" t="s">
        <v>118</v>
      </c>
      <c r="C103" s="20" t="s">
        <v>150</v>
      </c>
      <c r="D103" s="40" t="s">
        <v>842</v>
      </c>
      <c r="E103" s="20" t="s">
        <v>134</v>
      </c>
      <c r="F103" s="6">
        <f>'Пр.4 ведом.21'!G107</f>
        <v>45</v>
      </c>
    </row>
    <row r="104" spans="1:6" s="203" customFormat="1" ht="47.25" hidden="1" x14ac:dyDescent="0.25">
      <c r="A104" s="31" t="s">
        <v>1098</v>
      </c>
      <c r="B104" s="20" t="s">
        <v>118</v>
      </c>
      <c r="C104" s="20" t="s">
        <v>150</v>
      </c>
      <c r="D104" s="40" t="s">
        <v>993</v>
      </c>
      <c r="E104" s="20"/>
      <c r="F104" s="26">
        <f>F105</f>
        <v>0</v>
      </c>
    </row>
    <row r="105" spans="1:6" s="203" customFormat="1" ht="31.5" hidden="1" x14ac:dyDescent="0.25">
      <c r="A105" s="25" t="s">
        <v>131</v>
      </c>
      <c r="B105" s="20" t="s">
        <v>118</v>
      </c>
      <c r="C105" s="20" t="s">
        <v>150</v>
      </c>
      <c r="D105" s="40" t="s">
        <v>993</v>
      </c>
      <c r="E105" s="20" t="s">
        <v>132</v>
      </c>
      <c r="F105" s="26">
        <f>F106</f>
        <v>0</v>
      </c>
    </row>
    <row r="106" spans="1:6" s="203" customFormat="1" ht="31.5" hidden="1" x14ac:dyDescent="0.25">
      <c r="A106" s="25" t="s">
        <v>133</v>
      </c>
      <c r="B106" s="20" t="s">
        <v>118</v>
      </c>
      <c r="C106" s="20" t="s">
        <v>150</v>
      </c>
      <c r="D106" s="40" t="s">
        <v>993</v>
      </c>
      <c r="E106" s="20" t="s">
        <v>134</v>
      </c>
      <c r="F106" s="26"/>
    </row>
    <row r="107" spans="1:6" s="203" customFormat="1" ht="63" x14ac:dyDescent="0.25">
      <c r="A107" s="220" t="s">
        <v>1003</v>
      </c>
      <c r="B107" s="24" t="s">
        <v>118</v>
      </c>
      <c r="C107" s="24" t="s">
        <v>150</v>
      </c>
      <c r="D107" s="7" t="s">
        <v>851</v>
      </c>
      <c r="E107" s="24"/>
      <c r="F107" s="4">
        <f>F108</f>
        <v>0.5</v>
      </c>
    </row>
    <row r="108" spans="1:6" s="203" customFormat="1" ht="47.25" x14ac:dyDescent="0.25">
      <c r="A108" s="33" t="s">
        <v>191</v>
      </c>
      <c r="B108" s="20" t="s">
        <v>118</v>
      </c>
      <c r="C108" s="20" t="s">
        <v>150</v>
      </c>
      <c r="D108" s="40" t="s">
        <v>844</v>
      </c>
      <c r="E108" s="20"/>
      <c r="F108" s="6">
        <f>F109</f>
        <v>0.5</v>
      </c>
    </row>
    <row r="109" spans="1:6" s="203" customFormat="1" ht="31.5" x14ac:dyDescent="0.25">
      <c r="A109" s="25" t="s">
        <v>131</v>
      </c>
      <c r="B109" s="20" t="s">
        <v>118</v>
      </c>
      <c r="C109" s="20" t="s">
        <v>150</v>
      </c>
      <c r="D109" s="40" t="s">
        <v>844</v>
      </c>
      <c r="E109" s="20" t="s">
        <v>132</v>
      </c>
      <c r="F109" s="6">
        <f>F110</f>
        <v>0.5</v>
      </c>
    </row>
    <row r="110" spans="1:6" s="203" customFormat="1" ht="31.5" x14ac:dyDescent="0.25">
      <c r="A110" s="25" t="s">
        <v>133</v>
      </c>
      <c r="B110" s="20" t="s">
        <v>118</v>
      </c>
      <c r="C110" s="20" t="s">
        <v>150</v>
      </c>
      <c r="D110" s="40" t="s">
        <v>844</v>
      </c>
      <c r="E110" s="20" t="s">
        <v>134</v>
      </c>
      <c r="F110" s="6">
        <f>'Пр.4 ведом.21'!G114</f>
        <v>0.5</v>
      </c>
    </row>
    <row r="111" spans="1:6" ht="47.25" x14ac:dyDescent="0.25">
      <c r="A111" s="41" t="s">
        <v>119</v>
      </c>
      <c r="B111" s="7" t="s">
        <v>118</v>
      </c>
      <c r="C111" s="7" t="s">
        <v>120</v>
      </c>
      <c r="D111" s="7"/>
      <c r="E111" s="7"/>
      <c r="F111" s="4">
        <f t="shared" ref="F111" si="16">F112</f>
        <v>17998.234900000003</v>
      </c>
    </row>
    <row r="112" spans="1:6" ht="31.5" x14ac:dyDescent="0.25">
      <c r="A112" s="23" t="s">
        <v>917</v>
      </c>
      <c r="B112" s="7" t="s">
        <v>118</v>
      </c>
      <c r="C112" s="7" t="s">
        <v>120</v>
      </c>
      <c r="D112" s="7" t="s">
        <v>858</v>
      </c>
      <c r="E112" s="7"/>
      <c r="F112" s="4">
        <f>F122+F113+F136</f>
        <v>17998.234900000003</v>
      </c>
    </row>
    <row r="113" spans="1:6" s="203" customFormat="1" ht="31.5" x14ac:dyDescent="0.25">
      <c r="A113" s="23" t="s">
        <v>986</v>
      </c>
      <c r="B113" s="7" t="s">
        <v>118</v>
      </c>
      <c r="C113" s="7" t="s">
        <v>120</v>
      </c>
      <c r="D113" s="7" t="s">
        <v>987</v>
      </c>
      <c r="E113" s="7"/>
      <c r="F113" s="4">
        <f>F114+F119</f>
        <v>1442.1000000000004</v>
      </c>
    </row>
    <row r="114" spans="1:6" s="203" customFormat="1" ht="31.5" x14ac:dyDescent="0.25">
      <c r="A114" s="25" t="s">
        <v>897</v>
      </c>
      <c r="B114" s="20" t="s">
        <v>118</v>
      </c>
      <c r="C114" s="20" t="s">
        <v>120</v>
      </c>
      <c r="D114" s="20" t="s">
        <v>991</v>
      </c>
      <c r="E114" s="20"/>
      <c r="F114" s="6">
        <f>F115+F117</f>
        <v>1347.6000000000004</v>
      </c>
    </row>
    <row r="115" spans="1:6" s="203" customFormat="1" ht="78.75" x14ac:dyDescent="0.25">
      <c r="A115" s="25" t="s">
        <v>127</v>
      </c>
      <c r="B115" s="20" t="s">
        <v>118</v>
      </c>
      <c r="C115" s="20" t="s">
        <v>120</v>
      </c>
      <c r="D115" s="20" t="s">
        <v>991</v>
      </c>
      <c r="E115" s="20" t="s">
        <v>128</v>
      </c>
      <c r="F115" s="6">
        <f>F116</f>
        <v>1347.6000000000004</v>
      </c>
    </row>
    <row r="116" spans="1:6" s="203" customFormat="1" ht="31.5" x14ac:dyDescent="0.25">
      <c r="A116" s="25" t="s">
        <v>129</v>
      </c>
      <c r="B116" s="20" t="s">
        <v>118</v>
      </c>
      <c r="C116" s="20" t="s">
        <v>120</v>
      </c>
      <c r="D116" s="20" t="s">
        <v>991</v>
      </c>
      <c r="E116" s="20" t="s">
        <v>130</v>
      </c>
      <c r="F116" s="6">
        <f>'Пр.4 ведом.21'!G1239</f>
        <v>1347.6000000000004</v>
      </c>
    </row>
    <row r="117" spans="1:6" s="203" customFormat="1" ht="31.5" hidden="1" x14ac:dyDescent="0.25">
      <c r="A117" s="25" t="s">
        <v>198</v>
      </c>
      <c r="B117" s="20" t="s">
        <v>118</v>
      </c>
      <c r="C117" s="20" t="s">
        <v>120</v>
      </c>
      <c r="D117" s="20" t="s">
        <v>991</v>
      </c>
      <c r="E117" s="20" t="s">
        <v>132</v>
      </c>
      <c r="F117" s="6">
        <f>F118</f>
        <v>0</v>
      </c>
    </row>
    <row r="118" spans="1:6" s="203" customFormat="1" ht="31.5" hidden="1" x14ac:dyDescent="0.25">
      <c r="A118" s="25" t="s">
        <v>133</v>
      </c>
      <c r="B118" s="20" t="s">
        <v>118</v>
      </c>
      <c r="C118" s="20" t="s">
        <v>120</v>
      </c>
      <c r="D118" s="20" t="s">
        <v>991</v>
      </c>
      <c r="E118" s="20" t="s">
        <v>134</v>
      </c>
      <c r="F118" s="6">
        <f>'Пр.4 ведом.21'!G1241</f>
        <v>0</v>
      </c>
    </row>
    <row r="119" spans="1:6" s="203" customFormat="1" ht="47.25" x14ac:dyDescent="0.25">
      <c r="A119" s="25" t="s">
        <v>839</v>
      </c>
      <c r="B119" s="20" t="s">
        <v>118</v>
      </c>
      <c r="C119" s="20" t="s">
        <v>120</v>
      </c>
      <c r="D119" s="20" t="s">
        <v>989</v>
      </c>
      <c r="E119" s="20"/>
      <c r="F119" s="6">
        <f>F120</f>
        <v>94.5</v>
      </c>
    </row>
    <row r="120" spans="1:6" s="203" customFormat="1" ht="78.75" x14ac:dyDescent="0.25">
      <c r="A120" s="25" t="s">
        <v>127</v>
      </c>
      <c r="B120" s="20" t="s">
        <v>118</v>
      </c>
      <c r="C120" s="20" t="s">
        <v>120</v>
      </c>
      <c r="D120" s="20" t="s">
        <v>989</v>
      </c>
      <c r="E120" s="20" t="s">
        <v>128</v>
      </c>
      <c r="F120" s="6">
        <f>F121</f>
        <v>94.5</v>
      </c>
    </row>
    <row r="121" spans="1:6" s="203" customFormat="1" ht="31.5" x14ac:dyDescent="0.25">
      <c r="A121" s="25" t="s">
        <v>129</v>
      </c>
      <c r="B121" s="20" t="s">
        <v>118</v>
      </c>
      <c r="C121" s="20" t="s">
        <v>120</v>
      </c>
      <c r="D121" s="20" t="s">
        <v>989</v>
      </c>
      <c r="E121" s="20" t="s">
        <v>130</v>
      </c>
      <c r="F121" s="6">
        <f>'Пр.4 ведом.21'!G1244</f>
        <v>94.5</v>
      </c>
    </row>
    <row r="122" spans="1:6" ht="15.75" x14ac:dyDescent="0.25">
      <c r="A122" s="23" t="s">
        <v>918</v>
      </c>
      <c r="B122" s="7" t="s">
        <v>118</v>
      </c>
      <c r="C122" s="7" t="s">
        <v>120</v>
      </c>
      <c r="D122" s="7" t="s">
        <v>859</v>
      </c>
      <c r="E122" s="7"/>
      <c r="F122" s="4">
        <f>F123+F130+F133</f>
        <v>15730.0949</v>
      </c>
    </row>
    <row r="123" spans="1:6" ht="37.5" customHeight="1" x14ac:dyDescent="0.25">
      <c r="A123" s="29" t="s">
        <v>897</v>
      </c>
      <c r="B123" s="40" t="s">
        <v>118</v>
      </c>
      <c r="C123" s="40" t="s">
        <v>120</v>
      </c>
      <c r="D123" s="40" t="s">
        <v>860</v>
      </c>
      <c r="E123" s="40"/>
      <c r="F123" s="6">
        <f t="shared" ref="F123" si="17">F124+F126+F128</f>
        <v>15126.627999999999</v>
      </c>
    </row>
    <row r="124" spans="1:6" ht="78.75" x14ac:dyDescent="0.25">
      <c r="A124" s="29" t="s">
        <v>127</v>
      </c>
      <c r="B124" s="40" t="s">
        <v>118</v>
      </c>
      <c r="C124" s="40" t="s">
        <v>120</v>
      </c>
      <c r="D124" s="40" t="s">
        <v>860</v>
      </c>
      <c r="E124" s="40" t="s">
        <v>128</v>
      </c>
      <c r="F124" s="6">
        <f t="shared" ref="F124" si="18">F125</f>
        <v>14007.527999999998</v>
      </c>
    </row>
    <row r="125" spans="1:6" ht="31.5" x14ac:dyDescent="0.25">
      <c r="A125" s="29" t="s">
        <v>129</v>
      </c>
      <c r="B125" s="40" t="s">
        <v>118</v>
      </c>
      <c r="C125" s="40" t="s">
        <v>120</v>
      </c>
      <c r="D125" s="40" t="s">
        <v>860</v>
      </c>
      <c r="E125" s="40" t="s">
        <v>130</v>
      </c>
      <c r="F125" s="378">
        <f>'Пр.4 ведом.21'!G16+'Пр.4 ведом.21'!G123</f>
        <v>14007.527999999998</v>
      </c>
    </row>
    <row r="126" spans="1:6" ht="31.5" x14ac:dyDescent="0.25">
      <c r="A126" s="29" t="s">
        <v>131</v>
      </c>
      <c r="B126" s="40" t="s">
        <v>118</v>
      </c>
      <c r="C126" s="40" t="s">
        <v>120</v>
      </c>
      <c r="D126" s="40" t="s">
        <v>860</v>
      </c>
      <c r="E126" s="40" t="s">
        <v>132</v>
      </c>
      <c r="F126" s="6">
        <f t="shared" ref="F126" si="19">F127</f>
        <v>1112.6799999999998</v>
      </c>
    </row>
    <row r="127" spans="1:6" ht="31.5" x14ac:dyDescent="0.25">
      <c r="A127" s="29" t="s">
        <v>133</v>
      </c>
      <c r="B127" s="40" t="s">
        <v>118</v>
      </c>
      <c r="C127" s="40" t="s">
        <v>120</v>
      </c>
      <c r="D127" s="40" t="s">
        <v>860</v>
      </c>
      <c r="E127" s="40" t="s">
        <v>134</v>
      </c>
      <c r="F127" s="6">
        <f>'Пр.4 ведом.21'!G18</f>
        <v>1112.6799999999998</v>
      </c>
    </row>
    <row r="128" spans="1:6" ht="15.75" x14ac:dyDescent="0.25">
      <c r="A128" s="29" t="s">
        <v>135</v>
      </c>
      <c r="B128" s="40" t="s">
        <v>118</v>
      </c>
      <c r="C128" s="40" t="s">
        <v>120</v>
      </c>
      <c r="D128" s="40" t="s">
        <v>860</v>
      </c>
      <c r="E128" s="40" t="s">
        <v>145</v>
      </c>
      <c r="F128" s="6">
        <f t="shared" ref="F128" si="20">F129</f>
        <v>6.4200000000000017</v>
      </c>
    </row>
    <row r="129" spans="1:6" ht="15.75" x14ac:dyDescent="0.25">
      <c r="A129" s="29" t="s">
        <v>568</v>
      </c>
      <c r="B129" s="40" t="s">
        <v>118</v>
      </c>
      <c r="C129" s="40" t="s">
        <v>120</v>
      </c>
      <c r="D129" s="40" t="s">
        <v>860</v>
      </c>
      <c r="E129" s="40" t="s">
        <v>138</v>
      </c>
      <c r="F129" s="6">
        <f>'Пр.4 ведом.21'!G20</f>
        <v>6.4200000000000017</v>
      </c>
    </row>
    <row r="130" spans="1:6" s="203" customFormat="1" ht="54" customHeight="1" x14ac:dyDescent="0.25">
      <c r="A130" s="25" t="s">
        <v>839</v>
      </c>
      <c r="B130" s="20" t="s">
        <v>118</v>
      </c>
      <c r="C130" s="20" t="s">
        <v>120</v>
      </c>
      <c r="D130" s="20" t="s">
        <v>862</v>
      </c>
      <c r="E130" s="20"/>
      <c r="F130" s="6">
        <f>F131</f>
        <v>320.59199999999998</v>
      </c>
    </row>
    <row r="131" spans="1:6" s="203" customFormat="1" ht="80.45" customHeight="1" x14ac:dyDescent="0.25">
      <c r="A131" s="25" t="s">
        <v>127</v>
      </c>
      <c r="B131" s="20" t="s">
        <v>118</v>
      </c>
      <c r="C131" s="20" t="s">
        <v>120</v>
      </c>
      <c r="D131" s="20" t="s">
        <v>862</v>
      </c>
      <c r="E131" s="20" t="s">
        <v>128</v>
      </c>
      <c r="F131" s="6">
        <f>F132</f>
        <v>320.59199999999998</v>
      </c>
    </row>
    <row r="132" spans="1:6" s="203" customFormat="1" ht="36" customHeight="1" x14ac:dyDescent="0.25">
      <c r="A132" s="25" t="s">
        <v>129</v>
      </c>
      <c r="B132" s="20" t="s">
        <v>118</v>
      </c>
      <c r="C132" s="20" t="s">
        <v>120</v>
      </c>
      <c r="D132" s="20" t="s">
        <v>862</v>
      </c>
      <c r="E132" s="20" t="s">
        <v>130</v>
      </c>
      <c r="F132" s="6">
        <f>'Пр.4 ведом.21'!G23+'Пр.4 ведом.21'!G126</f>
        <v>320.59199999999998</v>
      </c>
    </row>
    <row r="133" spans="1:6" s="457" customFormat="1" ht="36" customHeight="1" x14ac:dyDescent="0.25">
      <c r="A133" s="466" t="s">
        <v>1793</v>
      </c>
      <c r="B133" s="462" t="s">
        <v>118</v>
      </c>
      <c r="C133" s="462" t="s">
        <v>120</v>
      </c>
      <c r="D133" s="462" t="s">
        <v>1794</v>
      </c>
      <c r="E133" s="462"/>
      <c r="F133" s="467">
        <f>F134</f>
        <v>282.87490000000003</v>
      </c>
    </row>
    <row r="134" spans="1:6" s="457" customFormat="1" ht="78.75" x14ac:dyDescent="0.25">
      <c r="A134" s="466" t="s">
        <v>127</v>
      </c>
      <c r="B134" s="462" t="s">
        <v>118</v>
      </c>
      <c r="C134" s="462" t="s">
        <v>120</v>
      </c>
      <c r="D134" s="462" t="s">
        <v>1794</v>
      </c>
      <c r="E134" s="462" t="s">
        <v>128</v>
      </c>
      <c r="F134" s="467">
        <f>F135</f>
        <v>282.87490000000003</v>
      </c>
    </row>
    <row r="135" spans="1:6" s="457" customFormat="1" ht="36" customHeight="1" x14ac:dyDescent="0.25">
      <c r="A135" s="466" t="s">
        <v>129</v>
      </c>
      <c r="B135" s="462" t="s">
        <v>118</v>
      </c>
      <c r="C135" s="462" t="s">
        <v>120</v>
      </c>
      <c r="D135" s="462" t="s">
        <v>1794</v>
      </c>
      <c r="E135" s="462" t="s">
        <v>130</v>
      </c>
      <c r="F135" s="467">
        <f>'Пр.4 ведом.21'!G26+'Пр.4 ведом.21'!G137</f>
        <v>282.87490000000003</v>
      </c>
    </row>
    <row r="136" spans="1:6" s="457" customFormat="1" ht="36" customHeight="1" x14ac:dyDescent="0.25">
      <c r="A136" s="464" t="s">
        <v>1755</v>
      </c>
      <c r="B136" s="465" t="s">
        <v>118</v>
      </c>
      <c r="C136" s="465" t="s">
        <v>120</v>
      </c>
      <c r="D136" s="465" t="s">
        <v>1756</v>
      </c>
      <c r="E136" s="465"/>
      <c r="F136" s="458">
        <f>F137+F142+F145</f>
        <v>826.04</v>
      </c>
    </row>
    <row r="137" spans="1:6" s="457" customFormat="1" ht="31.5" x14ac:dyDescent="0.25">
      <c r="A137" s="466" t="s">
        <v>897</v>
      </c>
      <c r="B137" s="462" t="s">
        <v>118</v>
      </c>
      <c r="C137" s="462" t="s">
        <v>120</v>
      </c>
      <c r="D137" s="462" t="s">
        <v>1759</v>
      </c>
      <c r="E137" s="462"/>
      <c r="F137" s="459">
        <f>F138+F140</f>
        <v>185</v>
      </c>
    </row>
    <row r="138" spans="1:6" s="457" customFormat="1" ht="78.75" x14ac:dyDescent="0.25">
      <c r="A138" s="466" t="s">
        <v>127</v>
      </c>
      <c r="B138" s="462" t="s">
        <v>118</v>
      </c>
      <c r="C138" s="462" t="s">
        <v>120</v>
      </c>
      <c r="D138" s="462" t="s">
        <v>1759</v>
      </c>
      <c r="E138" s="462" t="s">
        <v>128</v>
      </c>
      <c r="F138" s="459">
        <f>F139</f>
        <v>161.69999999999999</v>
      </c>
    </row>
    <row r="139" spans="1:6" s="457" customFormat="1" ht="31.5" x14ac:dyDescent="0.25">
      <c r="A139" s="466" t="s">
        <v>129</v>
      </c>
      <c r="B139" s="462" t="s">
        <v>118</v>
      </c>
      <c r="C139" s="462" t="s">
        <v>120</v>
      </c>
      <c r="D139" s="462" t="s">
        <v>1759</v>
      </c>
      <c r="E139" s="462" t="s">
        <v>130</v>
      </c>
      <c r="F139" s="459">
        <f>'Пр.4 ведом.21'!G558</f>
        <v>161.69999999999999</v>
      </c>
    </row>
    <row r="140" spans="1:6" s="457" customFormat="1" ht="31.5" x14ac:dyDescent="0.25">
      <c r="A140" s="466" t="s">
        <v>198</v>
      </c>
      <c r="B140" s="462" t="s">
        <v>118</v>
      </c>
      <c r="C140" s="462" t="s">
        <v>120</v>
      </c>
      <c r="D140" s="462" t="s">
        <v>1759</v>
      </c>
      <c r="E140" s="462" t="s">
        <v>132</v>
      </c>
      <c r="F140" s="459">
        <f>F141</f>
        <v>23.3</v>
      </c>
    </row>
    <row r="141" spans="1:6" s="457" customFormat="1" ht="31.5" x14ac:dyDescent="0.25">
      <c r="A141" s="466" t="s">
        <v>133</v>
      </c>
      <c r="B141" s="462" t="s">
        <v>118</v>
      </c>
      <c r="C141" s="462" t="s">
        <v>120</v>
      </c>
      <c r="D141" s="462" t="s">
        <v>1759</v>
      </c>
      <c r="E141" s="462" t="s">
        <v>134</v>
      </c>
      <c r="F141" s="459">
        <f>'Пр.4 ведом.21'!G560</f>
        <v>23.3</v>
      </c>
    </row>
    <row r="142" spans="1:6" s="457" customFormat="1" ht="47.25" x14ac:dyDescent="0.25">
      <c r="A142" s="466" t="s">
        <v>1757</v>
      </c>
      <c r="B142" s="462" t="s">
        <v>118</v>
      </c>
      <c r="C142" s="462" t="s">
        <v>120</v>
      </c>
      <c r="D142" s="462" t="s">
        <v>1758</v>
      </c>
      <c r="E142" s="462"/>
      <c r="F142" s="459">
        <f>F143</f>
        <v>549.9</v>
      </c>
    </row>
    <row r="143" spans="1:6" s="457" customFormat="1" ht="78.75" x14ac:dyDescent="0.25">
      <c r="A143" s="466" t="s">
        <v>127</v>
      </c>
      <c r="B143" s="462" t="s">
        <v>118</v>
      </c>
      <c r="C143" s="462" t="s">
        <v>120</v>
      </c>
      <c r="D143" s="462" t="s">
        <v>1758</v>
      </c>
      <c r="E143" s="462" t="s">
        <v>128</v>
      </c>
      <c r="F143" s="459">
        <f>F144</f>
        <v>549.9</v>
      </c>
    </row>
    <row r="144" spans="1:6" s="457" customFormat="1" ht="31.5" x14ac:dyDescent="0.25">
      <c r="A144" s="466" t="s">
        <v>129</v>
      </c>
      <c r="B144" s="462" t="s">
        <v>118</v>
      </c>
      <c r="C144" s="462" t="s">
        <v>120</v>
      </c>
      <c r="D144" s="462" t="s">
        <v>1758</v>
      </c>
      <c r="E144" s="462" t="s">
        <v>130</v>
      </c>
      <c r="F144" s="459">
        <f>'Пр.4 ведом.21'!G563</f>
        <v>549.9</v>
      </c>
    </row>
    <row r="145" spans="1:6" s="457" customFormat="1" ht="31.5" x14ac:dyDescent="0.25">
      <c r="A145" s="466" t="s">
        <v>1793</v>
      </c>
      <c r="B145" s="462" t="s">
        <v>118</v>
      </c>
      <c r="C145" s="462" t="s">
        <v>120</v>
      </c>
      <c r="D145" s="462" t="s">
        <v>1798</v>
      </c>
      <c r="E145" s="462"/>
      <c r="F145" s="459">
        <f>F146</f>
        <v>91.14</v>
      </c>
    </row>
    <row r="146" spans="1:6" s="457" customFormat="1" ht="78.75" x14ac:dyDescent="0.25">
      <c r="A146" s="466" t="s">
        <v>127</v>
      </c>
      <c r="B146" s="462" t="s">
        <v>118</v>
      </c>
      <c r="C146" s="462" t="s">
        <v>120</v>
      </c>
      <c r="D146" s="462" t="s">
        <v>1798</v>
      </c>
      <c r="E146" s="462" t="s">
        <v>128</v>
      </c>
      <c r="F146" s="459">
        <f>F147</f>
        <v>91.14</v>
      </c>
    </row>
    <row r="147" spans="1:6" s="457" customFormat="1" ht="31.5" x14ac:dyDescent="0.25">
      <c r="A147" s="466" t="s">
        <v>129</v>
      </c>
      <c r="B147" s="462" t="s">
        <v>118</v>
      </c>
      <c r="C147" s="462" t="s">
        <v>120</v>
      </c>
      <c r="D147" s="462" t="s">
        <v>1798</v>
      </c>
      <c r="E147" s="462" t="s">
        <v>130</v>
      </c>
      <c r="F147" s="459">
        <f>'Пр.4 ведом.21'!G566</f>
        <v>91.14</v>
      </c>
    </row>
    <row r="148" spans="1:6" s="203" customFormat="1" ht="20.25" hidden="1" customHeight="1" x14ac:dyDescent="0.25">
      <c r="A148" s="23" t="s">
        <v>1152</v>
      </c>
      <c r="B148" s="24" t="s">
        <v>118</v>
      </c>
      <c r="C148" s="24" t="s">
        <v>264</v>
      </c>
      <c r="D148" s="24"/>
      <c r="E148" s="20"/>
      <c r="F148" s="21">
        <f>F149</f>
        <v>0</v>
      </c>
    </row>
    <row r="149" spans="1:6" s="203" customFormat="1" ht="23.25" hidden="1" customHeight="1" x14ac:dyDescent="0.25">
      <c r="A149" s="23" t="s">
        <v>141</v>
      </c>
      <c r="B149" s="24" t="s">
        <v>118</v>
      </c>
      <c r="C149" s="24" t="s">
        <v>264</v>
      </c>
      <c r="D149" s="24" t="s">
        <v>866</v>
      </c>
      <c r="E149" s="20"/>
      <c r="F149" s="21">
        <f>F150</f>
        <v>0</v>
      </c>
    </row>
    <row r="150" spans="1:6" s="203" customFormat="1" ht="36" hidden="1" customHeight="1" x14ac:dyDescent="0.25">
      <c r="A150" s="23" t="s">
        <v>870</v>
      </c>
      <c r="B150" s="24" t="s">
        <v>118</v>
      </c>
      <c r="C150" s="24" t="s">
        <v>264</v>
      </c>
      <c r="D150" s="24" t="s">
        <v>865</v>
      </c>
      <c r="E150" s="20"/>
      <c r="F150" s="21">
        <f>F151</f>
        <v>0</v>
      </c>
    </row>
    <row r="151" spans="1:6" s="203" customFormat="1" ht="24" hidden="1" customHeight="1" x14ac:dyDescent="0.25">
      <c r="A151" s="45" t="s">
        <v>199</v>
      </c>
      <c r="B151" s="20" t="s">
        <v>118</v>
      </c>
      <c r="C151" s="20" t="s">
        <v>264</v>
      </c>
      <c r="D151" s="20" t="s">
        <v>1151</v>
      </c>
      <c r="E151" s="20"/>
      <c r="F151" s="26">
        <f>F152+F154</f>
        <v>0</v>
      </c>
    </row>
    <row r="152" spans="1:6" s="203" customFormat="1" ht="78.75" hidden="1" customHeight="1" x14ac:dyDescent="0.25">
      <c r="A152" s="25" t="s">
        <v>127</v>
      </c>
      <c r="B152" s="20" t="s">
        <v>118</v>
      </c>
      <c r="C152" s="20" t="s">
        <v>264</v>
      </c>
      <c r="D152" s="20" t="s">
        <v>1151</v>
      </c>
      <c r="E152" s="20" t="s">
        <v>128</v>
      </c>
      <c r="F152" s="26">
        <f>F153</f>
        <v>0</v>
      </c>
    </row>
    <row r="153" spans="1:6" s="203" customFormat="1" ht="36" hidden="1" customHeight="1" x14ac:dyDescent="0.25">
      <c r="A153" s="25" t="s">
        <v>129</v>
      </c>
      <c r="B153" s="20" t="s">
        <v>118</v>
      </c>
      <c r="C153" s="20" t="s">
        <v>264</v>
      </c>
      <c r="D153" s="20" t="s">
        <v>1151</v>
      </c>
      <c r="E153" s="20" t="s">
        <v>130</v>
      </c>
      <c r="F153" s="26">
        <f>'Пр.4 ведом.21'!G132</f>
        <v>0</v>
      </c>
    </row>
    <row r="154" spans="1:6" s="203" customFormat="1" ht="36" hidden="1" customHeight="1" x14ac:dyDescent="0.25">
      <c r="A154" s="25" t="s">
        <v>198</v>
      </c>
      <c r="B154" s="20" t="s">
        <v>118</v>
      </c>
      <c r="C154" s="20" t="s">
        <v>264</v>
      </c>
      <c r="D154" s="20" t="s">
        <v>1151</v>
      </c>
      <c r="E154" s="20" t="s">
        <v>132</v>
      </c>
      <c r="F154" s="26">
        <f>F155</f>
        <v>0</v>
      </c>
    </row>
    <row r="155" spans="1:6" s="203" customFormat="1" ht="36" hidden="1" customHeight="1" x14ac:dyDescent="0.25">
      <c r="A155" s="25" t="s">
        <v>133</v>
      </c>
      <c r="B155" s="20" t="s">
        <v>118</v>
      </c>
      <c r="C155" s="20" t="s">
        <v>264</v>
      </c>
      <c r="D155" s="20" t="s">
        <v>1151</v>
      </c>
      <c r="E155" s="20" t="s">
        <v>134</v>
      </c>
      <c r="F155" s="26">
        <f>'Пр.4 ведом.21'!G134</f>
        <v>0</v>
      </c>
    </row>
    <row r="156" spans="1:6" s="203" customFormat="1" ht="22.7" customHeight="1" x14ac:dyDescent="0.25">
      <c r="A156" s="23" t="s">
        <v>1411</v>
      </c>
      <c r="B156" s="24" t="s">
        <v>118</v>
      </c>
      <c r="C156" s="24" t="s">
        <v>491</v>
      </c>
      <c r="D156" s="24"/>
      <c r="E156" s="24"/>
      <c r="F156" s="21">
        <f>F157</f>
        <v>50</v>
      </c>
    </row>
    <row r="157" spans="1:6" s="203" customFormat="1" ht="18.399999999999999" customHeight="1" x14ac:dyDescent="0.25">
      <c r="A157" s="23" t="s">
        <v>141</v>
      </c>
      <c r="B157" s="24" t="s">
        <v>118</v>
      </c>
      <c r="C157" s="24" t="s">
        <v>491</v>
      </c>
      <c r="D157" s="24" t="s">
        <v>866</v>
      </c>
      <c r="E157" s="24"/>
      <c r="F157" s="21">
        <f t="shared" ref="F157:F159" si="21">F158</f>
        <v>50</v>
      </c>
    </row>
    <row r="158" spans="1:6" s="203" customFormat="1" ht="36" customHeight="1" x14ac:dyDescent="0.25">
      <c r="A158" s="23" t="s">
        <v>870</v>
      </c>
      <c r="B158" s="24" t="s">
        <v>118</v>
      </c>
      <c r="C158" s="24" t="s">
        <v>491</v>
      </c>
      <c r="D158" s="24" t="s">
        <v>865</v>
      </c>
      <c r="E158" s="24"/>
      <c r="F158" s="21">
        <f t="shared" si="21"/>
        <v>50</v>
      </c>
    </row>
    <row r="159" spans="1:6" s="203" customFormat="1" ht="16.350000000000001" customHeight="1" x14ac:dyDescent="0.25">
      <c r="A159" s="25" t="s">
        <v>1142</v>
      </c>
      <c r="B159" s="20" t="s">
        <v>118</v>
      </c>
      <c r="C159" s="20" t="s">
        <v>491</v>
      </c>
      <c r="D159" s="20" t="s">
        <v>1143</v>
      </c>
      <c r="E159" s="20"/>
      <c r="F159" s="26">
        <f t="shared" si="21"/>
        <v>50</v>
      </c>
    </row>
    <row r="160" spans="1:6" s="203" customFormat="1" ht="23.85" customHeight="1" x14ac:dyDescent="0.25">
      <c r="A160" s="25" t="s">
        <v>135</v>
      </c>
      <c r="B160" s="20" t="s">
        <v>118</v>
      </c>
      <c r="C160" s="20" t="s">
        <v>491</v>
      </c>
      <c r="D160" s="20" t="s">
        <v>1143</v>
      </c>
      <c r="E160" s="20" t="s">
        <v>145</v>
      </c>
      <c r="F160" s="26">
        <f>F161</f>
        <v>50</v>
      </c>
    </row>
    <row r="161" spans="1:10" s="203" customFormat="1" ht="19.7" customHeight="1" x14ac:dyDescent="0.25">
      <c r="A161" s="25" t="s">
        <v>1142</v>
      </c>
      <c r="B161" s="20" t="s">
        <v>118</v>
      </c>
      <c r="C161" s="20" t="s">
        <v>491</v>
      </c>
      <c r="D161" s="20" t="s">
        <v>1143</v>
      </c>
      <c r="E161" s="20" t="s">
        <v>1144</v>
      </c>
      <c r="F161" s="26">
        <f>'Пр.4 ведом.21'!G32</f>
        <v>50</v>
      </c>
    </row>
    <row r="162" spans="1:10" ht="15.75" x14ac:dyDescent="0.25">
      <c r="A162" s="41" t="s">
        <v>139</v>
      </c>
      <c r="B162" s="7" t="s">
        <v>118</v>
      </c>
      <c r="C162" s="7" t="s">
        <v>140</v>
      </c>
      <c r="D162" s="7"/>
      <c r="E162" s="7"/>
      <c r="F162" s="4">
        <f>F163+F202+F211+F228+F237+F242+F247</f>
        <v>77967.301229999983</v>
      </c>
      <c r="H162" s="22"/>
      <c r="J162" s="22"/>
    </row>
    <row r="163" spans="1:10" s="203" customFormat="1" ht="15.75" x14ac:dyDescent="0.25">
      <c r="A163" s="23" t="s">
        <v>141</v>
      </c>
      <c r="B163" s="24" t="s">
        <v>118</v>
      </c>
      <c r="C163" s="24" t="s">
        <v>140</v>
      </c>
      <c r="D163" s="24" t="s">
        <v>866</v>
      </c>
      <c r="E163" s="24"/>
      <c r="F163" s="4">
        <f>F164+F181+F190</f>
        <v>76588.581229999982</v>
      </c>
      <c r="H163" s="22"/>
      <c r="J163" s="22"/>
    </row>
    <row r="164" spans="1:10" s="203" customFormat="1" ht="15.75" x14ac:dyDescent="0.25">
      <c r="A164" s="23" t="s">
        <v>954</v>
      </c>
      <c r="B164" s="24" t="s">
        <v>118</v>
      </c>
      <c r="C164" s="24" t="s">
        <v>140</v>
      </c>
      <c r="D164" s="24" t="s">
        <v>953</v>
      </c>
      <c r="E164" s="24"/>
      <c r="F164" s="380">
        <f>F168+F165+F178</f>
        <v>52712.478999999992</v>
      </c>
      <c r="H164" s="22"/>
      <c r="J164" s="22"/>
    </row>
    <row r="165" spans="1:10" s="203" customFormat="1" ht="47.25" x14ac:dyDescent="0.25">
      <c r="A165" s="25" t="s">
        <v>839</v>
      </c>
      <c r="B165" s="20" t="s">
        <v>118</v>
      </c>
      <c r="C165" s="20" t="s">
        <v>140</v>
      </c>
      <c r="D165" s="20" t="s">
        <v>956</v>
      </c>
      <c r="E165" s="20"/>
      <c r="F165" s="6">
        <f>F166</f>
        <v>522.5</v>
      </c>
      <c r="H165" s="22"/>
      <c r="J165" s="22"/>
    </row>
    <row r="166" spans="1:10" s="203" customFormat="1" ht="78.75" x14ac:dyDescent="0.25">
      <c r="A166" s="25" t="s">
        <v>127</v>
      </c>
      <c r="B166" s="20" t="s">
        <v>118</v>
      </c>
      <c r="C166" s="20" t="s">
        <v>140</v>
      </c>
      <c r="D166" s="20" t="s">
        <v>956</v>
      </c>
      <c r="E166" s="20" t="s">
        <v>128</v>
      </c>
      <c r="F166" s="6">
        <f>F167</f>
        <v>522.5</v>
      </c>
      <c r="H166" s="22"/>
      <c r="J166" s="22"/>
    </row>
    <row r="167" spans="1:10" s="203" customFormat="1" ht="31.5" x14ac:dyDescent="0.25">
      <c r="A167" s="25" t="s">
        <v>129</v>
      </c>
      <c r="B167" s="20" t="s">
        <v>118</v>
      </c>
      <c r="C167" s="20" t="s">
        <v>140</v>
      </c>
      <c r="D167" s="20" t="s">
        <v>956</v>
      </c>
      <c r="E167" s="20" t="s">
        <v>209</v>
      </c>
      <c r="F167" s="6">
        <f>'Пр.4 ведом.21'!G965</f>
        <v>522.5</v>
      </c>
      <c r="H167" s="22"/>
      <c r="J167" s="22"/>
    </row>
    <row r="168" spans="1:10" s="203" customFormat="1" ht="15.75" x14ac:dyDescent="0.25">
      <c r="A168" s="25" t="s">
        <v>801</v>
      </c>
      <c r="B168" s="20" t="s">
        <v>118</v>
      </c>
      <c r="C168" s="20" t="s">
        <v>140</v>
      </c>
      <c r="D168" s="20" t="s">
        <v>955</v>
      </c>
      <c r="E168" s="20"/>
      <c r="F168" s="378">
        <f>F169+F171+F175+F173</f>
        <v>51363.028999999995</v>
      </c>
      <c r="H168" s="22"/>
      <c r="J168" s="22"/>
    </row>
    <row r="169" spans="1:10" s="203" customFormat="1" ht="78.75" x14ac:dyDescent="0.25">
      <c r="A169" s="25" t="s">
        <v>127</v>
      </c>
      <c r="B169" s="20" t="s">
        <v>118</v>
      </c>
      <c r="C169" s="20" t="s">
        <v>140</v>
      </c>
      <c r="D169" s="20" t="s">
        <v>955</v>
      </c>
      <c r="E169" s="20" t="s">
        <v>128</v>
      </c>
      <c r="F169" s="378">
        <f t="shared" ref="F169" si="22">F170</f>
        <v>35232.398999999998</v>
      </c>
      <c r="H169" s="22"/>
      <c r="J169" s="22"/>
    </row>
    <row r="170" spans="1:10" s="203" customFormat="1" ht="20.25" customHeight="1" x14ac:dyDescent="0.25">
      <c r="A170" s="46" t="s">
        <v>342</v>
      </c>
      <c r="B170" s="20" t="s">
        <v>118</v>
      </c>
      <c r="C170" s="20" t="s">
        <v>140</v>
      </c>
      <c r="D170" s="20" t="s">
        <v>955</v>
      </c>
      <c r="E170" s="20" t="s">
        <v>209</v>
      </c>
      <c r="F170" s="378">
        <f>'Пр.4 ведом.21'!G968</f>
        <v>35232.398999999998</v>
      </c>
      <c r="H170" s="22"/>
      <c r="J170" s="22"/>
    </row>
    <row r="171" spans="1:10" s="203" customFormat="1" ht="31.5" x14ac:dyDescent="0.25">
      <c r="A171" s="25" t="s">
        <v>131</v>
      </c>
      <c r="B171" s="20" t="s">
        <v>118</v>
      </c>
      <c r="C171" s="20" t="s">
        <v>140</v>
      </c>
      <c r="D171" s="20" t="s">
        <v>955</v>
      </c>
      <c r="E171" s="20" t="s">
        <v>132</v>
      </c>
      <c r="F171" s="378">
        <f t="shared" ref="F171" si="23">F172</f>
        <v>15566.430000000002</v>
      </c>
      <c r="H171" s="22"/>
      <c r="J171" s="22"/>
    </row>
    <row r="172" spans="1:10" s="203" customFormat="1" ht="31.5" x14ac:dyDescent="0.25">
      <c r="A172" s="25" t="s">
        <v>133</v>
      </c>
      <c r="B172" s="20" t="s">
        <v>118</v>
      </c>
      <c r="C172" s="20" t="s">
        <v>140</v>
      </c>
      <c r="D172" s="20" t="s">
        <v>955</v>
      </c>
      <c r="E172" s="20" t="s">
        <v>134</v>
      </c>
      <c r="F172" s="378">
        <f>'Пр.4 ведом.21'!G970</f>
        <v>15566.430000000002</v>
      </c>
      <c r="H172" s="22"/>
      <c r="J172" s="22"/>
    </row>
    <row r="173" spans="1:10" s="457" customFormat="1" ht="31.5" x14ac:dyDescent="0.25">
      <c r="A173" s="466" t="s">
        <v>248</v>
      </c>
      <c r="B173" s="462" t="s">
        <v>118</v>
      </c>
      <c r="C173" s="462" t="s">
        <v>140</v>
      </c>
      <c r="D173" s="462" t="s">
        <v>955</v>
      </c>
      <c r="E173" s="462" t="s">
        <v>249</v>
      </c>
      <c r="F173" s="378">
        <f>F174</f>
        <v>11</v>
      </c>
      <c r="H173" s="22"/>
      <c r="J173" s="22"/>
    </row>
    <row r="174" spans="1:10" s="457" customFormat="1" ht="31.5" x14ac:dyDescent="0.25">
      <c r="A174" s="466" t="s">
        <v>250</v>
      </c>
      <c r="B174" s="462" t="s">
        <v>118</v>
      </c>
      <c r="C174" s="462" t="s">
        <v>140</v>
      </c>
      <c r="D174" s="462" t="s">
        <v>955</v>
      </c>
      <c r="E174" s="462" t="s">
        <v>251</v>
      </c>
      <c r="F174" s="378">
        <f>'Пр.4 ведом.21'!G972</f>
        <v>11</v>
      </c>
      <c r="H174" s="22"/>
      <c r="J174" s="22"/>
    </row>
    <row r="175" spans="1:10" s="203" customFormat="1" ht="15.75" x14ac:dyDescent="0.25">
      <c r="A175" s="25" t="s">
        <v>135</v>
      </c>
      <c r="B175" s="20" t="s">
        <v>118</v>
      </c>
      <c r="C175" s="20" t="s">
        <v>140</v>
      </c>
      <c r="D175" s="20" t="s">
        <v>955</v>
      </c>
      <c r="E175" s="20" t="s">
        <v>145</v>
      </c>
      <c r="F175" s="378">
        <f>F176+F177</f>
        <v>553.19999999999993</v>
      </c>
      <c r="H175" s="22"/>
      <c r="J175" s="22"/>
    </row>
    <row r="176" spans="1:10" s="457" customFormat="1" ht="15.75" x14ac:dyDescent="0.25">
      <c r="A176" s="466" t="s">
        <v>146</v>
      </c>
      <c r="B176" s="462" t="s">
        <v>118</v>
      </c>
      <c r="C176" s="462" t="s">
        <v>140</v>
      </c>
      <c r="D176" s="462" t="s">
        <v>955</v>
      </c>
      <c r="E176" s="462" t="s">
        <v>147</v>
      </c>
      <c r="F176" s="378">
        <f>'Пр.4 ведом.21'!G974</f>
        <v>10</v>
      </c>
      <c r="H176" s="22"/>
      <c r="J176" s="22"/>
    </row>
    <row r="177" spans="1:10" s="203" customFormat="1" ht="15.75" x14ac:dyDescent="0.25">
      <c r="A177" s="25" t="s">
        <v>704</v>
      </c>
      <c r="B177" s="20" t="s">
        <v>118</v>
      </c>
      <c r="C177" s="20" t="s">
        <v>140</v>
      </c>
      <c r="D177" s="20" t="s">
        <v>955</v>
      </c>
      <c r="E177" s="20" t="s">
        <v>138</v>
      </c>
      <c r="F177" s="378">
        <f>'Пр.4 ведом.21'!G975</f>
        <v>543.19999999999993</v>
      </c>
      <c r="H177" s="22"/>
      <c r="J177" s="22"/>
    </row>
    <row r="178" spans="1:10" s="457" customFormat="1" ht="47.25" x14ac:dyDescent="0.25">
      <c r="A178" s="466" t="s">
        <v>1776</v>
      </c>
      <c r="B178" s="462" t="s">
        <v>118</v>
      </c>
      <c r="C178" s="462" t="s">
        <v>140</v>
      </c>
      <c r="D178" s="462" t="s">
        <v>1792</v>
      </c>
      <c r="E178" s="462"/>
      <c r="F178" s="378">
        <f>F179</f>
        <v>826.95</v>
      </c>
      <c r="H178" s="22"/>
      <c r="J178" s="22"/>
    </row>
    <row r="179" spans="1:10" s="457" customFormat="1" ht="78.75" x14ac:dyDescent="0.25">
      <c r="A179" s="466" t="s">
        <v>127</v>
      </c>
      <c r="B179" s="462" t="s">
        <v>118</v>
      </c>
      <c r="C179" s="462" t="s">
        <v>140</v>
      </c>
      <c r="D179" s="462" t="s">
        <v>1792</v>
      </c>
      <c r="E179" s="462" t="s">
        <v>128</v>
      </c>
      <c r="F179" s="378">
        <f>F180</f>
        <v>826.95</v>
      </c>
      <c r="H179" s="22"/>
      <c r="J179" s="22"/>
    </row>
    <row r="180" spans="1:10" s="457" customFormat="1" ht="31.5" x14ac:dyDescent="0.25">
      <c r="A180" s="46" t="s">
        <v>342</v>
      </c>
      <c r="B180" s="462" t="s">
        <v>118</v>
      </c>
      <c r="C180" s="462" t="s">
        <v>140</v>
      </c>
      <c r="D180" s="462" t="s">
        <v>1792</v>
      </c>
      <c r="E180" s="462" t="s">
        <v>209</v>
      </c>
      <c r="F180" s="378">
        <f>'Пр.4 ведом.21'!G978</f>
        <v>826.95</v>
      </c>
      <c r="H180" s="22"/>
      <c r="J180" s="22"/>
    </row>
    <row r="181" spans="1:10" s="203" customFormat="1" ht="31.5" x14ac:dyDescent="0.25">
      <c r="A181" s="23" t="s">
        <v>870</v>
      </c>
      <c r="B181" s="24" t="s">
        <v>118</v>
      </c>
      <c r="C181" s="24" t="s">
        <v>140</v>
      </c>
      <c r="D181" s="24" t="s">
        <v>865</v>
      </c>
      <c r="E181" s="24"/>
      <c r="F181" s="4">
        <f>F182+F187</f>
        <v>17423.2</v>
      </c>
      <c r="H181" s="22"/>
      <c r="J181" s="22"/>
    </row>
    <row r="182" spans="1:10" s="203" customFormat="1" ht="47.25" x14ac:dyDescent="0.25">
      <c r="A182" s="25" t="s">
        <v>388</v>
      </c>
      <c r="B182" s="20" t="s">
        <v>118</v>
      </c>
      <c r="C182" s="20" t="s">
        <v>140</v>
      </c>
      <c r="D182" s="20" t="s">
        <v>1011</v>
      </c>
      <c r="E182" s="20"/>
      <c r="F182" s="6">
        <f>F183+F185</f>
        <v>12423.2</v>
      </c>
      <c r="H182" s="22"/>
      <c r="J182" s="22"/>
    </row>
    <row r="183" spans="1:10" s="203" customFormat="1" ht="31.5" x14ac:dyDescent="0.25">
      <c r="A183" s="25" t="s">
        <v>131</v>
      </c>
      <c r="B183" s="20" t="s">
        <v>118</v>
      </c>
      <c r="C183" s="20" t="s">
        <v>140</v>
      </c>
      <c r="D183" s="20" t="s">
        <v>1011</v>
      </c>
      <c r="E183" s="20" t="s">
        <v>132</v>
      </c>
      <c r="F183" s="6">
        <f>F184</f>
        <v>6068.8000000000011</v>
      </c>
      <c r="H183" s="22"/>
      <c r="J183" s="22"/>
    </row>
    <row r="184" spans="1:10" s="203" customFormat="1" ht="31.5" x14ac:dyDescent="0.25">
      <c r="A184" s="25" t="s">
        <v>133</v>
      </c>
      <c r="B184" s="20" t="s">
        <v>118</v>
      </c>
      <c r="C184" s="20" t="s">
        <v>140</v>
      </c>
      <c r="D184" s="20" t="s">
        <v>1011</v>
      </c>
      <c r="E184" s="20" t="s">
        <v>134</v>
      </c>
      <c r="F184" s="6">
        <f>'Пр.4 ведом.21'!G594</f>
        <v>6068.8000000000011</v>
      </c>
      <c r="H184" s="22"/>
      <c r="J184" s="22"/>
    </row>
    <row r="185" spans="1:10" s="457" customFormat="1" ht="15.75" x14ac:dyDescent="0.25">
      <c r="A185" s="466" t="s">
        <v>135</v>
      </c>
      <c r="B185" s="462" t="s">
        <v>118</v>
      </c>
      <c r="C185" s="462" t="s">
        <v>140</v>
      </c>
      <c r="D185" s="462" t="s">
        <v>1011</v>
      </c>
      <c r="E185" s="462" t="s">
        <v>145</v>
      </c>
      <c r="F185" s="459">
        <f>F186</f>
        <v>6354.4</v>
      </c>
      <c r="H185" s="22"/>
      <c r="J185" s="22"/>
    </row>
    <row r="186" spans="1:10" s="457" customFormat="1" ht="47.25" x14ac:dyDescent="0.25">
      <c r="A186" s="466" t="s">
        <v>836</v>
      </c>
      <c r="B186" s="462" t="s">
        <v>118</v>
      </c>
      <c r="C186" s="462" t="s">
        <v>140</v>
      </c>
      <c r="D186" s="462" t="s">
        <v>1011</v>
      </c>
      <c r="E186" s="462" t="s">
        <v>147</v>
      </c>
      <c r="F186" s="459">
        <f>'Пр.4 ведом.21'!G596</f>
        <v>6354.4</v>
      </c>
      <c r="H186" s="22"/>
      <c r="J186" s="22"/>
    </row>
    <row r="187" spans="1:10" s="203" customFormat="1" ht="15.75" x14ac:dyDescent="0.25">
      <c r="A187" s="466" t="s">
        <v>199</v>
      </c>
      <c r="B187" s="20" t="s">
        <v>118</v>
      </c>
      <c r="C187" s="20" t="s">
        <v>140</v>
      </c>
      <c r="D187" s="462" t="s">
        <v>1151</v>
      </c>
      <c r="E187" s="462"/>
      <c r="F187" s="6">
        <f>F188</f>
        <v>5000</v>
      </c>
      <c r="H187" s="22"/>
      <c r="J187" s="22"/>
    </row>
    <row r="188" spans="1:10" s="203" customFormat="1" ht="15.75" x14ac:dyDescent="0.25">
      <c r="A188" s="466" t="s">
        <v>135</v>
      </c>
      <c r="B188" s="20" t="s">
        <v>118</v>
      </c>
      <c r="C188" s="20" t="s">
        <v>140</v>
      </c>
      <c r="D188" s="462" t="s">
        <v>1151</v>
      </c>
      <c r="E188" s="462" t="s">
        <v>145</v>
      </c>
      <c r="F188" s="6">
        <f>F189</f>
        <v>5000</v>
      </c>
      <c r="H188" s="22"/>
      <c r="J188" s="22"/>
    </row>
    <row r="189" spans="1:10" s="203" customFormat="1" ht="15.75" x14ac:dyDescent="0.25">
      <c r="A189" s="466" t="s">
        <v>568</v>
      </c>
      <c r="B189" s="20" t="s">
        <v>118</v>
      </c>
      <c r="C189" s="20" t="s">
        <v>140</v>
      </c>
      <c r="D189" s="462" t="s">
        <v>1151</v>
      </c>
      <c r="E189" s="462" t="s">
        <v>138</v>
      </c>
      <c r="F189" s="6">
        <f>'Пр.4 ведом.21'!G143</f>
        <v>5000</v>
      </c>
      <c r="H189" s="22"/>
      <c r="J189" s="22"/>
    </row>
    <row r="190" spans="1:10" s="203" customFormat="1" ht="31.5" x14ac:dyDescent="0.25">
      <c r="A190" s="23" t="s">
        <v>922</v>
      </c>
      <c r="B190" s="24" t="s">
        <v>118</v>
      </c>
      <c r="C190" s="24" t="s">
        <v>140</v>
      </c>
      <c r="D190" s="24" t="s">
        <v>867</v>
      </c>
      <c r="E190" s="24"/>
      <c r="F190" s="4">
        <f>F191+F196+F199</f>
        <v>6452.9022299999997</v>
      </c>
      <c r="H190" s="22"/>
      <c r="J190" s="22"/>
    </row>
    <row r="191" spans="1:10" s="203" customFormat="1" ht="31.5" x14ac:dyDescent="0.25">
      <c r="A191" s="25" t="s">
        <v>928</v>
      </c>
      <c r="B191" s="20" t="s">
        <v>118</v>
      </c>
      <c r="C191" s="20" t="s">
        <v>140</v>
      </c>
      <c r="D191" s="20" t="s">
        <v>868</v>
      </c>
      <c r="E191" s="20"/>
      <c r="F191" s="6">
        <f>F192+F194</f>
        <v>6024.4852300000002</v>
      </c>
      <c r="G191" s="231">
        <f>F191+F196</f>
        <v>6355.8452299999999</v>
      </c>
      <c r="H191" s="22"/>
      <c r="J191" s="22"/>
    </row>
    <row r="192" spans="1:10" s="203" customFormat="1" ht="78.75" x14ac:dyDescent="0.25">
      <c r="A192" s="25" t="s">
        <v>127</v>
      </c>
      <c r="B192" s="20" t="s">
        <v>118</v>
      </c>
      <c r="C192" s="20" t="s">
        <v>140</v>
      </c>
      <c r="D192" s="20" t="s">
        <v>868</v>
      </c>
      <c r="E192" s="20" t="s">
        <v>128</v>
      </c>
      <c r="F192" s="6">
        <f>F193</f>
        <v>4401</v>
      </c>
      <c r="H192" s="22"/>
      <c r="J192" s="22"/>
    </row>
    <row r="193" spans="1:10" s="203" customFormat="1" ht="15.75" x14ac:dyDescent="0.25">
      <c r="A193" s="25" t="s">
        <v>208</v>
      </c>
      <c r="B193" s="20" t="s">
        <v>118</v>
      </c>
      <c r="C193" s="20" t="s">
        <v>140</v>
      </c>
      <c r="D193" s="20" t="s">
        <v>868</v>
      </c>
      <c r="E193" s="20" t="s">
        <v>209</v>
      </c>
      <c r="F193" s="6">
        <f>'Пр.4 ведом.21'!G147</f>
        <v>4401</v>
      </c>
      <c r="H193" s="22"/>
      <c r="J193" s="22"/>
    </row>
    <row r="194" spans="1:10" s="203" customFormat="1" ht="31.5" x14ac:dyDescent="0.25">
      <c r="A194" s="25" t="s">
        <v>198</v>
      </c>
      <c r="B194" s="20" t="s">
        <v>118</v>
      </c>
      <c r="C194" s="20" t="s">
        <v>140</v>
      </c>
      <c r="D194" s="20" t="s">
        <v>868</v>
      </c>
      <c r="E194" s="20" t="s">
        <v>132</v>
      </c>
      <c r="F194" s="6">
        <f>F195</f>
        <v>1623.4852299999998</v>
      </c>
      <c r="H194" s="22"/>
      <c r="J194" s="22"/>
    </row>
    <row r="195" spans="1:10" s="203" customFormat="1" ht="31.5" x14ac:dyDescent="0.25">
      <c r="A195" s="25" t="s">
        <v>133</v>
      </c>
      <c r="B195" s="20" t="s">
        <v>118</v>
      </c>
      <c r="C195" s="20" t="s">
        <v>140</v>
      </c>
      <c r="D195" s="20" t="s">
        <v>868</v>
      </c>
      <c r="E195" s="20" t="s">
        <v>134</v>
      </c>
      <c r="F195" s="6">
        <f>'Пр.4 ведом.21'!G149</f>
        <v>1623.4852299999998</v>
      </c>
      <c r="H195" s="22"/>
      <c r="J195" s="22"/>
    </row>
    <row r="196" spans="1:10" s="203" customFormat="1" ht="47.25" x14ac:dyDescent="0.25">
      <c r="A196" s="25" t="s">
        <v>839</v>
      </c>
      <c r="B196" s="20" t="s">
        <v>118</v>
      </c>
      <c r="C196" s="20" t="s">
        <v>140</v>
      </c>
      <c r="D196" s="20" t="s">
        <v>869</v>
      </c>
      <c r="E196" s="20"/>
      <c r="F196" s="6">
        <f>F197</f>
        <v>331.36</v>
      </c>
      <c r="H196" s="22"/>
      <c r="J196" s="22"/>
    </row>
    <row r="197" spans="1:10" s="203" customFormat="1" ht="78.75" x14ac:dyDescent="0.25">
      <c r="A197" s="25" t="s">
        <v>127</v>
      </c>
      <c r="B197" s="20" t="s">
        <v>118</v>
      </c>
      <c r="C197" s="20" t="s">
        <v>140</v>
      </c>
      <c r="D197" s="20" t="s">
        <v>869</v>
      </c>
      <c r="E197" s="20" t="s">
        <v>128</v>
      </c>
      <c r="F197" s="6">
        <f>F198</f>
        <v>331.36</v>
      </c>
      <c r="H197" s="22"/>
      <c r="J197" s="22"/>
    </row>
    <row r="198" spans="1:10" s="203" customFormat="1" ht="31.5" x14ac:dyDescent="0.25">
      <c r="A198" s="25" t="s">
        <v>129</v>
      </c>
      <c r="B198" s="20" t="s">
        <v>118</v>
      </c>
      <c r="C198" s="20" t="s">
        <v>140</v>
      </c>
      <c r="D198" s="20" t="s">
        <v>869</v>
      </c>
      <c r="E198" s="20" t="s">
        <v>130</v>
      </c>
      <c r="F198" s="6">
        <f>'Пр.4 ведом.21'!G152</f>
        <v>331.36</v>
      </c>
      <c r="H198" s="22"/>
      <c r="J198" s="22"/>
    </row>
    <row r="199" spans="1:10" s="457" customFormat="1" ht="31.5" x14ac:dyDescent="0.25">
      <c r="A199" s="466" t="s">
        <v>1793</v>
      </c>
      <c r="B199" s="462" t="s">
        <v>118</v>
      </c>
      <c r="C199" s="462" t="s">
        <v>140</v>
      </c>
      <c r="D199" s="462" t="s">
        <v>1795</v>
      </c>
      <c r="E199" s="462"/>
      <c r="F199" s="459">
        <f>F200</f>
        <v>97.057000000000002</v>
      </c>
      <c r="H199" s="22"/>
      <c r="J199" s="22"/>
    </row>
    <row r="200" spans="1:10" s="457" customFormat="1" ht="78.75" x14ac:dyDescent="0.25">
      <c r="A200" s="466" t="s">
        <v>127</v>
      </c>
      <c r="B200" s="462" t="s">
        <v>118</v>
      </c>
      <c r="C200" s="462" t="s">
        <v>140</v>
      </c>
      <c r="D200" s="462" t="s">
        <v>1795</v>
      </c>
      <c r="E200" s="462" t="s">
        <v>128</v>
      </c>
      <c r="F200" s="459">
        <f>F201</f>
        <v>97.057000000000002</v>
      </c>
      <c r="H200" s="22"/>
      <c r="J200" s="22"/>
    </row>
    <row r="201" spans="1:10" s="457" customFormat="1" ht="15.75" x14ac:dyDescent="0.25">
      <c r="A201" s="466" t="s">
        <v>208</v>
      </c>
      <c r="B201" s="462" t="s">
        <v>118</v>
      </c>
      <c r="C201" s="462" t="s">
        <v>140</v>
      </c>
      <c r="D201" s="462" t="s">
        <v>1795</v>
      </c>
      <c r="E201" s="462" t="s">
        <v>209</v>
      </c>
      <c r="F201" s="459">
        <f>'Пр.4 ведом.21'!G155</f>
        <v>97.057000000000002</v>
      </c>
      <c r="H201" s="22"/>
      <c r="J201" s="22"/>
    </row>
    <row r="202" spans="1:10" ht="47.25" x14ac:dyDescent="0.25">
      <c r="A202" s="23" t="s">
        <v>1383</v>
      </c>
      <c r="B202" s="7" t="s">
        <v>118</v>
      </c>
      <c r="C202" s="7" t="s">
        <v>140</v>
      </c>
      <c r="D202" s="7" t="s">
        <v>344</v>
      </c>
      <c r="E202" s="7"/>
      <c r="F202" s="4">
        <f>F203</f>
        <v>641.6</v>
      </c>
      <c r="G202" s="22"/>
    </row>
    <row r="203" spans="1:10" ht="78.75" x14ac:dyDescent="0.25">
      <c r="A203" s="41" t="s">
        <v>1359</v>
      </c>
      <c r="B203" s="7" t="s">
        <v>118</v>
      </c>
      <c r="C203" s="7" t="s">
        <v>140</v>
      </c>
      <c r="D203" s="7" t="s">
        <v>359</v>
      </c>
      <c r="E203" s="7"/>
      <c r="F203" s="4">
        <f>F204</f>
        <v>641.6</v>
      </c>
      <c r="G203" s="22"/>
    </row>
    <row r="204" spans="1:10" s="203" customFormat="1" ht="63" x14ac:dyDescent="0.25">
      <c r="A204" s="247" t="s">
        <v>1047</v>
      </c>
      <c r="B204" s="7" t="s">
        <v>118</v>
      </c>
      <c r="C204" s="7" t="s">
        <v>140</v>
      </c>
      <c r="D204" s="7" t="s">
        <v>909</v>
      </c>
      <c r="E204" s="7"/>
      <c r="F204" s="4">
        <f>F205+F208</f>
        <v>641.6</v>
      </c>
      <c r="G204" s="22"/>
    </row>
    <row r="205" spans="1:10" ht="31.5" x14ac:dyDescent="0.25">
      <c r="A205" s="98" t="s">
        <v>1048</v>
      </c>
      <c r="B205" s="40" t="s">
        <v>118</v>
      </c>
      <c r="C205" s="40" t="s">
        <v>140</v>
      </c>
      <c r="D205" s="40" t="s">
        <v>1203</v>
      </c>
      <c r="E205" s="40"/>
      <c r="F205" s="6">
        <f t="shared" ref="F205:F206" si="24">F206</f>
        <v>451</v>
      </c>
    </row>
    <row r="206" spans="1:10" ht="31.5" x14ac:dyDescent="0.25">
      <c r="A206" s="29" t="s">
        <v>131</v>
      </c>
      <c r="B206" s="40" t="s">
        <v>118</v>
      </c>
      <c r="C206" s="40" t="s">
        <v>140</v>
      </c>
      <c r="D206" s="40" t="s">
        <v>1203</v>
      </c>
      <c r="E206" s="40" t="s">
        <v>132</v>
      </c>
      <c r="F206" s="6">
        <f t="shared" si="24"/>
        <v>451</v>
      </c>
    </row>
    <row r="207" spans="1:10" ht="31.5" x14ac:dyDescent="0.25">
      <c r="A207" s="29" t="s">
        <v>133</v>
      </c>
      <c r="B207" s="40" t="s">
        <v>118</v>
      </c>
      <c r="C207" s="40" t="s">
        <v>140</v>
      </c>
      <c r="D207" s="40" t="s">
        <v>1203</v>
      </c>
      <c r="E207" s="40" t="s">
        <v>134</v>
      </c>
      <c r="F207" s="6">
        <f>'Пр.4 ведом.21'!G267</f>
        <v>451</v>
      </c>
    </row>
    <row r="208" spans="1:10" s="434" customFormat="1" ht="31.5" x14ac:dyDescent="0.25">
      <c r="A208" s="45" t="s">
        <v>1638</v>
      </c>
      <c r="B208" s="40" t="s">
        <v>118</v>
      </c>
      <c r="C208" s="40" t="s">
        <v>140</v>
      </c>
      <c r="D208" s="40" t="s">
        <v>1678</v>
      </c>
      <c r="E208" s="40"/>
      <c r="F208" s="435">
        <f>F209</f>
        <v>190.6</v>
      </c>
    </row>
    <row r="209" spans="1:6" s="434" customFormat="1" ht="31.5" x14ac:dyDescent="0.25">
      <c r="A209" s="29" t="s">
        <v>131</v>
      </c>
      <c r="B209" s="40" t="s">
        <v>118</v>
      </c>
      <c r="C209" s="40" t="s">
        <v>140</v>
      </c>
      <c r="D209" s="469" t="s">
        <v>1678</v>
      </c>
      <c r="E209" s="40" t="s">
        <v>132</v>
      </c>
      <c r="F209" s="435">
        <f>F210</f>
        <v>190.6</v>
      </c>
    </row>
    <row r="210" spans="1:6" s="434" customFormat="1" ht="31.5" x14ac:dyDescent="0.25">
      <c r="A210" s="29" t="s">
        <v>133</v>
      </c>
      <c r="B210" s="40" t="s">
        <v>118</v>
      </c>
      <c r="C210" s="40" t="s">
        <v>140</v>
      </c>
      <c r="D210" s="469" t="s">
        <v>1678</v>
      </c>
      <c r="E210" s="40" t="s">
        <v>134</v>
      </c>
      <c r="F210" s="435">
        <f>'Пр.4 ведом.21'!G270</f>
        <v>190.6</v>
      </c>
    </row>
    <row r="211" spans="1:6" ht="47.25" hidden="1" x14ac:dyDescent="0.25">
      <c r="A211" s="23" t="s">
        <v>1360</v>
      </c>
      <c r="B211" s="24" t="s">
        <v>118</v>
      </c>
      <c r="C211" s="24" t="s">
        <v>140</v>
      </c>
      <c r="D211" s="24" t="s">
        <v>335</v>
      </c>
      <c r="E211" s="24"/>
      <c r="F211" s="59">
        <f>F212</f>
        <v>20</v>
      </c>
    </row>
    <row r="212" spans="1:6" ht="31.5" hidden="1" x14ac:dyDescent="0.25">
      <c r="A212" s="23" t="s">
        <v>1052</v>
      </c>
      <c r="B212" s="24" t="s">
        <v>118</v>
      </c>
      <c r="C212" s="24" t="s">
        <v>140</v>
      </c>
      <c r="D212" s="24" t="s">
        <v>1053</v>
      </c>
      <c r="E212" s="24"/>
      <c r="F212" s="59">
        <f>F213+F216+F219+F222+F225</f>
        <v>20</v>
      </c>
    </row>
    <row r="213" spans="1:6" ht="31.5" hidden="1" x14ac:dyDescent="0.25">
      <c r="A213" s="97" t="s">
        <v>336</v>
      </c>
      <c r="B213" s="20" t="s">
        <v>118</v>
      </c>
      <c r="C213" s="20" t="s">
        <v>140</v>
      </c>
      <c r="D213" s="20" t="s">
        <v>1054</v>
      </c>
      <c r="E213" s="20"/>
      <c r="F213" s="10">
        <f t="shared" ref="F213" si="25">F214</f>
        <v>0</v>
      </c>
    </row>
    <row r="214" spans="1:6" ht="31.5" hidden="1" x14ac:dyDescent="0.25">
      <c r="A214" s="25" t="s">
        <v>131</v>
      </c>
      <c r="B214" s="20" t="s">
        <v>118</v>
      </c>
      <c r="C214" s="20" t="s">
        <v>140</v>
      </c>
      <c r="D214" s="20" t="s">
        <v>1054</v>
      </c>
      <c r="E214" s="20" t="s">
        <v>132</v>
      </c>
      <c r="F214" s="10">
        <f>F215</f>
        <v>0</v>
      </c>
    </row>
    <row r="215" spans="1:6" ht="31.5" hidden="1" x14ac:dyDescent="0.25">
      <c r="A215" s="25" t="s">
        <v>133</v>
      </c>
      <c r="B215" s="20" t="s">
        <v>118</v>
      </c>
      <c r="C215" s="20" t="s">
        <v>140</v>
      </c>
      <c r="D215" s="20" t="s">
        <v>1054</v>
      </c>
      <c r="E215" s="20" t="s">
        <v>134</v>
      </c>
      <c r="F215" s="10">
        <f>'Пр.4 ведом.21'!G628+'Пр.4 ведом.21'!G275+'Пр.4 ведом.21'!G876</f>
        <v>0</v>
      </c>
    </row>
    <row r="216" spans="1:6" ht="31.5" x14ac:dyDescent="0.25">
      <c r="A216" s="25" t="s">
        <v>338</v>
      </c>
      <c r="B216" s="20" t="s">
        <v>118</v>
      </c>
      <c r="C216" s="20" t="s">
        <v>140</v>
      </c>
      <c r="D216" s="20" t="s">
        <v>1055</v>
      </c>
      <c r="E216" s="20"/>
      <c r="F216" s="10">
        <f>F217</f>
        <v>20</v>
      </c>
    </row>
    <row r="217" spans="1:6" ht="31.5" x14ac:dyDescent="0.25">
      <c r="A217" s="25" t="s">
        <v>131</v>
      </c>
      <c r="B217" s="20" t="s">
        <v>118</v>
      </c>
      <c r="C217" s="20" t="s">
        <v>140</v>
      </c>
      <c r="D217" s="20" t="s">
        <v>1055</v>
      </c>
      <c r="E217" s="20" t="s">
        <v>132</v>
      </c>
      <c r="F217" s="10">
        <f>F218</f>
        <v>20</v>
      </c>
    </row>
    <row r="218" spans="1:6" ht="39.200000000000003" customHeight="1" x14ac:dyDescent="0.25">
      <c r="A218" s="25" t="s">
        <v>133</v>
      </c>
      <c r="B218" s="20" t="s">
        <v>118</v>
      </c>
      <c r="C218" s="20" t="s">
        <v>140</v>
      </c>
      <c r="D218" s="20" t="s">
        <v>1055</v>
      </c>
      <c r="E218" s="20" t="s">
        <v>134</v>
      </c>
      <c r="F218" s="10">
        <f>'Пр.4 ведом.21'!G278</f>
        <v>20</v>
      </c>
    </row>
    <row r="219" spans="1:6" ht="47.25" hidden="1" x14ac:dyDescent="0.25">
      <c r="A219" s="31" t="s">
        <v>771</v>
      </c>
      <c r="B219" s="20" t="s">
        <v>118</v>
      </c>
      <c r="C219" s="20" t="s">
        <v>140</v>
      </c>
      <c r="D219" s="20" t="s">
        <v>1056</v>
      </c>
      <c r="E219" s="20"/>
      <c r="F219" s="10">
        <f t="shared" ref="F219" si="26">F220</f>
        <v>0</v>
      </c>
    </row>
    <row r="220" spans="1:6" ht="31.5" hidden="1" x14ac:dyDescent="0.25">
      <c r="A220" s="25" t="s">
        <v>131</v>
      </c>
      <c r="B220" s="20" t="s">
        <v>118</v>
      </c>
      <c r="C220" s="20" t="s">
        <v>140</v>
      </c>
      <c r="D220" s="20" t="s">
        <v>1056</v>
      </c>
      <c r="E220" s="20" t="s">
        <v>132</v>
      </c>
      <c r="F220" s="10">
        <f>F221</f>
        <v>0</v>
      </c>
    </row>
    <row r="221" spans="1:6" ht="31.5" hidden="1" x14ac:dyDescent="0.25">
      <c r="A221" s="25" t="s">
        <v>133</v>
      </c>
      <c r="B221" s="20" t="s">
        <v>118</v>
      </c>
      <c r="C221" s="20" t="s">
        <v>140</v>
      </c>
      <c r="D221" s="20" t="s">
        <v>1056</v>
      </c>
      <c r="E221" s="20" t="s">
        <v>134</v>
      </c>
      <c r="F221" s="10">
        <f>'Пр.4 ведом.21'!G281</f>
        <v>0</v>
      </c>
    </row>
    <row r="222" spans="1:6" ht="15.75" hidden="1" x14ac:dyDescent="0.25">
      <c r="A222" s="25" t="s">
        <v>994</v>
      </c>
      <c r="B222" s="20" t="s">
        <v>118</v>
      </c>
      <c r="C222" s="20" t="s">
        <v>140</v>
      </c>
      <c r="D222" s="20" t="s">
        <v>1057</v>
      </c>
      <c r="E222" s="20"/>
      <c r="F222" s="10">
        <f t="shared" ref="F222" si="27">F223</f>
        <v>0</v>
      </c>
    </row>
    <row r="223" spans="1:6" ht="31.5" hidden="1" x14ac:dyDescent="0.25">
      <c r="A223" s="25" t="s">
        <v>131</v>
      </c>
      <c r="B223" s="20" t="s">
        <v>118</v>
      </c>
      <c r="C223" s="20" t="s">
        <v>140</v>
      </c>
      <c r="D223" s="20" t="s">
        <v>1057</v>
      </c>
      <c r="E223" s="20" t="s">
        <v>132</v>
      </c>
      <c r="F223" s="10">
        <f>F224</f>
        <v>0</v>
      </c>
    </row>
    <row r="224" spans="1:6" ht="31.5" hidden="1" x14ac:dyDescent="0.25">
      <c r="A224" s="25" t="s">
        <v>133</v>
      </c>
      <c r="B224" s="20" t="s">
        <v>118</v>
      </c>
      <c r="C224" s="20" t="s">
        <v>140</v>
      </c>
      <c r="D224" s="20" t="s">
        <v>1057</v>
      </c>
      <c r="E224" s="20" t="s">
        <v>134</v>
      </c>
      <c r="F224" s="10">
        <f>'Пр.4 ведом.21'!G284</f>
        <v>0</v>
      </c>
    </row>
    <row r="225" spans="1:6" ht="31.5" hidden="1" x14ac:dyDescent="0.25">
      <c r="A225" s="31" t="s">
        <v>772</v>
      </c>
      <c r="B225" s="20" t="s">
        <v>118</v>
      </c>
      <c r="C225" s="20" t="s">
        <v>140</v>
      </c>
      <c r="D225" s="20" t="s">
        <v>1058</v>
      </c>
      <c r="E225" s="20"/>
      <c r="F225" s="10">
        <f>F226</f>
        <v>0</v>
      </c>
    </row>
    <row r="226" spans="1:6" ht="31.5" hidden="1" x14ac:dyDescent="0.25">
      <c r="A226" s="25" t="s">
        <v>131</v>
      </c>
      <c r="B226" s="20" t="s">
        <v>118</v>
      </c>
      <c r="C226" s="20" t="s">
        <v>140</v>
      </c>
      <c r="D226" s="20" t="s">
        <v>1058</v>
      </c>
      <c r="E226" s="20" t="s">
        <v>132</v>
      </c>
      <c r="F226" s="10">
        <f>F227</f>
        <v>0</v>
      </c>
    </row>
    <row r="227" spans="1:6" ht="31.5" hidden="1" x14ac:dyDescent="0.25">
      <c r="A227" s="25" t="s">
        <v>133</v>
      </c>
      <c r="B227" s="20" t="s">
        <v>118</v>
      </c>
      <c r="C227" s="20" t="s">
        <v>140</v>
      </c>
      <c r="D227" s="20" t="s">
        <v>1058</v>
      </c>
      <c r="E227" s="20" t="s">
        <v>134</v>
      </c>
      <c r="F227" s="10">
        <f>'Пр.4 ведом.21'!G287</f>
        <v>0</v>
      </c>
    </row>
    <row r="228" spans="1:6" ht="47.25" x14ac:dyDescent="0.25">
      <c r="A228" s="41" t="s">
        <v>1363</v>
      </c>
      <c r="B228" s="8" t="s">
        <v>118</v>
      </c>
      <c r="C228" s="8" t="s">
        <v>140</v>
      </c>
      <c r="D228" s="24" t="s">
        <v>705</v>
      </c>
      <c r="E228" s="221"/>
      <c r="F228" s="59">
        <f>F229+F233</f>
        <v>20.2</v>
      </c>
    </row>
    <row r="229" spans="1:6" s="203" customFormat="1" ht="47.25" x14ac:dyDescent="0.25">
      <c r="A229" s="210" t="s">
        <v>846</v>
      </c>
      <c r="B229" s="24" t="s">
        <v>118</v>
      </c>
      <c r="C229" s="24" t="s">
        <v>140</v>
      </c>
      <c r="D229" s="24" t="s">
        <v>852</v>
      </c>
      <c r="E229" s="24"/>
      <c r="F229" s="59">
        <f>F230</f>
        <v>5.2</v>
      </c>
    </row>
    <row r="230" spans="1:6" ht="39.75" customHeight="1" x14ac:dyDescent="0.25">
      <c r="A230" s="98" t="s">
        <v>776</v>
      </c>
      <c r="B230" s="20" t="s">
        <v>118</v>
      </c>
      <c r="C230" s="20" t="s">
        <v>140</v>
      </c>
      <c r="D230" s="20" t="s">
        <v>847</v>
      </c>
      <c r="E230" s="20"/>
      <c r="F230" s="10">
        <f t="shared" ref="F230:F231" si="28">F231</f>
        <v>5.2</v>
      </c>
    </row>
    <row r="231" spans="1:6" ht="31.5" x14ac:dyDescent="0.25">
      <c r="A231" s="25" t="s">
        <v>131</v>
      </c>
      <c r="B231" s="20" t="s">
        <v>118</v>
      </c>
      <c r="C231" s="20" t="s">
        <v>140</v>
      </c>
      <c r="D231" s="20" t="s">
        <v>847</v>
      </c>
      <c r="E231" s="20" t="s">
        <v>132</v>
      </c>
      <c r="F231" s="10">
        <f t="shared" si="28"/>
        <v>5.2</v>
      </c>
    </row>
    <row r="232" spans="1:6" ht="31.5" x14ac:dyDescent="0.25">
      <c r="A232" s="25" t="s">
        <v>133</v>
      </c>
      <c r="B232" s="20" t="s">
        <v>118</v>
      </c>
      <c r="C232" s="20" t="s">
        <v>140</v>
      </c>
      <c r="D232" s="20" t="s">
        <v>847</v>
      </c>
      <c r="E232" s="20" t="s">
        <v>134</v>
      </c>
      <c r="F232" s="10">
        <f>'Пр.4 ведом.21'!G292+'Пр.4 ведом.21'!G160</f>
        <v>5.2</v>
      </c>
    </row>
    <row r="233" spans="1:6" s="203" customFormat="1" ht="31.5" x14ac:dyDescent="0.25">
      <c r="A233" s="211" t="s">
        <v>1023</v>
      </c>
      <c r="B233" s="24" t="s">
        <v>118</v>
      </c>
      <c r="C233" s="24" t="s">
        <v>140</v>
      </c>
      <c r="D233" s="24" t="s">
        <v>853</v>
      </c>
      <c r="E233" s="221"/>
      <c r="F233" s="59">
        <f>F234</f>
        <v>15</v>
      </c>
    </row>
    <row r="234" spans="1:6" ht="33" customHeight="1" x14ac:dyDescent="0.25">
      <c r="A234" s="98" t="s">
        <v>777</v>
      </c>
      <c r="B234" s="20" t="s">
        <v>118</v>
      </c>
      <c r="C234" s="20" t="s">
        <v>140</v>
      </c>
      <c r="D234" s="20" t="s">
        <v>848</v>
      </c>
      <c r="E234" s="32"/>
      <c r="F234" s="10">
        <f t="shared" ref="F234:F235" si="29">F235</f>
        <v>15</v>
      </c>
    </row>
    <row r="235" spans="1:6" ht="31.7" customHeight="1" x14ac:dyDescent="0.25">
      <c r="A235" s="25" t="s">
        <v>131</v>
      </c>
      <c r="B235" s="20" t="s">
        <v>118</v>
      </c>
      <c r="C235" s="20" t="s">
        <v>140</v>
      </c>
      <c r="D235" s="20" t="s">
        <v>848</v>
      </c>
      <c r="E235" s="32" t="s">
        <v>132</v>
      </c>
      <c r="F235" s="10">
        <f t="shared" si="29"/>
        <v>15</v>
      </c>
    </row>
    <row r="236" spans="1:6" ht="40.700000000000003" customHeight="1" x14ac:dyDescent="0.25">
      <c r="A236" s="25" t="s">
        <v>133</v>
      </c>
      <c r="B236" s="20" t="s">
        <v>118</v>
      </c>
      <c r="C236" s="20" t="s">
        <v>140</v>
      </c>
      <c r="D236" s="20" t="s">
        <v>848</v>
      </c>
      <c r="E236" s="32" t="s">
        <v>134</v>
      </c>
      <c r="F236" s="10">
        <f>'Пр.4 ведом.21'!G164</f>
        <v>15</v>
      </c>
    </row>
    <row r="237" spans="1:6" ht="63" x14ac:dyDescent="0.25">
      <c r="A237" s="216" t="s">
        <v>1546</v>
      </c>
      <c r="B237" s="24" t="s">
        <v>118</v>
      </c>
      <c r="C237" s="24" t="s">
        <v>140</v>
      </c>
      <c r="D237" s="24" t="s">
        <v>782</v>
      </c>
      <c r="E237" s="221"/>
      <c r="F237" s="59">
        <f>F239</f>
        <v>652.7600000000001</v>
      </c>
    </row>
    <row r="238" spans="1:6" s="203" customFormat="1" ht="31.5" x14ac:dyDescent="0.25">
      <c r="A238" s="23" t="s">
        <v>930</v>
      </c>
      <c r="B238" s="24" t="s">
        <v>118</v>
      </c>
      <c r="C238" s="24" t="s">
        <v>140</v>
      </c>
      <c r="D238" s="24" t="s">
        <v>1020</v>
      </c>
      <c r="E238" s="221"/>
      <c r="F238" s="59">
        <f>F239</f>
        <v>652.7600000000001</v>
      </c>
    </row>
    <row r="239" spans="1:6" ht="31.5" x14ac:dyDescent="0.25">
      <c r="A239" s="182" t="s">
        <v>790</v>
      </c>
      <c r="B239" s="20" t="s">
        <v>118</v>
      </c>
      <c r="C239" s="20" t="s">
        <v>140</v>
      </c>
      <c r="D239" s="20" t="s">
        <v>1021</v>
      </c>
      <c r="E239" s="32"/>
      <c r="F239" s="10">
        <f>F240</f>
        <v>652.7600000000001</v>
      </c>
    </row>
    <row r="240" spans="1:6" ht="31.5" x14ac:dyDescent="0.25">
      <c r="A240" s="182" t="s">
        <v>131</v>
      </c>
      <c r="B240" s="20" t="s">
        <v>118</v>
      </c>
      <c r="C240" s="20" t="s">
        <v>140</v>
      </c>
      <c r="D240" s="20" t="s">
        <v>1021</v>
      </c>
      <c r="E240" s="32" t="s">
        <v>132</v>
      </c>
      <c r="F240" s="10">
        <f>F241</f>
        <v>652.7600000000001</v>
      </c>
    </row>
    <row r="241" spans="1:7" ht="31.5" x14ac:dyDescent="0.25">
      <c r="A241" s="182" t="s">
        <v>133</v>
      </c>
      <c r="B241" s="20" t="s">
        <v>118</v>
      </c>
      <c r="C241" s="20" t="s">
        <v>140</v>
      </c>
      <c r="D241" s="20" t="s">
        <v>1021</v>
      </c>
      <c r="E241" s="32" t="s">
        <v>134</v>
      </c>
      <c r="F241" s="10">
        <f>'Пр.4 ведом.21'!G604</f>
        <v>652.7600000000001</v>
      </c>
    </row>
    <row r="242" spans="1:7" ht="78.75" hidden="1" x14ac:dyDescent="0.25">
      <c r="A242" s="41" t="s">
        <v>1384</v>
      </c>
      <c r="B242" s="8" t="s">
        <v>118</v>
      </c>
      <c r="C242" s="8" t="s">
        <v>140</v>
      </c>
      <c r="D242" s="355" t="s">
        <v>817</v>
      </c>
      <c r="E242" s="8"/>
      <c r="F242" s="59">
        <f>F243</f>
        <v>0</v>
      </c>
    </row>
    <row r="243" spans="1:7" s="203" customFormat="1" ht="47.25" hidden="1" x14ac:dyDescent="0.25">
      <c r="A243" s="212" t="s">
        <v>854</v>
      </c>
      <c r="B243" s="8" t="s">
        <v>118</v>
      </c>
      <c r="C243" s="8" t="s">
        <v>140</v>
      </c>
      <c r="D243" s="194" t="s">
        <v>1078</v>
      </c>
      <c r="E243" s="8"/>
      <c r="F243" s="59">
        <f>F244</f>
        <v>0</v>
      </c>
    </row>
    <row r="244" spans="1:7" ht="31.5" hidden="1" x14ac:dyDescent="0.25">
      <c r="A244" s="97" t="s">
        <v>171</v>
      </c>
      <c r="B244" s="9" t="s">
        <v>118</v>
      </c>
      <c r="C244" s="9" t="s">
        <v>140</v>
      </c>
      <c r="D244" s="5" t="s">
        <v>855</v>
      </c>
      <c r="E244" s="9"/>
      <c r="F244" s="10">
        <f>F245</f>
        <v>0</v>
      </c>
    </row>
    <row r="245" spans="1:7" ht="31.5" hidden="1" x14ac:dyDescent="0.25">
      <c r="A245" s="25" t="s">
        <v>131</v>
      </c>
      <c r="B245" s="9" t="s">
        <v>118</v>
      </c>
      <c r="C245" s="9" t="s">
        <v>140</v>
      </c>
      <c r="D245" s="5" t="s">
        <v>855</v>
      </c>
      <c r="E245" s="9" t="s">
        <v>132</v>
      </c>
      <c r="F245" s="10">
        <f>F246</f>
        <v>0</v>
      </c>
    </row>
    <row r="246" spans="1:7" ht="31.5" hidden="1" x14ac:dyDescent="0.25">
      <c r="A246" s="25" t="s">
        <v>133</v>
      </c>
      <c r="B246" s="9" t="s">
        <v>118</v>
      </c>
      <c r="C246" s="9" t="s">
        <v>140</v>
      </c>
      <c r="D246" s="5" t="s">
        <v>855</v>
      </c>
      <c r="E246" s="9" t="s">
        <v>134</v>
      </c>
      <c r="F246" s="10">
        <f>'Пр.4 ведом.21'!G169</f>
        <v>0</v>
      </c>
    </row>
    <row r="247" spans="1:7" ht="63" x14ac:dyDescent="0.25">
      <c r="A247" s="41" t="s">
        <v>1664</v>
      </c>
      <c r="B247" s="8" t="s">
        <v>118</v>
      </c>
      <c r="C247" s="8" t="s">
        <v>140</v>
      </c>
      <c r="D247" s="194" t="s">
        <v>818</v>
      </c>
      <c r="E247" s="8"/>
      <c r="F247" s="4">
        <f>F248</f>
        <v>44.16</v>
      </c>
    </row>
    <row r="248" spans="1:7" ht="31.5" x14ac:dyDescent="0.25">
      <c r="A248" s="58" t="s">
        <v>856</v>
      </c>
      <c r="B248" s="8" t="s">
        <v>118</v>
      </c>
      <c r="C248" s="8" t="s">
        <v>140</v>
      </c>
      <c r="D248" s="194" t="s">
        <v>864</v>
      </c>
      <c r="E248" s="8"/>
      <c r="F248" s="4">
        <f t="shared" ref="F248:F249" si="30">F249</f>
        <v>44.16</v>
      </c>
    </row>
    <row r="249" spans="1:7" ht="15.75" x14ac:dyDescent="0.25">
      <c r="A249" s="45" t="s">
        <v>822</v>
      </c>
      <c r="B249" s="9" t="s">
        <v>118</v>
      </c>
      <c r="C249" s="9" t="s">
        <v>140</v>
      </c>
      <c r="D249" s="5" t="s">
        <v>857</v>
      </c>
      <c r="E249" s="9"/>
      <c r="F249" s="378">
        <f t="shared" si="30"/>
        <v>44.16</v>
      </c>
    </row>
    <row r="250" spans="1:7" ht="39.75" customHeight="1" x14ac:dyDescent="0.25">
      <c r="A250" s="25" t="s">
        <v>131</v>
      </c>
      <c r="B250" s="9" t="s">
        <v>118</v>
      </c>
      <c r="C250" s="9" t="s">
        <v>140</v>
      </c>
      <c r="D250" s="5" t="s">
        <v>857</v>
      </c>
      <c r="E250" s="9" t="s">
        <v>132</v>
      </c>
      <c r="F250" s="378">
        <f>F251</f>
        <v>44.16</v>
      </c>
      <c r="G250" s="22"/>
    </row>
    <row r="251" spans="1:7" ht="31.5" x14ac:dyDescent="0.25">
      <c r="A251" s="25" t="s">
        <v>133</v>
      </c>
      <c r="B251" s="9" t="s">
        <v>118</v>
      </c>
      <c r="C251" s="9" t="s">
        <v>140</v>
      </c>
      <c r="D251" s="5" t="s">
        <v>857</v>
      </c>
      <c r="E251" s="9" t="s">
        <v>134</v>
      </c>
      <c r="F251" s="6">
        <f>'Пр.4 ведом.21'!G174+'Пр.4 ведом.21'!G297</f>
        <v>44.16</v>
      </c>
    </row>
    <row r="252" spans="1:7" s="203" customFormat="1" ht="15.75" hidden="1" x14ac:dyDescent="0.25">
      <c r="A252" s="23" t="s">
        <v>212</v>
      </c>
      <c r="B252" s="24" t="s">
        <v>213</v>
      </c>
      <c r="C252" s="24"/>
      <c r="D252" s="24"/>
      <c r="E252" s="24"/>
      <c r="F252" s="4">
        <f t="shared" ref="F252:F257" si="31">F253</f>
        <v>0</v>
      </c>
    </row>
    <row r="253" spans="1:7" s="203" customFormat="1" ht="19.5" hidden="1" customHeight="1" x14ac:dyDescent="0.25">
      <c r="A253" s="23" t="s">
        <v>218</v>
      </c>
      <c r="B253" s="24" t="s">
        <v>213</v>
      </c>
      <c r="C253" s="24" t="s">
        <v>219</v>
      </c>
      <c r="D253" s="24"/>
      <c r="E253" s="24"/>
      <c r="F253" s="4">
        <f t="shared" si="31"/>
        <v>0</v>
      </c>
    </row>
    <row r="254" spans="1:7" s="203" customFormat="1" ht="15.75" hidden="1" x14ac:dyDescent="0.25">
      <c r="A254" s="23" t="s">
        <v>141</v>
      </c>
      <c r="B254" s="24" t="s">
        <v>213</v>
      </c>
      <c r="C254" s="24" t="s">
        <v>219</v>
      </c>
      <c r="D254" s="24" t="s">
        <v>866</v>
      </c>
      <c r="E254" s="24"/>
      <c r="F254" s="4">
        <f t="shared" si="31"/>
        <v>0</v>
      </c>
    </row>
    <row r="255" spans="1:7" s="203" customFormat="1" ht="31.5" hidden="1" x14ac:dyDescent="0.25">
      <c r="A255" s="23" t="s">
        <v>870</v>
      </c>
      <c r="B255" s="24" t="s">
        <v>213</v>
      </c>
      <c r="C255" s="24" t="s">
        <v>219</v>
      </c>
      <c r="D255" s="24" t="s">
        <v>865</v>
      </c>
      <c r="E255" s="24"/>
      <c r="F255" s="4">
        <f t="shared" si="31"/>
        <v>0</v>
      </c>
    </row>
    <row r="256" spans="1:7" s="203" customFormat="1" ht="15.75" hidden="1" x14ac:dyDescent="0.25">
      <c r="A256" s="25" t="s">
        <v>220</v>
      </c>
      <c r="B256" s="20" t="s">
        <v>213</v>
      </c>
      <c r="C256" s="20" t="s">
        <v>219</v>
      </c>
      <c r="D256" s="20" t="s">
        <v>871</v>
      </c>
      <c r="E256" s="20"/>
      <c r="F256" s="6">
        <f t="shared" si="31"/>
        <v>0</v>
      </c>
    </row>
    <row r="257" spans="1:10" s="203" customFormat="1" ht="31.5" hidden="1" x14ac:dyDescent="0.25">
      <c r="A257" s="25" t="s">
        <v>198</v>
      </c>
      <c r="B257" s="20" t="s">
        <v>213</v>
      </c>
      <c r="C257" s="20" t="s">
        <v>219</v>
      </c>
      <c r="D257" s="20" t="s">
        <v>871</v>
      </c>
      <c r="E257" s="20" t="s">
        <v>132</v>
      </c>
      <c r="F257" s="6">
        <f t="shared" si="31"/>
        <v>0</v>
      </c>
    </row>
    <row r="258" spans="1:10" s="203" customFormat="1" ht="31.5" hidden="1" x14ac:dyDescent="0.25">
      <c r="A258" s="25" t="s">
        <v>133</v>
      </c>
      <c r="B258" s="20" t="s">
        <v>213</v>
      </c>
      <c r="C258" s="20" t="s">
        <v>219</v>
      </c>
      <c r="D258" s="20" t="s">
        <v>871</v>
      </c>
      <c r="E258" s="20" t="s">
        <v>134</v>
      </c>
      <c r="F258" s="6">
        <f>'Пр.4 ведом.21'!G181</f>
        <v>0</v>
      </c>
    </row>
    <row r="259" spans="1:10" ht="31.5" x14ac:dyDescent="0.25">
      <c r="A259" s="23" t="s">
        <v>222</v>
      </c>
      <c r="B259" s="24" t="s">
        <v>215</v>
      </c>
      <c r="C259" s="24"/>
      <c r="D259" s="24"/>
      <c r="E259" s="24"/>
      <c r="F259" s="4">
        <f t="shared" ref="F259" si="32">F260</f>
        <v>7435.9079100000008</v>
      </c>
    </row>
    <row r="260" spans="1:10" ht="47.25" x14ac:dyDescent="0.25">
      <c r="A260" s="23" t="s">
        <v>1356</v>
      </c>
      <c r="B260" s="24" t="s">
        <v>215</v>
      </c>
      <c r="C260" s="24" t="s">
        <v>244</v>
      </c>
      <c r="D260" s="20"/>
      <c r="E260" s="20"/>
      <c r="F260" s="4">
        <f>F261+F282</f>
        <v>7435.9079100000008</v>
      </c>
      <c r="G260" s="22"/>
      <c r="H260" s="22"/>
      <c r="I260" s="22"/>
      <c r="J260" s="22"/>
    </row>
    <row r="261" spans="1:10" ht="15.75" x14ac:dyDescent="0.25">
      <c r="A261" s="23" t="s">
        <v>141</v>
      </c>
      <c r="B261" s="24" t="s">
        <v>215</v>
      </c>
      <c r="C261" s="24" t="s">
        <v>244</v>
      </c>
      <c r="D261" s="24" t="s">
        <v>866</v>
      </c>
      <c r="E261" s="24"/>
      <c r="F261" s="4">
        <f>F262+F269</f>
        <v>6835.9079100000008</v>
      </c>
    </row>
    <row r="262" spans="1:10" ht="31.5" x14ac:dyDescent="0.25">
      <c r="A262" s="23" t="s">
        <v>870</v>
      </c>
      <c r="B262" s="24" t="s">
        <v>215</v>
      </c>
      <c r="C262" s="24" t="s">
        <v>244</v>
      </c>
      <c r="D262" s="24" t="s">
        <v>865</v>
      </c>
      <c r="E262" s="24"/>
      <c r="F262" s="4">
        <f>F263+F266</f>
        <v>326.56081</v>
      </c>
    </row>
    <row r="263" spans="1:10" ht="47.25" x14ac:dyDescent="0.25">
      <c r="A263" s="25" t="s">
        <v>224</v>
      </c>
      <c r="B263" s="20" t="s">
        <v>215</v>
      </c>
      <c r="C263" s="20" t="s">
        <v>244</v>
      </c>
      <c r="D263" s="20" t="s">
        <v>875</v>
      </c>
      <c r="E263" s="20"/>
      <c r="F263" s="6">
        <f t="shared" ref="F263:F264" si="33">F264</f>
        <v>279</v>
      </c>
    </row>
    <row r="264" spans="1:10" ht="31.5" x14ac:dyDescent="0.25">
      <c r="A264" s="25" t="s">
        <v>198</v>
      </c>
      <c r="B264" s="20" t="s">
        <v>215</v>
      </c>
      <c r="C264" s="20" t="s">
        <v>244</v>
      </c>
      <c r="D264" s="20" t="s">
        <v>875</v>
      </c>
      <c r="E264" s="20" t="s">
        <v>132</v>
      </c>
      <c r="F264" s="6">
        <f t="shared" si="33"/>
        <v>279</v>
      </c>
    </row>
    <row r="265" spans="1:10" ht="31.5" x14ac:dyDescent="0.25">
      <c r="A265" s="25" t="s">
        <v>133</v>
      </c>
      <c r="B265" s="20" t="s">
        <v>215</v>
      </c>
      <c r="C265" s="20" t="s">
        <v>244</v>
      </c>
      <c r="D265" s="20" t="s">
        <v>875</v>
      </c>
      <c r="E265" s="20" t="s">
        <v>134</v>
      </c>
      <c r="F265" s="381">
        <f>'Пр.4 ведом.21'!G188</f>
        <v>279</v>
      </c>
    </row>
    <row r="266" spans="1:10" ht="15.75" x14ac:dyDescent="0.25">
      <c r="A266" s="25" t="s">
        <v>230</v>
      </c>
      <c r="B266" s="20" t="s">
        <v>215</v>
      </c>
      <c r="C266" s="20" t="s">
        <v>244</v>
      </c>
      <c r="D266" s="20" t="s">
        <v>876</v>
      </c>
      <c r="E266" s="20"/>
      <c r="F266" s="381">
        <f t="shared" ref="F266:F267" si="34">F267</f>
        <v>47.560810000000004</v>
      </c>
    </row>
    <row r="267" spans="1:10" ht="31.5" x14ac:dyDescent="0.25">
      <c r="A267" s="25" t="s">
        <v>198</v>
      </c>
      <c r="B267" s="20" t="s">
        <v>215</v>
      </c>
      <c r="C267" s="20" t="s">
        <v>244</v>
      </c>
      <c r="D267" s="20" t="s">
        <v>876</v>
      </c>
      <c r="E267" s="20" t="s">
        <v>132</v>
      </c>
      <c r="F267" s="381">
        <f t="shared" si="34"/>
        <v>47.560810000000004</v>
      </c>
    </row>
    <row r="268" spans="1:10" ht="31.5" x14ac:dyDescent="0.25">
      <c r="A268" s="25" t="s">
        <v>133</v>
      </c>
      <c r="B268" s="20" t="s">
        <v>215</v>
      </c>
      <c r="C268" s="20" t="s">
        <v>244</v>
      </c>
      <c r="D268" s="20" t="s">
        <v>876</v>
      </c>
      <c r="E268" s="20" t="s">
        <v>134</v>
      </c>
      <c r="F268" s="381">
        <f>'Пр.4 ведом.21'!G191+'Пр.4 ведом.21'!G985</f>
        <v>47.560810000000004</v>
      </c>
    </row>
    <row r="269" spans="1:10" ht="31.5" x14ac:dyDescent="0.25">
      <c r="A269" s="23" t="s">
        <v>923</v>
      </c>
      <c r="B269" s="24" t="s">
        <v>215</v>
      </c>
      <c r="C269" s="24" t="s">
        <v>244</v>
      </c>
      <c r="D269" s="24" t="s">
        <v>872</v>
      </c>
      <c r="E269" s="24"/>
      <c r="F269" s="4">
        <f>F270+F275+F278</f>
        <v>6509.3471000000009</v>
      </c>
    </row>
    <row r="270" spans="1:10" ht="31.5" x14ac:dyDescent="0.25">
      <c r="A270" s="25" t="s">
        <v>927</v>
      </c>
      <c r="B270" s="20" t="s">
        <v>215</v>
      </c>
      <c r="C270" s="20" t="s">
        <v>244</v>
      </c>
      <c r="D270" s="20" t="s">
        <v>873</v>
      </c>
      <c r="E270" s="20"/>
      <c r="F270" s="378">
        <f>F271+F273</f>
        <v>6041.9500000000007</v>
      </c>
      <c r="G270" s="231">
        <f>F270+F275</f>
        <v>6387.9500000000007</v>
      </c>
    </row>
    <row r="271" spans="1:10" ht="78.75" x14ac:dyDescent="0.25">
      <c r="A271" s="25" t="s">
        <v>127</v>
      </c>
      <c r="B271" s="20" t="s">
        <v>215</v>
      </c>
      <c r="C271" s="20" t="s">
        <v>244</v>
      </c>
      <c r="D271" s="20" t="s">
        <v>873</v>
      </c>
      <c r="E271" s="20" t="s">
        <v>128</v>
      </c>
      <c r="F271" s="378">
        <f>'Пр.4 ведом.21'!G195</f>
        <v>5857.2000000000007</v>
      </c>
    </row>
    <row r="272" spans="1:10" ht="15.75" x14ac:dyDescent="0.25">
      <c r="A272" s="25" t="s">
        <v>208</v>
      </c>
      <c r="B272" s="20" t="s">
        <v>215</v>
      </c>
      <c r="C272" s="20" t="s">
        <v>244</v>
      </c>
      <c r="D272" s="20" t="s">
        <v>873</v>
      </c>
      <c r="E272" s="20" t="s">
        <v>209</v>
      </c>
      <c r="F272" s="6">
        <f>'Пр.4 ведом.21'!G195</f>
        <v>5857.2000000000007</v>
      </c>
    </row>
    <row r="273" spans="1:6" ht="31.5" x14ac:dyDescent="0.25">
      <c r="A273" s="25" t="s">
        <v>198</v>
      </c>
      <c r="B273" s="20" t="s">
        <v>215</v>
      </c>
      <c r="C273" s="20" t="s">
        <v>244</v>
      </c>
      <c r="D273" s="20" t="s">
        <v>873</v>
      </c>
      <c r="E273" s="20" t="s">
        <v>132</v>
      </c>
      <c r="F273" s="6">
        <f>'Пр.4 ведом.21'!G197</f>
        <v>184.75</v>
      </c>
    </row>
    <row r="274" spans="1:6" ht="31.5" x14ac:dyDescent="0.25">
      <c r="A274" s="25" t="s">
        <v>133</v>
      </c>
      <c r="B274" s="20" t="s">
        <v>215</v>
      </c>
      <c r="C274" s="20" t="s">
        <v>244</v>
      </c>
      <c r="D274" s="20" t="s">
        <v>873</v>
      </c>
      <c r="E274" s="20" t="s">
        <v>134</v>
      </c>
      <c r="F274" s="6">
        <f>'Пр.4 ведом.21'!G197</f>
        <v>184.75</v>
      </c>
    </row>
    <row r="275" spans="1:6" ht="47.25" x14ac:dyDescent="0.25">
      <c r="A275" s="25" t="s">
        <v>839</v>
      </c>
      <c r="B275" s="20" t="s">
        <v>215</v>
      </c>
      <c r="C275" s="20" t="s">
        <v>244</v>
      </c>
      <c r="D275" s="20" t="s">
        <v>874</v>
      </c>
      <c r="E275" s="20"/>
      <c r="F275" s="6">
        <f t="shared" ref="F275" si="35">F276</f>
        <v>346</v>
      </c>
    </row>
    <row r="276" spans="1:6" ht="78.75" x14ac:dyDescent="0.25">
      <c r="A276" s="25" t="s">
        <v>127</v>
      </c>
      <c r="B276" s="20" t="s">
        <v>215</v>
      </c>
      <c r="C276" s="20" t="s">
        <v>244</v>
      </c>
      <c r="D276" s="20" t="s">
        <v>874</v>
      </c>
      <c r="E276" s="20" t="s">
        <v>128</v>
      </c>
      <c r="F276" s="6">
        <f>F277</f>
        <v>346</v>
      </c>
    </row>
    <row r="277" spans="1:6" s="203" customFormat="1" ht="31.5" x14ac:dyDescent="0.25">
      <c r="A277" s="25" t="s">
        <v>129</v>
      </c>
      <c r="B277" s="20" t="s">
        <v>215</v>
      </c>
      <c r="C277" s="20" t="s">
        <v>244</v>
      </c>
      <c r="D277" s="20" t="s">
        <v>874</v>
      </c>
      <c r="E277" s="20" t="s">
        <v>130</v>
      </c>
      <c r="F277" s="6">
        <f>'Пр.4 ведом.21'!G200</f>
        <v>346</v>
      </c>
    </row>
    <row r="278" spans="1:6" s="457" customFormat="1" ht="31.5" x14ac:dyDescent="0.25">
      <c r="A278" s="466" t="s">
        <v>1793</v>
      </c>
      <c r="B278" s="462" t="s">
        <v>215</v>
      </c>
      <c r="C278" s="462" t="s">
        <v>244</v>
      </c>
      <c r="D278" s="462" t="s">
        <v>1796</v>
      </c>
      <c r="E278" s="462"/>
      <c r="F278" s="459">
        <f>F279</f>
        <v>121.39709999999999</v>
      </c>
    </row>
    <row r="279" spans="1:6" s="457" customFormat="1" ht="78.75" x14ac:dyDescent="0.25">
      <c r="A279" s="466" t="s">
        <v>127</v>
      </c>
      <c r="B279" s="462" t="s">
        <v>215</v>
      </c>
      <c r="C279" s="462" t="s">
        <v>244</v>
      </c>
      <c r="D279" s="462" t="s">
        <v>1796</v>
      </c>
      <c r="E279" s="462" t="s">
        <v>128</v>
      </c>
      <c r="F279" s="459">
        <f>F280</f>
        <v>121.39709999999999</v>
      </c>
    </row>
    <row r="280" spans="1:6" s="457" customFormat="1" ht="15.75" x14ac:dyDescent="0.25">
      <c r="A280" s="466" t="s">
        <v>208</v>
      </c>
      <c r="B280" s="462" t="s">
        <v>215</v>
      </c>
      <c r="C280" s="462" t="s">
        <v>244</v>
      </c>
      <c r="D280" s="462" t="s">
        <v>1796</v>
      </c>
      <c r="E280" s="462" t="s">
        <v>209</v>
      </c>
      <c r="F280" s="459">
        <f>'Пр.4 ведом.21'!G203</f>
        <v>121.39709999999999</v>
      </c>
    </row>
    <row r="281" spans="1:6" s="457" customFormat="1" ht="47.25" x14ac:dyDescent="0.25">
      <c r="A281" s="470" t="s">
        <v>1363</v>
      </c>
      <c r="B281" s="8" t="s">
        <v>118</v>
      </c>
      <c r="C281" s="8" t="s">
        <v>140</v>
      </c>
      <c r="D281" s="465" t="s">
        <v>705</v>
      </c>
      <c r="E281" s="462"/>
      <c r="F281" s="458">
        <f>F282</f>
        <v>600</v>
      </c>
    </row>
    <row r="282" spans="1:6" s="457" customFormat="1" ht="31.5" x14ac:dyDescent="0.25">
      <c r="A282" s="464" t="s">
        <v>1643</v>
      </c>
      <c r="B282" s="465" t="s">
        <v>215</v>
      </c>
      <c r="C282" s="465" t="s">
        <v>244</v>
      </c>
      <c r="D282" s="465" t="s">
        <v>1644</v>
      </c>
      <c r="E282" s="474"/>
      <c r="F282" s="458">
        <f>F283+F286</f>
        <v>600</v>
      </c>
    </row>
    <row r="283" spans="1:6" s="457" customFormat="1" ht="15.75" hidden="1" x14ac:dyDescent="0.25">
      <c r="A283" s="466" t="s">
        <v>230</v>
      </c>
      <c r="B283" s="462" t="s">
        <v>215</v>
      </c>
      <c r="C283" s="462" t="s">
        <v>244</v>
      </c>
      <c r="D283" s="462" t="s">
        <v>1645</v>
      </c>
      <c r="E283" s="468"/>
      <c r="F283" s="459">
        <f>F284</f>
        <v>0</v>
      </c>
    </row>
    <row r="284" spans="1:6" s="457" customFormat="1" ht="31.5" hidden="1" x14ac:dyDescent="0.25">
      <c r="A284" s="466" t="s">
        <v>131</v>
      </c>
      <c r="B284" s="462" t="s">
        <v>215</v>
      </c>
      <c r="C284" s="462" t="s">
        <v>244</v>
      </c>
      <c r="D284" s="462" t="s">
        <v>1645</v>
      </c>
      <c r="E284" s="468" t="s">
        <v>132</v>
      </c>
      <c r="F284" s="459">
        <f>F285</f>
        <v>0</v>
      </c>
    </row>
    <row r="285" spans="1:6" s="457" customFormat="1" ht="31.5" hidden="1" x14ac:dyDescent="0.25">
      <c r="A285" s="466" t="s">
        <v>133</v>
      </c>
      <c r="B285" s="462" t="s">
        <v>215</v>
      </c>
      <c r="C285" s="462" t="s">
        <v>244</v>
      </c>
      <c r="D285" s="462" t="s">
        <v>1645</v>
      </c>
      <c r="E285" s="468" t="s">
        <v>134</v>
      </c>
      <c r="F285" s="459">
        <f>'Пр.4 ведом.21'!G208</f>
        <v>0</v>
      </c>
    </row>
    <row r="286" spans="1:6" s="457" customFormat="1" ht="47.25" x14ac:dyDescent="0.25">
      <c r="A286" s="466" t="s">
        <v>1681</v>
      </c>
      <c r="B286" s="462" t="s">
        <v>215</v>
      </c>
      <c r="C286" s="462" t="s">
        <v>244</v>
      </c>
      <c r="D286" s="462" t="s">
        <v>1682</v>
      </c>
      <c r="E286" s="468"/>
      <c r="F286" s="459">
        <f>F287</f>
        <v>600</v>
      </c>
    </row>
    <row r="287" spans="1:6" s="457" customFormat="1" ht="31.5" x14ac:dyDescent="0.25">
      <c r="A287" s="466" t="s">
        <v>248</v>
      </c>
      <c r="B287" s="462" t="s">
        <v>215</v>
      </c>
      <c r="C287" s="462" t="s">
        <v>244</v>
      </c>
      <c r="D287" s="462" t="s">
        <v>1682</v>
      </c>
      <c r="E287" s="468" t="s">
        <v>249</v>
      </c>
      <c r="F287" s="459">
        <f>F288</f>
        <v>600</v>
      </c>
    </row>
    <row r="288" spans="1:6" s="457" customFormat="1" ht="31.5" x14ac:dyDescent="0.25">
      <c r="A288" s="466" t="s">
        <v>250</v>
      </c>
      <c r="B288" s="462" t="s">
        <v>215</v>
      </c>
      <c r="C288" s="462" t="s">
        <v>244</v>
      </c>
      <c r="D288" s="462" t="s">
        <v>1682</v>
      </c>
      <c r="E288" s="468" t="s">
        <v>251</v>
      </c>
      <c r="F288" s="459">
        <f>'Пр.4 ведом.21'!G213</f>
        <v>600</v>
      </c>
    </row>
    <row r="289" spans="1:12" ht="15.75" x14ac:dyDescent="0.25">
      <c r="A289" s="23" t="s">
        <v>232</v>
      </c>
      <c r="B289" s="24" t="s">
        <v>150</v>
      </c>
      <c r="C289" s="24"/>
      <c r="D289" s="24"/>
      <c r="E289" s="20"/>
      <c r="F289" s="4">
        <f>F300+F306+F320+F290</f>
        <v>8485.7000000000007</v>
      </c>
      <c r="K289" s="22">
        <f>F289-F322-'Пр.4 ведом.21'!V1259-'Пр.4 ведом.21'!X1259-'Пр.4 ведом.21'!AA1259</f>
        <v>8221.5</v>
      </c>
      <c r="L289" s="22">
        <f>F322+F335+F348-'Пр.4 ведом.21'!V1258-'Пр.4 ведом.21'!AA1258-'Пр.4 ведом.21'!X1258+F293</f>
        <v>214.2</v>
      </c>
    </row>
    <row r="290" spans="1:12" ht="15.75" x14ac:dyDescent="0.25">
      <c r="A290" s="23" t="s">
        <v>233</v>
      </c>
      <c r="B290" s="24" t="s">
        <v>150</v>
      </c>
      <c r="C290" s="24" t="s">
        <v>234</v>
      </c>
      <c r="D290" s="24"/>
      <c r="E290" s="20"/>
      <c r="F290" s="4">
        <f>F291</f>
        <v>19</v>
      </c>
    </row>
    <row r="291" spans="1:12" ht="31.7" customHeight="1" x14ac:dyDescent="0.25">
      <c r="A291" s="34" t="s">
        <v>1386</v>
      </c>
      <c r="B291" s="24" t="s">
        <v>150</v>
      </c>
      <c r="C291" s="24" t="s">
        <v>234</v>
      </c>
      <c r="D291" s="194" t="s">
        <v>182</v>
      </c>
      <c r="E291" s="221"/>
      <c r="F291" s="4">
        <f>F292+F296</f>
        <v>19</v>
      </c>
    </row>
    <row r="292" spans="1:12" ht="31.5" x14ac:dyDescent="0.25">
      <c r="A292" s="34" t="s">
        <v>1006</v>
      </c>
      <c r="B292" s="24" t="s">
        <v>150</v>
      </c>
      <c r="C292" s="24" t="s">
        <v>234</v>
      </c>
      <c r="D292" s="248" t="s">
        <v>877</v>
      </c>
      <c r="E292" s="221"/>
      <c r="F292" s="4">
        <f>F293</f>
        <v>19</v>
      </c>
    </row>
    <row r="293" spans="1:12" ht="31.5" x14ac:dyDescent="0.25">
      <c r="A293" s="25" t="s">
        <v>235</v>
      </c>
      <c r="B293" s="20" t="s">
        <v>150</v>
      </c>
      <c r="C293" s="20" t="s">
        <v>234</v>
      </c>
      <c r="D293" s="20" t="s">
        <v>898</v>
      </c>
      <c r="E293" s="32"/>
      <c r="F293" s="6">
        <f>F294</f>
        <v>19</v>
      </c>
    </row>
    <row r="294" spans="1:12" ht="15.75" x14ac:dyDescent="0.25">
      <c r="A294" s="29" t="s">
        <v>135</v>
      </c>
      <c r="B294" s="20" t="s">
        <v>150</v>
      </c>
      <c r="C294" s="20" t="s">
        <v>234</v>
      </c>
      <c r="D294" s="20" t="s">
        <v>898</v>
      </c>
      <c r="E294" s="32" t="s">
        <v>145</v>
      </c>
      <c r="F294" s="6">
        <f>F295</f>
        <v>19</v>
      </c>
    </row>
    <row r="295" spans="1:12" ht="47.25" x14ac:dyDescent="0.25">
      <c r="A295" s="29" t="s">
        <v>184</v>
      </c>
      <c r="B295" s="20" t="s">
        <v>150</v>
      </c>
      <c r="C295" s="20" t="s">
        <v>234</v>
      </c>
      <c r="D295" s="20" t="s">
        <v>898</v>
      </c>
      <c r="E295" s="32" t="s">
        <v>160</v>
      </c>
      <c r="F295" s="6">
        <f>'Пр.4 ведом.21'!G220</f>
        <v>19</v>
      </c>
    </row>
    <row r="296" spans="1:12" ht="47.25" hidden="1" x14ac:dyDescent="0.25">
      <c r="A296" s="213" t="s">
        <v>1007</v>
      </c>
      <c r="B296" s="24" t="s">
        <v>150</v>
      </c>
      <c r="C296" s="24" t="s">
        <v>234</v>
      </c>
      <c r="D296" s="194" t="s">
        <v>879</v>
      </c>
      <c r="E296" s="221"/>
      <c r="F296" s="4">
        <f>F297</f>
        <v>0</v>
      </c>
    </row>
    <row r="297" spans="1:12" s="203" customFormat="1" ht="15.75" hidden="1" x14ac:dyDescent="0.25">
      <c r="A297" s="25" t="s">
        <v>878</v>
      </c>
      <c r="B297" s="20" t="s">
        <v>150</v>
      </c>
      <c r="C297" s="20" t="s">
        <v>234</v>
      </c>
      <c r="D297" s="5" t="s">
        <v>899</v>
      </c>
      <c r="E297" s="32"/>
      <c r="F297" s="6">
        <f>F298</f>
        <v>0</v>
      </c>
    </row>
    <row r="298" spans="1:12" s="203" customFormat="1" ht="15.75" hidden="1" x14ac:dyDescent="0.25">
      <c r="A298" s="29" t="s">
        <v>135</v>
      </c>
      <c r="B298" s="20" t="s">
        <v>150</v>
      </c>
      <c r="C298" s="20" t="s">
        <v>234</v>
      </c>
      <c r="D298" s="5" t="s">
        <v>899</v>
      </c>
      <c r="E298" s="32" t="s">
        <v>145</v>
      </c>
      <c r="F298" s="6">
        <f>F299</f>
        <v>0</v>
      </c>
    </row>
    <row r="299" spans="1:12" s="203" customFormat="1" ht="47.25" hidden="1" x14ac:dyDescent="0.25">
      <c r="A299" s="29" t="s">
        <v>184</v>
      </c>
      <c r="B299" s="20" t="s">
        <v>150</v>
      </c>
      <c r="C299" s="20" t="s">
        <v>234</v>
      </c>
      <c r="D299" s="5" t="s">
        <v>899</v>
      </c>
      <c r="E299" s="32" t="s">
        <v>160</v>
      </c>
      <c r="F299" s="6">
        <f>'Пр.4 ведом.21'!G224</f>
        <v>0</v>
      </c>
    </row>
    <row r="300" spans="1:12" ht="15.75" x14ac:dyDescent="0.25">
      <c r="A300" s="23" t="s">
        <v>505</v>
      </c>
      <c r="B300" s="24" t="s">
        <v>150</v>
      </c>
      <c r="C300" s="24" t="s">
        <v>299</v>
      </c>
      <c r="D300" s="24"/>
      <c r="E300" s="24"/>
      <c r="F300" s="4">
        <f t="shared" ref="F300:F304" si="36">F301</f>
        <v>3258</v>
      </c>
    </row>
    <row r="301" spans="1:12" ht="15.75" x14ac:dyDescent="0.25">
      <c r="A301" s="23" t="s">
        <v>141</v>
      </c>
      <c r="B301" s="24" t="s">
        <v>150</v>
      </c>
      <c r="C301" s="24" t="s">
        <v>299</v>
      </c>
      <c r="D301" s="24" t="s">
        <v>866</v>
      </c>
      <c r="E301" s="24"/>
      <c r="F301" s="4">
        <f t="shared" si="36"/>
        <v>3258</v>
      </c>
    </row>
    <row r="302" spans="1:12" ht="31.5" x14ac:dyDescent="0.25">
      <c r="A302" s="23" t="s">
        <v>870</v>
      </c>
      <c r="B302" s="24" t="s">
        <v>150</v>
      </c>
      <c r="C302" s="24" t="s">
        <v>299</v>
      </c>
      <c r="D302" s="24" t="s">
        <v>865</v>
      </c>
      <c r="E302" s="24"/>
      <c r="F302" s="4">
        <f t="shared" si="36"/>
        <v>3258</v>
      </c>
    </row>
    <row r="303" spans="1:12" ht="17.45" customHeight="1" x14ac:dyDescent="0.25">
      <c r="A303" s="25" t="s">
        <v>506</v>
      </c>
      <c r="B303" s="20" t="s">
        <v>150</v>
      </c>
      <c r="C303" s="20" t="s">
        <v>299</v>
      </c>
      <c r="D303" s="20" t="s">
        <v>957</v>
      </c>
      <c r="E303" s="20"/>
      <c r="F303" s="6">
        <f t="shared" si="36"/>
        <v>3258</v>
      </c>
    </row>
    <row r="304" spans="1:12" ht="34.5" customHeight="1" x14ac:dyDescent="0.25">
      <c r="A304" s="25" t="s">
        <v>131</v>
      </c>
      <c r="B304" s="20" t="s">
        <v>150</v>
      </c>
      <c r="C304" s="20" t="s">
        <v>299</v>
      </c>
      <c r="D304" s="20" t="s">
        <v>957</v>
      </c>
      <c r="E304" s="20" t="s">
        <v>132</v>
      </c>
      <c r="F304" s="6">
        <f t="shared" si="36"/>
        <v>3258</v>
      </c>
    </row>
    <row r="305" spans="1:6" ht="38.25" customHeight="1" x14ac:dyDescent="0.25">
      <c r="A305" s="25" t="s">
        <v>133</v>
      </c>
      <c r="B305" s="20" t="s">
        <v>150</v>
      </c>
      <c r="C305" s="20" t="s">
        <v>299</v>
      </c>
      <c r="D305" s="20" t="s">
        <v>957</v>
      </c>
      <c r="E305" s="20" t="s">
        <v>134</v>
      </c>
      <c r="F305" s="378">
        <f>'Пр.4 ведом.21'!G992</f>
        <v>3258</v>
      </c>
    </row>
    <row r="306" spans="1:6" ht="15.75" x14ac:dyDescent="0.25">
      <c r="A306" s="23" t="s">
        <v>508</v>
      </c>
      <c r="B306" s="24" t="s">
        <v>150</v>
      </c>
      <c r="C306" s="24" t="s">
        <v>219</v>
      </c>
      <c r="D306" s="20"/>
      <c r="E306" s="24"/>
      <c r="F306" s="4">
        <f t="shared" ref="F306" si="37">F307</f>
        <v>4844.5</v>
      </c>
    </row>
    <row r="307" spans="1:6" ht="47.25" x14ac:dyDescent="0.25">
      <c r="A307" s="34" t="s">
        <v>1381</v>
      </c>
      <c r="B307" s="24" t="s">
        <v>150</v>
      </c>
      <c r="C307" s="24" t="s">
        <v>219</v>
      </c>
      <c r="D307" s="24" t="s">
        <v>510</v>
      </c>
      <c r="E307" s="24"/>
      <c r="F307" s="59">
        <f>F308+F312</f>
        <v>4844.5</v>
      </c>
    </row>
    <row r="308" spans="1:6" ht="31.5" hidden="1" x14ac:dyDescent="0.25">
      <c r="A308" s="34" t="s">
        <v>999</v>
      </c>
      <c r="B308" s="24" t="s">
        <v>150</v>
      </c>
      <c r="C308" s="24" t="s">
        <v>219</v>
      </c>
      <c r="D308" s="7" t="s">
        <v>958</v>
      </c>
      <c r="E308" s="24"/>
      <c r="F308" s="59">
        <f>F309</f>
        <v>0</v>
      </c>
    </row>
    <row r="309" spans="1:6" ht="15.75" hidden="1" x14ac:dyDescent="0.25">
      <c r="A309" s="29" t="s">
        <v>1001</v>
      </c>
      <c r="B309" s="20" t="s">
        <v>150</v>
      </c>
      <c r="C309" s="20" t="s">
        <v>219</v>
      </c>
      <c r="D309" s="40" t="s">
        <v>1000</v>
      </c>
      <c r="E309" s="20"/>
      <c r="F309" s="10">
        <f>F310</f>
        <v>0</v>
      </c>
    </row>
    <row r="310" spans="1:6" ht="31.5" hidden="1" x14ac:dyDescent="0.25">
      <c r="A310" s="25" t="s">
        <v>131</v>
      </c>
      <c r="B310" s="20" t="s">
        <v>150</v>
      </c>
      <c r="C310" s="20" t="s">
        <v>219</v>
      </c>
      <c r="D310" s="40" t="s">
        <v>1000</v>
      </c>
      <c r="E310" s="20" t="s">
        <v>132</v>
      </c>
      <c r="F310" s="378">
        <f>F311</f>
        <v>0</v>
      </c>
    </row>
    <row r="311" spans="1:6" ht="31.5" hidden="1" x14ac:dyDescent="0.25">
      <c r="A311" s="25" t="s">
        <v>133</v>
      </c>
      <c r="B311" s="20" t="s">
        <v>150</v>
      </c>
      <c r="C311" s="20" t="s">
        <v>219</v>
      </c>
      <c r="D311" s="40" t="s">
        <v>1000</v>
      </c>
      <c r="E311" s="20" t="s">
        <v>134</v>
      </c>
      <c r="F311" s="378">
        <f>'Пр.4 ведом.21'!G998</f>
        <v>0</v>
      </c>
    </row>
    <row r="312" spans="1:6" ht="31.5" x14ac:dyDescent="0.25">
      <c r="A312" s="34" t="s">
        <v>1063</v>
      </c>
      <c r="B312" s="24" t="s">
        <v>150</v>
      </c>
      <c r="C312" s="24" t="s">
        <v>219</v>
      </c>
      <c r="D312" s="24" t="s">
        <v>959</v>
      </c>
      <c r="E312" s="24"/>
      <c r="F312" s="380">
        <f>F313</f>
        <v>4844.5</v>
      </c>
    </row>
    <row r="313" spans="1:6" s="203" customFormat="1" ht="15.75" x14ac:dyDescent="0.25">
      <c r="A313" s="29" t="s">
        <v>511</v>
      </c>
      <c r="B313" s="20" t="s">
        <v>150</v>
      </c>
      <c r="C313" s="20" t="s">
        <v>219</v>
      </c>
      <c r="D313" s="40" t="s">
        <v>1002</v>
      </c>
      <c r="E313" s="20"/>
      <c r="F313" s="378">
        <f>F316+F318+F314</f>
        <v>4844.5</v>
      </c>
    </row>
    <row r="314" spans="1:6" s="203" customFormat="1" ht="78.75" x14ac:dyDescent="0.25">
      <c r="A314" s="25" t="s">
        <v>127</v>
      </c>
      <c r="B314" s="20" t="s">
        <v>150</v>
      </c>
      <c r="C314" s="20" t="s">
        <v>219</v>
      </c>
      <c r="D314" s="40" t="s">
        <v>1002</v>
      </c>
      <c r="E314" s="20" t="s">
        <v>128</v>
      </c>
      <c r="F314" s="378">
        <f>F315</f>
        <v>2367.8000000000002</v>
      </c>
    </row>
    <row r="315" spans="1:6" s="203" customFormat="1" ht="15.75" x14ac:dyDescent="0.25">
      <c r="A315" s="25" t="s">
        <v>208</v>
      </c>
      <c r="B315" s="20" t="s">
        <v>150</v>
      </c>
      <c r="C315" s="20" t="s">
        <v>219</v>
      </c>
      <c r="D315" s="40" t="s">
        <v>1002</v>
      </c>
      <c r="E315" s="20" t="s">
        <v>209</v>
      </c>
      <c r="F315" s="378">
        <f>'Пр.4 ведом.21'!G1002</f>
        <v>2367.8000000000002</v>
      </c>
    </row>
    <row r="316" spans="1:6" s="203" customFormat="1" ht="31.5" x14ac:dyDescent="0.25">
      <c r="A316" s="25" t="s">
        <v>131</v>
      </c>
      <c r="B316" s="20" t="s">
        <v>150</v>
      </c>
      <c r="C316" s="20" t="s">
        <v>219</v>
      </c>
      <c r="D316" s="40" t="s">
        <v>1002</v>
      </c>
      <c r="E316" s="20" t="s">
        <v>132</v>
      </c>
      <c r="F316" s="378">
        <f>F317</f>
        <v>2476.7000000000003</v>
      </c>
    </row>
    <row r="317" spans="1:6" s="203" customFormat="1" ht="35.450000000000003" customHeight="1" x14ac:dyDescent="0.25">
      <c r="A317" s="25" t="s">
        <v>133</v>
      </c>
      <c r="B317" s="20" t="s">
        <v>150</v>
      </c>
      <c r="C317" s="20" t="s">
        <v>219</v>
      </c>
      <c r="D317" s="40" t="s">
        <v>1002</v>
      </c>
      <c r="E317" s="20" t="s">
        <v>134</v>
      </c>
      <c r="F317" s="378">
        <f>'Пр.4 ведом.21'!G1004</f>
        <v>2476.7000000000003</v>
      </c>
    </row>
    <row r="318" spans="1:6" s="203" customFormat="1" ht="15.75" hidden="1" x14ac:dyDescent="0.25">
      <c r="A318" s="25" t="s">
        <v>135</v>
      </c>
      <c r="B318" s="20" t="s">
        <v>150</v>
      </c>
      <c r="C318" s="20" t="s">
        <v>219</v>
      </c>
      <c r="D318" s="40" t="s">
        <v>1002</v>
      </c>
      <c r="E318" s="20" t="s">
        <v>145</v>
      </c>
      <c r="F318" s="378">
        <f>F319</f>
        <v>0</v>
      </c>
    </row>
    <row r="319" spans="1:6" s="203" customFormat="1" ht="15.75" hidden="1" x14ac:dyDescent="0.25">
      <c r="A319" s="25" t="s">
        <v>568</v>
      </c>
      <c r="B319" s="20" t="s">
        <v>150</v>
      </c>
      <c r="C319" s="20" t="s">
        <v>219</v>
      </c>
      <c r="D319" s="40" t="s">
        <v>1002</v>
      </c>
      <c r="E319" s="20" t="s">
        <v>138</v>
      </c>
      <c r="F319" s="378">
        <f>'Пр.4 ведом.21'!G1006</f>
        <v>0</v>
      </c>
    </row>
    <row r="320" spans="1:6" ht="41.45" customHeight="1" x14ac:dyDescent="0.25">
      <c r="A320" s="23" t="s">
        <v>237</v>
      </c>
      <c r="B320" s="24" t="s">
        <v>150</v>
      </c>
      <c r="C320" s="24" t="s">
        <v>238</v>
      </c>
      <c r="D320" s="24"/>
      <c r="E320" s="24"/>
      <c r="F320" s="59">
        <f>F321+F328+F346</f>
        <v>364.2</v>
      </c>
    </row>
    <row r="321" spans="1:7" ht="31.5" x14ac:dyDescent="0.25">
      <c r="A321" s="23" t="s">
        <v>917</v>
      </c>
      <c r="B321" s="24" t="s">
        <v>150</v>
      </c>
      <c r="C321" s="24" t="s">
        <v>238</v>
      </c>
      <c r="D321" s="24" t="s">
        <v>858</v>
      </c>
      <c r="E321" s="24"/>
      <c r="F321" s="59">
        <f>F322</f>
        <v>264.2</v>
      </c>
    </row>
    <row r="322" spans="1:7" ht="31.5" x14ac:dyDescent="0.25">
      <c r="A322" s="23" t="s">
        <v>885</v>
      </c>
      <c r="B322" s="24" t="s">
        <v>150</v>
      </c>
      <c r="C322" s="24" t="s">
        <v>238</v>
      </c>
      <c r="D322" s="24" t="s">
        <v>863</v>
      </c>
      <c r="E322" s="24"/>
      <c r="F322" s="59">
        <f>F323</f>
        <v>264.2</v>
      </c>
    </row>
    <row r="323" spans="1:7" ht="63" x14ac:dyDescent="0.25">
      <c r="A323" s="31" t="s">
        <v>241</v>
      </c>
      <c r="B323" s="20" t="s">
        <v>150</v>
      </c>
      <c r="C323" s="20" t="s">
        <v>238</v>
      </c>
      <c r="D323" s="20" t="s">
        <v>924</v>
      </c>
      <c r="E323" s="20"/>
      <c r="F323" s="10">
        <f>F324+F326</f>
        <v>264.2</v>
      </c>
      <c r="G323" s="231">
        <f>F323+F71+F74+F75+F80+F85+F90+F999+F1005</f>
        <v>7262.3000000000011</v>
      </c>
    </row>
    <row r="324" spans="1:7" ht="78.75" x14ac:dyDescent="0.25">
      <c r="A324" s="25" t="s">
        <v>127</v>
      </c>
      <c r="B324" s="20" t="s">
        <v>150</v>
      </c>
      <c r="C324" s="20" t="s">
        <v>238</v>
      </c>
      <c r="D324" s="20" t="s">
        <v>924</v>
      </c>
      <c r="E324" s="20" t="s">
        <v>128</v>
      </c>
      <c r="F324" s="10">
        <f>F325</f>
        <v>240.2</v>
      </c>
    </row>
    <row r="325" spans="1:7" ht="32.25" customHeight="1" x14ac:dyDescent="0.25">
      <c r="A325" s="25" t="s">
        <v>129</v>
      </c>
      <c r="B325" s="20" t="s">
        <v>150</v>
      </c>
      <c r="C325" s="20" t="s">
        <v>238</v>
      </c>
      <c r="D325" s="20" t="s">
        <v>924</v>
      </c>
      <c r="E325" s="20" t="s">
        <v>130</v>
      </c>
      <c r="F325" s="10">
        <f>'Пр.4 ведом.21'!G230</f>
        <v>240.2</v>
      </c>
    </row>
    <row r="326" spans="1:7" ht="31.5" x14ac:dyDescent="0.25">
      <c r="A326" s="25" t="s">
        <v>131</v>
      </c>
      <c r="B326" s="20" t="s">
        <v>150</v>
      </c>
      <c r="C326" s="20" t="s">
        <v>238</v>
      </c>
      <c r="D326" s="20" t="s">
        <v>924</v>
      </c>
      <c r="E326" s="20" t="s">
        <v>132</v>
      </c>
      <c r="F326" s="10">
        <f>F327</f>
        <v>24</v>
      </c>
    </row>
    <row r="327" spans="1:7" ht="31.5" x14ac:dyDescent="0.25">
      <c r="A327" s="25" t="s">
        <v>133</v>
      </c>
      <c r="B327" s="20" t="s">
        <v>150</v>
      </c>
      <c r="C327" s="20" t="s">
        <v>238</v>
      </c>
      <c r="D327" s="20" t="s">
        <v>924</v>
      </c>
      <c r="E327" s="20" t="s">
        <v>134</v>
      </c>
      <c r="F327" s="10">
        <f>'Пр.4 ведом.21'!G232</f>
        <v>24</v>
      </c>
    </row>
    <row r="328" spans="1:7" s="203" customFormat="1" ht="47.25" hidden="1" x14ac:dyDescent="0.25">
      <c r="A328" s="23" t="s">
        <v>1202</v>
      </c>
      <c r="B328" s="24" t="s">
        <v>150</v>
      </c>
      <c r="C328" s="24" t="s">
        <v>238</v>
      </c>
      <c r="D328" s="24" t="s">
        <v>344</v>
      </c>
      <c r="E328" s="221"/>
      <c r="F328" s="59">
        <f>F329</f>
        <v>0</v>
      </c>
    </row>
    <row r="329" spans="1:7" s="203" customFormat="1" ht="63" hidden="1" x14ac:dyDescent="0.25">
      <c r="A329" s="23" t="s">
        <v>367</v>
      </c>
      <c r="B329" s="24" t="s">
        <v>150</v>
      </c>
      <c r="C329" s="24" t="s">
        <v>238</v>
      </c>
      <c r="D329" s="24" t="s">
        <v>356</v>
      </c>
      <c r="E329" s="24"/>
      <c r="F329" s="59">
        <f>F330+F334+F338+F342</f>
        <v>0</v>
      </c>
    </row>
    <row r="330" spans="1:7" s="203" customFormat="1" ht="47.25" hidden="1" x14ac:dyDescent="0.25">
      <c r="A330" s="214" t="s">
        <v>1045</v>
      </c>
      <c r="B330" s="24" t="s">
        <v>150</v>
      </c>
      <c r="C330" s="24" t="s">
        <v>238</v>
      </c>
      <c r="D330" s="24" t="s">
        <v>907</v>
      </c>
      <c r="E330" s="24"/>
      <c r="F330" s="59">
        <f>F331</f>
        <v>0</v>
      </c>
    </row>
    <row r="331" spans="1:7" s="203" customFormat="1" ht="47.25" hidden="1" x14ac:dyDescent="0.25">
      <c r="A331" s="25" t="s">
        <v>375</v>
      </c>
      <c r="B331" s="20" t="s">
        <v>150</v>
      </c>
      <c r="C331" s="20" t="s">
        <v>238</v>
      </c>
      <c r="D331" s="20" t="s">
        <v>1323</v>
      </c>
      <c r="E331" s="20"/>
      <c r="F331" s="10">
        <f>F332</f>
        <v>0</v>
      </c>
    </row>
    <row r="332" spans="1:7" s="203" customFormat="1" ht="21.2" hidden="1" customHeight="1" x14ac:dyDescent="0.25">
      <c r="A332" s="25" t="s">
        <v>248</v>
      </c>
      <c r="B332" s="20" t="s">
        <v>150</v>
      </c>
      <c r="C332" s="20" t="s">
        <v>238</v>
      </c>
      <c r="D332" s="20" t="s">
        <v>1323</v>
      </c>
      <c r="E332" s="20" t="s">
        <v>249</v>
      </c>
      <c r="F332" s="10">
        <f>F333</f>
        <v>0</v>
      </c>
    </row>
    <row r="333" spans="1:7" s="203" customFormat="1" ht="31.5" hidden="1" x14ac:dyDescent="0.25">
      <c r="A333" s="25" t="s">
        <v>250</v>
      </c>
      <c r="B333" s="20" t="s">
        <v>150</v>
      </c>
      <c r="C333" s="20" t="s">
        <v>238</v>
      </c>
      <c r="D333" s="20" t="s">
        <v>1323</v>
      </c>
      <c r="E333" s="20" t="s">
        <v>251</v>
      </c>
      <c r="F333" s="10">
        <f>'Пр.4 ведом.21'!G305</f>
        <v>0</v>
      </c>
    </row>
    <row r="334" spans="1:7" s="203" customFormat="1" ht="31.5" hidden="1" x14ac:dyDescent="0.25">
      <c r="A334" s="23" t="s">
        <v>1043</v>
      </c>
      <c r="B334" s="24" t="s">
        <v>150</v>
      </c>
      <c r="C334" s="24" t="s">
        <v>238</v>
      </c>
      <c r="D334" s="24" t="s">
        <v>1204</v>
      </c>
      <c r="E334" s="24"/>
      <c r="F334" s="59">
        <f>F335</f>
        <v>0</v>
      </c>
    </row>
    <row r="335" spans="1:7" s="203" customFormat="1" ht="31.5" hidden="1" x14ac:dyDescent="0.25">
      <c r="A335" s="25" t="s">
        <v>1044</v>
      </c>
      <c r="B335" s="20" t="s">
        <v>150</v>
      </c>
      <c r="C335" s="20" t="s">
        <v>238</v>
      </c>
      <c r="D335" s="20" t="s">
        <v>1205</v>
      </c>
      <c r="E335" s="20"/>
      <c r="F335" s="10">
        <f>F336</f>
        <v>0</v>
      </c>
    </row>
    <row r="336" spans="1:7" s="203" customFormat="1" ht="15.75" hidden="1" x14ac:dyDescent="0.25">
      <c r="A336" s="25" t="s">
        <v>135</v>
      </c>
      <c r="B336" s="20" t="s">
        <v>150</v>
      </c>
      <c r="C336" s="20" t="s">
        <v>238</v>
      </c>
      <c r="D336" s="20" t="s">
        <v>1205</v>
      </c>
      <c r="E336" s="20" t="s">
        <v>145</v>
      </c>
      <c r="F336" s="10">
        <f>F337</f>
        <v>0</v>
      </c>
    </row>
    <row r="337" spans="1:12" s="203" customFormat="1" ht="47.25" hidden="1" x14ac:dyDescent="0.25">
      <c r="A337" s="25" t="s">
        <v>184</v>
      </c>
      <c r="B337" s="20" t="s">
        <v>150</v>
      </c>
      <c r="C337" s="20" t="s">
        <v>238</v>
      </c>
      <c r="D337" s="20" t="s">
        <v>1205</v>
      </c>
      <c r="E337" s="20" t="s">
        <v>160</v>
      </c>
      <c r="F337" s="10">
        <f>'Пр.4 ведом.21'!G309</f>
        <v>0</v>
      </c>
    </row>
    <row r="338" spans="1:12" s="203" customFormat="1" ht="31.5" hidden="1" x14ac:dyDescent="0.25">
      <c r="A338" s="23" t="s">
        <v>995</v>
      </c>
      <c r="B338" s="24" t="s">
        <v>150</v>
      </c>
      <c r="C338" s="24" t="s">
        <v>238</v>
      </c>
      <c r="D338" s="24" t="s">
        <v>1315</v>
      </c>
      <c r="E338" s="24"/>
      <c r="F338" s="59">
        <f>F339</f>
        <v>0</v>
      </c>
    </row>
    <row r="339" spans="1:12" s="203" customFormat="1" ht="31.5" hidden="1" x14ac:dyDescent="0.25">
      <c r="A339" s="249" t="s">
        <v>1046</v>
      </c>
      <c r="B339" s="20" t="s">
        <v>150</v>
      </c>
      <c r="C339" s="20" t="s">
        <v>238</v>
      </c>
      <c r="D339" s="20" t="s">
        <v>1316</v>
      </c>
      <c r="E339" s="20"/>
      <c r="F339" s="10">
        <f>F340</f>
        <v>0</v>
      </c>
    </row>
    <row r="340" spans="1:12" s="203" customFormat="1" ht="31.5" hidden="1" x14ac:dyDescent="0.25">
      <c r="A340" s="25" t="s">
        <v>131</v>
      </c>
      <c r="B340" s="20" t="s">
        <v>150</v>
      </c>
      <c r="C340" s="20" t="s">
        <v>238</v>
      </c>
      <c r="D340" s="20" t="s">
        <v>1316</v>
      </c>
      <c r="E340" s="20" t="s">
        <v>132</v>
      </c>
      <c r="F340" s="10">
        <f>F341</f>
        <v>0</v>
      </c>
    </row>
    <row r="341" spans="1:12" s="203" customFormat="1" ht="31.5" hidden="1" x14ac:dyDescent="0.25">
      <c r="A341" s="25" t="s">
        <v>133</v>
      </c>
      <c r="B341" s="20" t="s">
        <v>150</v>
      </c>
      <c r="C341" s="20" t="s">
        <v>238</v>
      </c>
      <c r="D341" s="20" t="s">
        <v>1316</v>
      </c>
      <c r="E341" s="20" t="s">
        <v>134</v>
      </c>
      <c r="F341" s="10">
        <f>'Пр.4 ведом.21'!G313</f>
        <v>0</v>
      </c>
    </row>
    <row r="342" spans="1:12" s="203" customFormat="1" ht="31.5" hidden="1" x14ac:dyDescent="0.25">
      <c r="A342" s="211" t="s">
        <v>1106</v>
      </c>
      <c r="B342" s="24" t="s">
        <v>150</v>
      </c>
      <c r="C342" s="24" t="s">
        <v>238</v>
      </c>
      <c r="D342" s="24" t="s">
        <v>1206</v>
      </c>
      <c r="E342" s="24"/>
      <c r="F342" s="21">
        <f>F343</f>
        <v>0</v>
      </c>
    </row>
    <row r="343" spans="1:12" s="203" customFormat="1" ht="31.5" hidden="1" x14ac:dyDescent="0.25">
      <c r="A343" s="230" t="s">
        <v>1107</v>
      </c>
      <c r="B343" s="20" t="s">
        <v>150</v>
      </c>
      <c r="C343" s="20" t="s">
        <v>238</v>
      </c>
      <c r="D343" s="20" t="s">
        <v>1207</v>
      </c>
      <c r="E343" s="20"/>
      <c r="F343" s="26">
        <f>F344</f>
        <v>0</v>
      </c>
    </row>
    <row r="344" spans="1:12" s="203" customFormat="1" ht="31.5" hidden="1" x14ac:dyDescent="0.25">
      <c r="A344" s="25" t="s">
        <v>131</v>
      </c>
      <c r="B344" s="20" t="s">
        <v>150</v>
      </c>
      <c r="C344" s="20" t="s">
        <v>238</v>
      </c>
      <c r="D344" s="20" t="s">
        <v>1207</v>
      </c>
      <c r="E344" s="20" t="s">
        <v>132</v>
      </c>
      <c r="F344" s="26">
        <f>F345</f>
        <v>0</v>
      </c>
    </row>
    <row r="345" spans="1:12" s="203" customFormat="1" ht="31.5" hidden="1" x14ac:dyDescent="0.25">
      <c r="A345" s="25" t="s">
        <v>133</v>
      </c>
      <c r="B345" s="20" t="s">
        <v>150</v>
      </c>
      <c r="C345" s="20" t="s">
        <v>238</v>
      </c>
      <c r="D345" s="20" t="s">
        <v>1207</v>
      </c>
      <c r="E345" s="20" t="s">
        <v>134</v>
      </c>
      <c r="F345" s="26">
        <f>'Пр.4 ведом.21'!G317</f>
        <v>0</v>
      </c>
    </row>
    <row r="346" spans="1:12" ht="47.25" x14ac:dyDescent="0.25">
      <c r="A346" s="23" t="s">
        <v>1345</v>
      </c>
      <c r="B346" s="24" t="s">
        <v>150</v>
      </c>
      <c r="C346" s="24" t="s">
        <v>238</v>
      </c>
      <c r="D346" s="24" t="s">
        <v>156</v>
      </c>
      <c r="E346" s="24"/>
      <c r="F346" s="59">
        <f>F347</f>
        <v>100</v>
      </c>
    </row>
    <row r="347" spans="1:12" ht="47.25" x14ac:dyDescent="0.25">
      <c r="A347" s="23" t="s">
        <v>1067</v>
      </c>
      <c r="B347" s="24" t="s">
        <v>150</v>
      </c>
      <c r="C347" s="24" t="s">
        <v>238</v>
      </c>
      <c r="D347" s="24" t="s">
        <v>1064</v>
      </c>
      <c r="E347" s="24"/>
      <c r="F347" s="59">
        <f>F348</f>
        <v>100</v>
      </c>
    </row>
    <row r="348" spans="1:12" ht="31.5" x14ac:dyDescent="0.25">
      <c r="A348" s="25" t="s">
        <v>1068</v>
      </c>
      <c r="B348" s="20" t="s">
        <v>150</v>
      </c>
      <c r="C348" s="20" t="s">
        <v>238</v>
      </c>
      <c r="D348" s="20" t="s">
        <v>1065</v>
      </c>
      <c r="E348" s="20"/>
      <c r="F348" s="10">
        <f>F349</f>
        <v>100</v>
      </c>
    </row>
    <row r="349" spans="1:12" ht="15.75" x14ac:dyDescent="0.25">
      <c r="A349" s="25" t="s">
        <v>135</v>
      </c>
      <c r="B349" s="20" t="s">
        <v>150</v>
      </c>
      <c r="C349" s="20" t="s">
        <v>238</v>
      </c>
      <c r="D349" s="20" t="s">
        <v>1065</v>
      </c>
      <c r="E349" s="20" t="s">
        <v>145</v>
      </c>
      <c r="F349" s="10">
        <f>F350</f>
        <v>100</v>
      </c>
    </row>
    <row r="350" spans="1:12" ht="47.25" x14ac:dyDescent="0.25">
      <c r="A350" s="25" t="s">
        <v>184</v>
      </c>
      <c r="B350" s="20" t="s">
        <v>150</v>
      </c>
      <c r="C350" s="20" t="s">
        <v>238</v>
      </c>
      <c r="D350" s="20" t="s">
        <v>1065</v>
      </c>
      <c r="E350" s="20" t="s">
        <v>160</v>
      </c>
      <c r="F350" s="10">
        <f>'Пр.4 ведом.21'!G237</f>
        <v>100</v>
      </c>
    </row>
    <row r="351" spans="1:12" ht="15.75" x14ac:dyDescent="0.25">
      <c r="A351" s="23" t="s">
        <v>390</v>
      </c>
      <c r="B351" s="24" t="s">
        <v>234</v>
      </c>
      <c r="C351" s="24"/>
      <c r="D351" s="24"/>
      <c r="E351" s="24"/>
      <c r="F351" s="4">
        <f>F352++F369+F438+F500</f>
        <v>201358.07167999999</v>
      </c>
      <c r="G351">
        <v>67341.100000000006</v>
      </c>
      <c r="H351" s="22">
        <f>G351-F351</f>
        <v>-134016.97167999999</v>
      </c>
      <c r="K351" s="231">
        <f>F351-F476-'Пр.4 ведом.21'!K1249-'Пр.4 ведом.21'!Q1249</f>
        <v>178065.86767999997</v>
      </c>
      <c r="L351" s="231">
        <f>F476+F493-'Пр.4 ведом.21'!K1248-'Пр.4 ведом.21'!Q1248</f>
        <v>23292.204000000002</v>
      </c>
    </row>
    <row r="352" spans="1:12" ht="15.75" x14ac:dyDescent="0.25">
      <c r="A352" s="23" t="s">
        <v>391</v>
      </c>
      <c r="B352" s="24" t="s">
        <v>234</v>
      </c>
      <c r="C352" s="24" t="s">
        <v>118</v>
      </c>
      <c r="D352" s="24"/>
      <c r="E352" s="24"/>
      <c r="F352" s="4">
        <f t="shared" ref="F352:F353" si="38">F353</f>
        <v>23849.203469999997</v>
      </c>
      <c r="G352" s="22"/>
      <c r="H352" s="22"/>
      <c r="I352" s="22"/>
      <c r="L352" s="22"/>
    </row>
    <row r="353" spans="1:6" ht="15.75" x14ac:dyDescent="0.25">
      <c r="A353" s="23" t="s">
        <v>141</v>
      </c>
      <c r="B353" s="24" t="s">
        <v>234</v>
      </c>
      <c r="C353" s="24" t="s">
        <v>118</v>
      </c>
      <c r="D353" s="24" t="s">
        <v>866</v>
      </c>
      <c r="E353" s="24"/>
      <c r="F353" s="4">
        <f t="shared" si="38"/>
        <v>23849.203469999997</v>
      </c>
    </row>
    <row r="354" spans="1:6" ht="31.5" x14ac:dyDescent="0.25">
      <c r="A354" s="23" t="s">
        <v>870</v>
      </c>
      <c r="B354" s="24" t="s">
        <v>234</v>
      </c>
      <c r="C354" s="24" t="s">
        <v>118</v>
      </c>
      <c r="D354" s="24" t="s">
        <v>865</v>
      </c>
      <c r="E354" s="24"/>
      <c r="F354" s="4">
        <f>F355+F360+F363+F366</f>
        <v>23849.203469999997</v>
      </c>
    </row>
    <row r="355" spans="1:6" ht="15.75" x14ac:dyDescent="0.25">
      <c r="A355" s="25" t="s">
        <v>515</v>
      </c>
      <c r="B355" s="20" t="s">
        <v>774</v>
      </c>
      <c r="C355" s="20" t="s">
        <v>118</v>
      </c>
      <c r="D355" s="20" t="s">
        <v>960</v>
      </c>
      <c r="E355" s="24"/>
      <c r="F355" s="6">
        <f t="shared" ref="F355" si="39">F356+F358</f>
        <v>883.40000000000009</v>
      </c>
    </row>
    <row r="356" spans="1:6" ht="31.5" x14ac:dyDescent="0.25">
      <c r="A356" s="25" t="s">
        <v>131</v>
      </c>
      <c r="B356" s="20" t="s">
        <v>234</v>
      </c>
      <c r="C356" s="20" t="s">
        <v>118</v>
      </c>
      <c r="D356" s="20" t="s">
        <v>960</v>
      </c>
      <c r="E356" s="20" t="s">
        <v>132</v>
      </c>
      <c r="F356" s="6">
        <f t="shared" ref="F356" si="40">F357</f>
        <v>883.40000000000009</v>
      </c>
    </row>
    <row r="357" spans="1:6" ht="31.5" x14ac:dyDescent="0.25">
      <c r="A357" s="25" t="s">
        <v>133</v>
      </c>
      <c r="B357" s="20" t="s">
        <v>234</v>
      </c>
      <c r="C357" s="20" t="s">
        <v>118</v>
      </c>
      <c r="D357" s="20" t="s">
        <v>960</v>
      </c>
      <c r="E357" s="20" t="s">
        <v>134</v>
      </c>
      <c r="F357" s="6">
        <f>'Пр.4 ведом.21'!G1013</f>
        <v>883.40000000000009</v>
      </c>
    </row>
    <row r="358" spans="1:6" ht="15.75" hidden="1" x14ac:dyDescent="0.25">
      <c r="A358" s="25" t="s">
        <v>135</v>
      </c>
      <c r="B358" s="20" t="s">
        <v>234</v>
      </c>
      <c r="C358" s="20" t="s">
        <v>118</v>
      </c>
      <c r="D358" s="20" t="s">
        <v>960</v>
      </c>
      <c r="E358" s="20" t="s">
        <v>145</v>
      </c>
      <c r="F358" s="6">
        <f t="shared" ref="F358" si="41">F359</f>
        <v>0</v>
      </c>
    </row>
    <row r="359" spans="1:6" ht="47.25" hidden="1" x14ac:dyDescent="0.25">
      <c r="A359" s="25" t="s">
        <v>184</v>
      </c>
      <c r="B359" s="20" t="s">
        <v>234</v>
      </c>
      <c r="C359" s="20" t="s">
        <v>118</v>
      </c>
      <c r="D359" s="20" t="s">
        <v>960</v>
      </c>
      <c r="E359" s="20" t="s">
        <v>160</v>
      </c>
      <c r="F359" s="6">
        <f>'Пр.4 ведом.21'!G1015</f>
        <v>0</v>
      </c>
    </row>
    <row r="360" spans="1:6" ht="31.5" x14ac:dyDescent="0.25">
      <c r="A360" s="29" t="s">
        <v>398</v>
      </c>
      <c r="B360" s="20" t="s">
        <v>234</v>
      </c>
      <c r="C360" s="20" t="s">
        <v>118</v>
      </c>
      <c r="D360" s="20" t="s">
        <v>961</v>
      </c>
      <c r="E360" s="24"/>
      <c r="F360" s="6">
        <f t="shared" ref="F360:F361" si="42">F361</f>
        <v>4960.3999999999996</v>
      </c>
    </row>
    <row r="361" spans="1:6" ht="31.5" x14ac:dyDescent="0.25">
      <c r="A361" s="25" t="s">
        <v>131</v>
      </c>
      <c r="B361" s="20" t="s">
        <v>234</v>
      </c>
      <c r="C361" s="20" t="s">
        <v>118</v>
      </c>
      <c r="D361" s="20" t="s">
        <v>961</v>
      </c>
      <c r="E361" s="20" t="s">
        <v>132</v>
      </c>
      <c r="F361" s="6">
        <f t="shared" si="42"/>
        <v>4960.3999999999996</v>
      </c>
    </row>
    <row r="362" spans="1:6" ht="31.5" x14ac:dyDescent="0.25">
      <c r="A362" s="25" t="s">
        <v>133</v>
      </c>
      <c r="B362" s="20" t="s">
        <v>234</v>
      </c>
      <c r="C362" s="20" t="s">
        <v>118</v>
      </c>
      <c r="D362" s="20" t="s">
        <v>961</v>
      </c>
      <c r="E362" s="20" t="s">
        <v>134</v>
      </c>
      <c r="F362" s="6">
        <f>'Пр.4 ведом.21'!G611+'Пр.4 ведом.21'!G1018</f>
        <v>4960.3999999999996</v>
      </c>
    </row>
    <row r="363" spans="1:6" ht="31.5" x14ac:dyDescent="0.25">
      <c r="A363" s="29" t="s">
        <v>932</v>
      </c>
      <c r="B363" s="20" t="s">
        <v>234</v>
      </c>
      <c r="C363" s="20" t="s">
        <v>118</v>
      </c>
      <c r="D363" s="20" t="s">
        <v>962</v>
      </c>
      <c r="E363" s="24"/>
      <c r="F363" s="6">
        <f>F364</f>
        <v>1156.3000000000002</v>
      </c>
    </row>
    <row r="364" spans="1:6" ht="31.5" x14ac:dyDescent="0.25">
      <c r="A364" s="25" t="s">
        <v>131</v>
      </c>
      <c r="B364" s="20" t="s">
        <v>234</v>
      </c>
      <c r="C364" s="20" t="s">
        <v>118</v>
      </c>
      <c r="D364" s="20" t="s">
        <v>962</v>
      </c>
      <c r="E364" s="20" t="s">
        <v>132</v>
      </c>
      <c r="F364" s="6">
        <f>F365</f>
        <v>1156.3000000000002</v>
      </c>
    </row>
    <row r="365" spans="1:6" ht="31.5" x14ac:dyDescent="0.25">
      <c r="A365" s="25" t="s">
        <v>133</v>
      </c>
      <c r="B365" s="20" t="s">
        <v>234</v>
      </c>
      <c r="C365" s="20" t="s">
        <v>118</v>
      </c>
      <c r="D365" s="20" t="s">
        <v>962</v>
      </c>
      <c r="E365" s="20" t="s">
        <v>134</v>
      </c>
      <c r="F365" s="6">
        <f>'Пр.4 ведом.21'!G1021+'Пр.4 ведом.21'!G614</f>
        <v>1156.3000000000002</v>
      </c>
    </row>
    <row r="366" spans="1:6" s="434" customFormat="1" ht="31.5" x14ac:dyDescent="0.25">
      <c r="A366" s="437" t="s">
        <v>1626</v>
      </c>
      <c r="B366" s="436" t="s">
        <v>234</v>
      </c>
      <c r="C366" s="436" t="s">
        <v>118</v>
      </c>
      <c r="D366" s="436" t="s">
        <v>1627</v>
      </c>
      <c r="E366" s="436"/>
      <c r="F366" s="435">
        <f>F367</f>
        <v>16849.103469999998</v>
      </c>
    </row>
    <row r="367" spans="1:6" s="434" customFormat="1" ht="31.5" x14ac:dyDescent="0.25">
      <c r="A367" s="437" t="s">
        <v>131</v>
      </c>
      <c r="B367" s="436" t="s">
        <v>234</v>
      </c>
      <c r="C367" s="436" t="s">
        <v>118</v>
      </c>
      <c r="D367" s="436" t="s">
        <v>1627</v>
      </c>
      <c r="E367" s="436" t="s">
        <v>132</v>
      </c>
      <c r="F367" s="435">
        <f>F368</f>
        <v>16849.103469999998</v>
      </c>
    </row>
    <row r="368" spans="1:6" s="434" customFormat="1" ht="31.5" x14ac:dyDescent="0.25">
      <c r="A368" s="437" t="s">
        <v>133</v>
      </c>
      <c r="B368" s="436" t="s">
        <v>234</v>
      </c>
      <c r="C368" s="436" t="s">
        <v>118</v>
      </c>
      <c r="D368" s="436" t="s">
        <v>1627</v>
      </c>
      <c r="E368" s="436" t="s">
        <v>134</v>
      </c>
      <c r="F368" s="435">
        <f>'Пр.4 ведом.21'!G1024</f>
        <v>16849.103469999998</v>
      </c>
    </row>
    <row r="369" spans="1:8" ht="15.75" x14ac:dyDescent="0.25">
      <c r="A369" s="23" t="s">
        <v>517</v>
      </c>
      <c r="B369" s="24" t="s">
        <v>234</v>
      </c>
      <c r="C369" s="24" t="s">
        <v>213</v>
      </c>
      <c r="D369" s="24"/>
      <c r="E369" s="24"/>
      <c r="F369" s="4">
        <f>F400+F370+F433</f>
        <v>92512.65241000001</v>
      </c>
      <c r="H369" s="22"/>
    </row>
    <row r="370" spans="1:8" ht="15.75" x14ac:dyDescent="0.25">
      <c r="A370" s="23" t="s">
        <v>141</v>
      </c>
      <c r="B370" s="24" t="s">
        <v>234</v>
      </c>
      <c r="C370" s="24" t="s">
        <v>213</v>
      </c>
      <c r="D370" s="24" t="s">
        <v>866</v>
      </c>
      <c r="E370" s="24"/>
      <c r="F370" s="4">
        <f>F371+F383</f>
        <v>35452.059700000005</v>
      </c>
    </row>
    <row r="371" spans="1:8" ht="33" customHeight="1" x14ac:dyDescent="0.25">
      <c r="A371" s="23" t="s">
        <v>870</v>
      </c>
      <c r="B371" s="24" t="s">
        <v>234</v>
      </c>
      <c r="C371" s="24" t="s">
        <v>213</v>
      </c>
      <c r="D371" s="24" t="s">
        <v>865</v>
      </c>
      <c r="E371" s="24"/>
      <c r="F371" s="4">
        <f>F372+F378</f>
        <v>30145.010000000002</v>
      </c>
    </row>
    <row r="372" spans="1:8" ht="17.45" customHeight="1" x14ac:dyDescent="0.25">
      <c r="A372" s="35" t="s">
        <v>537</v>
      </c>
      <c r="B372" s="20" t="s">
        <v>234</v>
      </c>
      <c r="C372" s="20" t="s">
        <v>213</v>
      </c>
      <c r="D372" s="20" t="s">
        <v>979</v>
      </c>
      <c r="E372" s="20"/>
      <c r="F372" s="6">
        <f>F373+F375</f>
        <v>7029.3000000000029</v>
      </c>
    </row>
    <row r="373" spans="1:8" ht="35.450000000000003" customHeight="1" x14ac:dyDescent="0.25">
      <c r="A373" s="25" t="s">
        <v>131</v>
      </c>
      <c r="B373" s="20" t="s">
        <v>234</v>
      </c>
      <c r="C373" s="20" t="s">
        <v>213</v>
      </c>
      <c r="D373" s="20" t="s">
        <v>979</v>
      </c>
      <c r="E373" s="20" t="s">
        <v>132</v>
      </c>
      <c r="F373" s="6">
        <f>F374</f>
        <v>7029.3000000000029</v>
      </c>
    </row>
    <row r="374" spans="1:8" ht="31.5" x14ac:dyDescent="0.25">
      <c r="A374" s="25" t="s">
        <v>133</v>
      </c>
      <c r="B374" s="20" t="s">
        <v>234</v>
      </c>
      <c r="C374" s="20" t="s">
        <v>213</v>
      </c>
      <c r="D374" s="20" t="s">
        <v>979</v>
      </c>
      <c r="E374" s="20" t="s">
        <v>134</v>
      </c>
      <c r="F374" s="6">
        <f>'Пр.4 ведом.21'!G1030</f>
        <v>7029.3000000000029</v>
      </c>
    </row>
    <row r="375" spans="1:8" ht="15.75" hidden="1" x14ac:dyDescent="0.25">
      <c r="A375" s="25" t="s">
        <v>135</v>
      </c>
      <c r="B375" s="20" t="s">
        <v>234</v>
      </c>
      <c r="C375" s="20" t="s">
        <v>213</v>
      </c>
      <c r="D375" s="20" t="s">
        <v>979</v>
      </c>
      <c r="E375" s="20" t="s">
        <v>145</v>
      </c>
      <c r="F375" s="6">
        <f>F376+F377</f>
        <v>0</v>
      </c>
    </row>
    <row r="376" spans="1:8" ht="47.25" hidden="1" x14ac:dyDescent="0.25">
      <c r="A376" s="25" t="s">
        <v>184</v>
      </c>
      <c r="B376" s="20" t="s">
        <v>234</v>
      </c>
      <c r="C376" s="20" t="s">
        <v>213</v>
      </c>
      <c r="D376" s="20" t="s">
        <v>979</v>
      </c>
      <c r="E376" s="20" t="s">
        <v>160</v>
      </c>
      <c r="F376" s="6">
        <f>'Пр.4 ведом.21'!G1032</f>
        <v>0</v>
      </c>
    </row>
    <row r="377" spans="1:8" s="203" customFormat="1" ht="15.75" hidden="1" x14ac:dyDescent="0.25">
      <c r="A377" s="25" t="s">
        <v>1196</v>
      </c>
      <c r="B377" s="20" t="s">
        <v>234</v>
      </c>
      <c r="C377" s="20" t="s">
        <v>213</v>
      </c>
      <c r="D377" s="20" t="s">
        <v>979</v>
      </c>
      <c r="E377" s="20" t="s">
        <v>147</v>
      </c>
      <c r="F377" s="6">
        <f>'Пр.4 ведом.21'!G1033</f>
        <v>0</v>
      </c>
    </row>
    <row r="378" spans="1:8" ht="31.5" x14ac:dyDescent="0.25">
      <c r="A378" s="29" t="s">
        <v>932</v>
      </c>
      <c r="B378" s="20" t="s">
        <v>234</v>
      </c>
      <c r="C378" s="20" t="s">
        <v>213</v>
      </c>
      <c r="D378" s="20" t="s">
        <v>962</v>
      </c>
      <c r="E378" s="20"/>
      <c r="F378" s="6">
        <f>F379+F381</f>
        <v>23115.71</v>
      </c>
    </row>
    <row r="379" spans="1:8" ht="31.5" x14ac:dyDescent="0.25">
      <c r="A379" s="25" t="s">
        <v>131</v>
      </c>
      <c r="B379" s="20" t="s">
        <v>234</v>
      </c>
      <c r="C379" s="20" t="s">
        <v>213</v>
      </c>
      <c r="D379" s="20" t="s">
        <v>962</v>
      </c>
      <c r="E379" s="20" t="s">
        <v>132</v>
      </c>
      <c r="F379" s="6">
        <f t="shared" ref="F379" si="43">F380</f>
        <v>23065.71</v>
      </c>
    </row>
    <row r="380" spans="1:8" ht="31.5" x14ac:dyDescent="0.25">
      <c r="A380" s="25" t="s">
        <v>133</v>
      </c>
      <c r="B380" s="20" t="s">
        <v>234</v>
      </c>
      <c r="C380" s="20" t="s">
        <v>213</v>
      </c>
      <c r="D380" s="20" t="s">
        <v>962</v>
      </c>
      <c r="E380" s="20" t="s">
        <v>134</v>
      </c>
      <c r="F380" s="6">
        <f>'Пр.4 ведом.21'!G1036</f>
        <v>23065.71</v>
      </c>
    </row>
    <row r="381" spans="1:8" ht="15.75" x14ac:dyDescent="0.25">
      <c r="A381" s="25" t="s">
        <v>135</v>
      </c>
      <c r="B381" s="20" t="s">
        <v>234</v>
      </c>
      <c r="C381" s="20" t="s">
        <v>213</v>
      </c>
      <c r="D381" s="20" t="s">
        <v>962</v>
      </c>
      <c r="E381" s="20" t="s">
        <v>145</v>
      </c>
      <c r="F381" s="6">
        <f>F382</f>
        <v>50</v>
      </c>
    </row>
    <row r="382" spans="1:8" ht="15.75" x14ac:dyDescent="0.25">
      <c r="A382" s="25" t="s">
        <v>146</v>
      </c>
      <c r="B382" s="20" t="s">
        <v>234</v>
      </c>
      <c r="C382" s="20" t="s">
        <v>213</v>
      </c>
      <c r="D382" s="20" t="s">
        <v>962</v>
      </c>
      <c r="E382" s="20" t="s">
        <v>147</v>
      </c>
      <c r="F382" s="6">
        <f>'Пр.4 ведом.21'!G1038</f>
        <v>50</v>
      </c>
    </row>
    <row r="383" spans="1:8" ht="47.25" x14ac:dyDescent="0.25">
      <c r="A383" s="23" t="s">
        <v>1013</v>
      </c>
      <c r="B383" s="24" t="s">
        <v>234</v>
      </c>
      <c r="C383" s="24" t="s">
        <v>213</v>
      </c>
      <c r="D383" s="24" t="s">
        <v>980</v>
      </c>
      <c r="E383" s="24"/>
      <c r="F383" s="4">
        <f>F384+F389+F392+F397</f>
        <v>5307.0497000000032</v>
      </c>
    </row>
    <row r="384" spans="1:8" ht="47.25" x14ac:dyDescent="0.25">
      <c r="A384" s="25" t="s">
        <v>827</v>
      </c>
      <c r="B384" s="20" t="s">
        <v>234</v>
      </c>
      <c r="C384" s="20" t="s">
        <v>213</v>
      </c>
      <c r="D384" s="20" t="s">
        <v>981</v>
      </c>
      <c r="E384" s="20"/>
      <c r="F384" s="6">
        <f>F385+F387</f>
        <v>5307.0497000000032</v>
      </c>
    </row>
    <row r="385" spans="1:6" ht="31.5" x14ac:dyDescent="0.25">
      <c r="A385" s="25" t="s">
        <v>131</v>
      </c>
      <c r="B385" s="20" t="s">
        <v>234</v>
      </c>
      <c r="C385" s="20" t="s">
        <v>213</v>
      </c>
      <c r="D385" s="20" t="s">
        <v>981</v>
      </c>
      <c r="E385" s="20" t="s">
        <v>132</v>
      </c>
      <c r="F385" s="6">
        <f>F386</f>
        <v>5307.0497000000032</v>
      </c>
    </row>
    <row r="386" spans="1:6" ht="31.5" x14ac:dyDescent="0.25">
      <c r="A386" s="25" t="s">
        <v>133</v>
      </c>
      <c r="B386" s="20" t="s">
        <v>234</v>
      </c>
      <c r="C386" s="20" t="s">
        <v>213</v>
      </c>
      <c r="D386" s="20" t="s">
        <v>981</v>
      </c>
      <c r="E386" s="20" t="s">
        <v>134</v>
      </c>
      <c r="F386" s="6">
        <f>'Пр.4 ведом.21'!G1042</f>
        <v>5307.0497000000032</v>
      </c>
    </row>
    <row r="387" spans="1:6" ht="15.75" hidden="1" x14ac:dyDescent="0.25">
      <c r="A387" s="25" t="s">
        <v>135</v>
      </c>
      <c r="B387" s="20" t="s">
        <v>234</v>
      </c>
      <c r="C387" s="20" t="s">
        <v>213</v>
      </c>
      <c r="D387" s="20" t="s">
        <v>981</v>
      </c>
      <c r="E387" s="20" t="s">
        <v>837</v>
      </c>
      <c r="F387" s="6">
        <f>F388</f>
        <v>0</v>
      </c>
    </row>
    <row r="388" spans="1:6" ht="15.75" hidden="1" x14ac:dyDescent="0.25">
      <c r="A388" s="25" t="s">
        <v>568</v>
      </c>
      <c r="B388" s="20" t="s">
        <v>234</v>
      </c>
      <c r="C388" s="20" t="s">
        <v>213</v>
      </c>
      <c r="D388" s="20" t="s">
        <v>981</v>
      </c>
      <c r="E388" s="20" t="s">
        <v>1070</v>
      </c>
      <c r="F388" s="6">
        <f>'Пр.4 ведом.21'!G1044</f>
        <v>0</v>
      </c>
    </row>
    <row r="389" spans="1:6" ht="49.7" hidden="1" customHeight="1" x14ac:dyDescent="0.25">
      <c r="A389" s="25" t="s">
        <v>793</v>
      </c>
      <c r="B389" s="20" t="s">
        <v>234</v>
      </c>
      <c r="C389" s="20" t="s">
        <v>213</v>
      </c>
      <c r="D389" s="20" t="s">
        <v>982</v>
      </c>
      <c r="E389" s="20"/>
      <c r="F389" s="6">
        <f>F390</f>
        <v>0</v>
      </c>
    </row>
    <row r="390" spans="1:6" ht="31.5" hidden="1" x14ac:dyDescent="0.25">
      <c r="A390" s="25" t="s">
        <v>131</v>
      </c>
      <c r="B390" s="20" t="s">
        <v>234</v>
      </c>
      <c r="C390" s="20" t="s">
        <v>213</v>
      </c>
      <c r="D390" s="20" t="s">
        <v>982</v>
      </c>
      <c r="E390" s="20" t="s">
        <v>132</v>
      </c>
      <c r="F390" s="6">
        <f>F391</f>
        <v>0</v>
      </c>
    </row>
    <row r="391" spans="1:6" ht="31.5" hidden="1" x14ac:dyDescent="0.25">
      <c r="A391" s="25" t="s">
        <v>133</v>
      </c>
      <c r="B391" s="20" t="s">
        <v>234</v>
      </c>
      <c r="C391" s="20" t="s">
        <v>213</v>
      </c>
      <c r="D391" s="20" t="s">
        <v>982</v>
      </c>
      <c r="E391" s="20" t="s">
        <v>134</v>
      </c>
      <c r="F391" s="6">
        <f>'Пр.4 ведом.21'!G1047</f>
        <v>0</v>
      </c>
    </row>
    <row r="392" spans="1:6" ht="47.25" hidden="1" x14ac:dyDescent="0.25">
      <c r="A392" s="97" t="s">
        <v>833</v>
      </c>
      <c r="B392" s="20" t="s">
        <v>234</v>
      </c>
      <c r="C392" s="20" t="s">
        <v>213</v>
      </c>
      <c r="D392" s="20" t="s">
        <v>983</v>
      </c>
      <c r="E392" s="20"/>
      <c r="F392" s="6">
        <f>F393+F395</f>
        <v>0</v>
      </c>
    </row>
    <row r="393" spans="1:6" ht="31.5" hidden="1" x14ac:dyDescent="0.25">
      <c r="A393" s="25" t="s">
        <v>838</v>
      </c>
      <c r="B393" s="20" t="s">
        <v>234</v>
      </c>
      <c r="C393" s="20" t="s">
        <v>213</v>
      </c>
      <c r="D393" s="20" t="s">
        <v>983</v>
      </c>
      <c r="E393" s="20" t="s">
        <v>837</v>
      </c>
      <c r="F393" s="6">
        <f>F394</f>
        <v>0</v>
      </c>
    </row>
    <row r="394" spans="1:6" ht="31.7" hidden="1" customHeight="1" x14ac:dyDescent="0.25">
      <c r="A394" s="25" t="s">
        <v>1051</v>
      </c>
      <c r="B394" s="20" t="s">
        <v>234</v>
      </c>
      <c r="C394" s="20" t="s">
        <v>213</v>
      </c>
      <c r="D394" s="20" t="s">
        <v>983</v>
      </c>
      <c r="E394" s="20" t="s">
        <v>1070</v>
      </c>
      <c r="F394" s="6">
        <f>'Пр.4 ведом.21'!G1050</f>
        <v>0</v>
      </c>
    </row>
    <row r="395" spans="1:6" ht="21.2" hidden="1" customHeight="1" x14ac:dyDescent="0.25">
      <c r="A395" s="25" t="s">
        <v>135</v>
      </c>
      <c r="B395" s="20" t="s">
        <v>234</v>
      </c>
      <c r="C395" s="20" t="s">
        <v>213</v>
      </c>
      <c r="D395" s="20" t="s">
        <v>983</v>
      </c>
      <c r="E395" s="20" t="s">
        <v>145</v>
      </c>
      <c r="F395" s="6">
        <f>F396</f>
        <v>0</v>
      </c>
    </row>
    <row r="396" spans="1:6" ht="21.75" hidden="1" customHeight="1" x14ac:dyDescent="0.25">
      <c r="A396" s="25" t="s">
        <v>704</v>
      </c>
      <c r="B396" s="20" t="s">
        <v>234</v>
      </c>
      <c r="C396" s="20" t="s">
        <v>213</v>
      </c>
      <c r="D396" s="20" t="s">
        <v>983</v>
      </c>
      <c r="E396" s="20" t="s">
        <v>138</v>
      </c>
      <c r="F396" s="6">
        <f>'Пр.4 ведом.21'!G1052</f>
        <v>0</v>
      </c>
    </row>
    <row r="397" spans="1:6" ht="31.5" hidden="1" x14ac:dyDescent="0.25">
      <c r="A397" s="25" t="s">
        <v>1071</v>
      </c>
      <c r="B397" s="20" t="s">
        <v>234</v>
      </c>
      <c r="C397" s="20" t="s">
        <v>213</v>
      </c>
      <c r="D397" s="20" t="s">
        <v>1072</v>
      </c>
      <c r="E397" s="20"/>
      <c r="F397" s="6">
        <f t="shared" ref="F397:F398" si="44">F398</f>
        <v>0</v>
      </c>
    </row>
    <row r="398" spans="1:6" ht="31.5" hidden="1" x14ac:dyDescent="0.25">
      <c r="A398" s="25" t="s">
        <v>131</v>
      </c>
      <c r="B398" s="20" t="s">
        <v>234</v>
      </c>
      <c r="C398" s="20" t="s">
        <v>213</v>
      </c>
      <c r="D398" s="20" t="s">
        <v>1072</v>
      </c>
      <c r="E398" s="20" t="s">
        <v>132</v>
      </c>
      <c r="F398" s="6">
        <f t="shared" si="44"/>
        <v>0</v>
      </c>
    </row>
    <row r="399" spans="1:6" ht="31.5" hidden="1" x14ac:dyDescent="0.25">
      <c r="A399" s="25" t="s">
        <v>133</v>
      </c>
      <c r="B399" s="20" t="s">
        <v>234</v>
      </c>
      <c r="C399" s="20" t="s">
        <v>213</v>
      </c>
      <c r="D399" s="20" t="s">
        <v>1072</v>
      </c>
      <c r="E399" s="20" t="s">
        <v>134</v>
      </c>
      <c r="F399" s="6">
        <f>'Пр.4 ведом.21'!G1055</f>
        <v>0</v>
      </c>
    </row>
    <row r="400" spans="1:6" ht="63" x14ac:dyDescent="0.25">
      <c r="A400" s="23" t="s">
        <v>1543</v>
      </c>
      <c r="B400" s="24" t="s">
        <v>234</v>
      </c>
      <c r="C400" s="24" t="s">
        <v>213</v>
      </c>
      <c r="D400" s="24" t="s">
        <v>518</v>
      </c>
      <c r="E400" s="24"/>
      <c r="F400" s="4">
        <f>F401+F405+F409+F413+F417+F421+F425+F429</f>
        <v>57060.592710000004</v>
      </c>
    </row>
    <row r="401" spans="1:6" ht="31.5" hidden="1" x14ac:dyDescent="0.25">
      <c r="A401" s="23" t="s">
        <v>963</v>
      </c>
      <c r="B401" s="24" t="s">
        <v>234</v>
      </c>
      <c r="C401" s="24" t="s">
        <v>213</v>
      </c>
      <c r="D401" s="24" t="s">
        <v>965</v>
      </c>
      <c r="E401" s="24"/>
      <c r="F401" s="4">
        <f>F402</f>
        <v>0</v>
      </c>
    </row>
    <row r="402" spans="1:6" ht="15.75" hidden="1" x14ac:dyDescent="0.25">
      <c r="A402" s="45" t="s">
        <v>964</v>
      </c>
      <c r="B402" s="40" t="s">
        <v>234</v>
      </c>
      <c r="C402" s="40" t="s">
        <v>213</v>
      </c>
      <c r="D402" s="20" t="s">
        <v>966</v>
      </c>
      <c r="E402" s="40"/>
      <c r="F402" s="6">
        <f t="shared" ref="F402:F403" si="45">F403</f>
        <v>0</v>
      </c>
    </row>
    <row r="403" spans="1:6" ht="31.5" hidden="1" x14ac:dyDescent="0.25">
      <c r="A403" s="31" t="s">
        <v>131</v>
      </c>
      <c r="B403" s="40" t="s">
        <v>234</v>
      </c>
      <c r="C403" s="40" t="s">
        <v>213</v>
      </c>
      <c r="D403" s="20" t="s">
        <v>966</v>
      </c>
      <c r="E403" s="40" t="s">
        <v>132</v>
      </c>
      <c r="F403" s="6">
        <f t="shared" si="45"/>
        <v>0</v>
      </c>
    </row>
    <row r="404" spans="1:6" ht="31.5" hidden="1" x14ac:dyDescent="0.25">
      <c r="A404" s="31" t="s">
        <v>133</v>
      </c>
      <c r="B404" s="40" t="s">
        <v>234</v>
      </c>
      <c r="C404" s="40" t="s">
        <v>213</v>
      </c>
      <c r="D404" s="20" t="s">
        <v>966</v>
      </c>
      <c r="E404" s="40" t="s">
        <v>134</v>
      </c>
      <c r="F404" s="6">
        <f>'Пр.4 ведом.21'!G1060</f>
        <v>0</v>
      </c>
    </row>
    <row r="405" spans="1:6" ht="31.5" x14ac:dyDescent="0.25">
      <c r="A405" s="34" t="s">
        <v>967</v>
      </c>
      <c r="B405" s="7" t="s">
        <v>234</v>
      </c>
      <c r="C405" s="7" t="s">
        <v>213</v>
      </c>
      <c r="D405" s="24" t="s">
        <v>968</v>
      </c>
      <c r="E405" s="7"/>
      <c r="F405" s="4">
        <f>F406</f>
        <v>390</v>
      </c>
    </row>
    <row r="406" spans="1:6" ht="15.75" x14ac:dyDescent="0.25">
      <c r="A406" s="45" t="s">
        <v>523</v>
      </c>
      <c r="B406" s="40" t="s">
        <v>234</v>
      </c>
      <c r="C406" s="40" t="s">
        <v>213</v>
      </c>
      <c r="D406" s="20" t="s">
        <v>971</v>
      </c>
      <c r="E406" s="40"/>
      <c r="F406" s="6">
        <f>F407</f>
        <v>390</v>
      </c>
    </row>
    <row r="407" spans="1:6" ht="31.5" x14ac:dyDescent="0.25">
      <c r="A407" s="31" t="s">
        <v>131</v>
      </c>
      <c r="B407" s="40" t="s">
        <v>234</v>
      </c>
      <c r="C407" s="40" t="s">
        <v>213</v>
      </c>
      <c r="D407" s="20" t="s">
        <v>971</v>
      </c>
      <c r="E407" s="40" t="s">
        <v>132</v>
      </c>
      <c r="F407" s="6">
        <f>F408</f>
        <v>390</v>
      </c>
    </row>
    <row r="408" spans="1:6" ht="31.5" x14ac:dyDescent="0.25">
      <c r="A408" s="31" t="s">
        <v>133</v>
      </c>
      <c r="B408" s="40" t="s">
        <v>234</v>
      </c>
      <c r="C408" s="40" t="s">
        <v>213</v>
      </c>
      <c r="D408" s="20" t="s">
        <v>971</v>
      </c>
      <c r="E408" s="40" t="s">
        <v>134</v>
      </c>
      <c r="F408" s="6">
        <f>'Пр.4 ведом.21'!G1064</f>
        <v>390</v>
      </c>
    </row>
    <row r="409" spans="1:6" ht="31.5" hidden="1" x14ac:dyDescent="0.25">
      <c r="A409" s="58" t="s">
        <v>969</v>
      </c>
      <c r="B409" s="7" t="s">
        <v>234</v>
      </c>
      <c r="C409" s="7" t="s">
        <v>213</v>
      </c>
      <c r="D409" s="24" t="s">
        <v>970</v>
      </c>
      <c r="E409" s="7"/>
      <c r="F409" s="4">
        <f>F410</f>
        <v>0</v>
      </c>
    </row>
    <row r="410" spans="1:6" ht="15.75" hidden="1" x14ac:dyDescent="0.25">
      <c r="A410" s="45" t="s">
        <v>525</v>
      </c>
      <c r="B410" s="40" t="s">
        <v>234</v>
      </c>
      <c r="C410" s="40" t="s">
        <v>213</v>
      </c>
      <c r="D410" s="20" t="s">
        <v>972</v>
      </c>
      <c r="E410" s="40"/>
      <c r="F410" s="6">
        <f>F411</f>
        <v>0</v>
      </c>
    </row>
    <row r="411" spans="1:6" ht="31.5" hidden="1" x14ac:dyDescent="0.25">
      <c r="A411" s="31" t="s">
        <v>131</v>
      </c>
      <c r="B411" s="40" t="s">
        <v>234</v>
      </c>
      <c r="C411" s="40" t="s">
        <v>213</v>
      </c>
      <c r="D411" s="20" t="s">
        <v>972</v>
      </c>
      <c r="E411" s="40" t="s">
        <v>132</v>
      </c>
      <c r="F411" s="6">
        <f>F412</f>
        <v>0</v>
      </c>
    </row>
    <row r="412" spans="1:6" ht="31.5" hidden="1" x14ac:dyDescent="0.25">
      <c r="A412" s="31" t="s">
        <v>133</v>
      </c>
      <c r="B412" s="40" t="s">
        <v>234</v>
      </c>
      <c r="C412" s="40" t="s">
        <v>213</v>
      </c>
      <c r="D412" s="20" t="s">
        <v>972</v>
      </c>
      <c r="E412" s="40" t="s">
        <v>134</v>
      </c>
      <c r="F412" s="6">
        <f>'Пр.4 ведом.21'!G1068</f>
        <v>0</v>
      </c>
    </row>
    <row r="413" spans="1:6" ht="31.5" hidden="1" x14ac:dyDescent="0.25">
      <c r="A413" s="58" t="s">
        <v>973</v>
      </c>
      <c r="B413" s="7" t="s">
        <v>234</v>
      </c>
      <c r="C413" s="7" t="s">
        <v>213</v>
      </c>
      <c r="D413" s="24" t="s">
        <v>974</v>
      </c>
      <c r="E413" s="7"/>
      <c r="F413" s="4">
        <f>F414</f>
        <v>261.7</v>
      </c>
    </row>
    <row r="414" spans="1:6" ht="15.75" hidden="1" x14ac:dyDescent="0.25">
      <c r="A414" s="45" t="s">
        <v>527</v>
      </c>
      <c r="B414" s="40" t="s">
        <v>234</v>
      </c>
      <c r="C414" s="40" t="s">
        <v>213</v>
      </c>
      <c r="D414" s="20" t="s">
        <v>975</v>
      </c>
      <c r="E414" s="40"/>
      <c r="F414" s="6">
        <f>F415</f>
        <v>261.7</v>
      </c>
    </row>
    <row r="415" spans="1:6" ht="31.5" hidden="1" x14ac:dyDescent="0.25">
      <c r="A415" s="31" t="s">
        <v>131</v>
      </c>
      <c r="B415" s="40" t="s">
        <v>234</v>
      </c>
      <c r="C415" s="40" t="s">
        <v>213</v>
      </c>
      <c r="D415" s="20" t="s">
        <v>975</v>
      </c>
      <c r="E415" s="40" t="s">
        <v>132</v>
      </c>
      <c r="F415" s="6">
        <f>F416</f>
        <v>261.7</v>
      </c>
    </row>
    <row r="416" spans="1:6" ht="31.5" hidden="1" x14ac:dyDescent="0.25">
      <c r="A416" s="31" t="s">
        <v>133</v>
      </c>
      <c r="B416" s="40" t="s">
        <v>234</v>
      </c>
      <c r="C416" s="40" t="s">
        <v>213</v>
      </c>
      <c r="D416" s="20" t="s">
        <v>975</v>
      </c>
      <c r="E416" s="40" t="s">
        <v>134</v>
      </c>
      <c r="F416" s="6">
        <f>'Пр.4 ведом.21'!G1072</f>
        <v>261.7</v>
      </c>
    </row>
    <row r="417" spans="1:6" ht="31.5" hidden="1" x14ac:dyDescent="0.25">
      <c r="A417" s="34" t="s">
        <v>1014</v>
      </c>
      <c r="B417" s="7" t="s">
        <v>234</v>
      </c>
      <c r="C417" s="7" t="s">
        <v>213</v>
      </c>
      <c r="D417" s="24" t="s">
        <v>1015</v>
      </c>
      <c r="E417" s="7"/>
      <c r="F417" s="4">
        <f>F418</f>
        <v>30.3</v>
      </c>
    </row>
    <row r="418" spans="1:6" ht="18" hidden="1" customHeight="1" x14ac:dyDescent="0.25">
      <c r="A418" s="45" t="s">
        <v>529</v>
      </c>
      <c r="B418" s="40" t="s">
        <v>234</v>
      </c>
      <c r="C418" s="40" t="s">
        <v>213</v>
      </c>
      <c r="D418" s="20" t="s">
        <v>1018</v>
      </c>
      <c r="E418" s="40"/>
      <c r="F418" s="6">
        <f>F419</f>
        <v>30.3</v>
      </c>
    </row>
    <row r="419" spans="1:6" ht="31.5" hidden="1" x14ac:dyDescent="0.25">
      <c r="A419" s="31" t="s">
        <v>131</v>
      </c>
      <c r="B419" s="40" t="s">
        <v>234</v>
      </c>
      <c r="C419" s="40" t="s">
        <v>213</v>
      </c>
      <c r="D419" s="20" t="s">
        <v>1018</v>
      </c>
      <c r="E419" s="40" t="s">
        <v>132</v>
      </c>
      <c r="F419" s="6">
        <f>F420</f>
        <v>30.3</v>
      </c>
    </row>
    <row r="420" spans="1:6" ht="31.5" hidden="1" x14ac:dyDescent="0.25">
      <c r="A420" s="31" t="s">
        <v>133</v>
      </c>
      <c r="B420" s="40" t="s">
        <v>234</v>
      </c>
      <c r="C420" s="40" t="s">
        <v>213</v>
      </c>
      <c r="D420" s="20" t="s">
        <v>1018</v>
      </c>
      <c r="E420" s="40" t="s">
        <v>134</v>
      </c>
      <c r="F420" s="6">
        <f>'Пр.4 ведом.21'!G1076</f>
        <v>30.3</v>
      </c>
    </row>
    <row r="421" spans="1:6" ht="31.5" hidden="1" x14ac:dyDescent="0.25">
      <c r="A421" s="219" t="s">
        <v>1016</v>
      </c>
      <c r="B421" s="7" t="s">
        <v>234</v>
      </c>
      <c r="C421" s="7" t="s">
        <v>213</v>
      </c>
      <c r="D421" s="24" t="s">
        <v>1017</v>
      </c>
      <c r="E421" s="7"/>
      <c r="F421" s="4">
        <f>F422</f>
        <v>0</v>
      </c>
    </row>
    <row r="422" spans="1:6" ht="31.5" hidden="1" x14ac:dyDescent="0.25">
      <c r="A422" s="174" t="s">
        <v>531</v>
      </c>
      <c r="B422" s="40" t="s">
        <v>234</v>
      </c>
      <c r="C422" s="40" t="s">
        <v>213</v>
      </c>
      <c r="D422" s="20" t="s">
        <v>1019</v>
      </c>
      <c r="E422" s="40"/>
      <c r="F422" s="6">
        <f>F423</f>
        <v>0</v>
      </c>
    </row>
    <row r="423" spans="1:6" ht="31.5" hidden="1" x14ac:dyDescent="0.25">
      <c r="A423" s="31" t="s">
        <v>131</v>
      </c>
      <c r="B423" s="40" t="s">
        <v>234</v>
      </c>
      <c r="C423" s="40" t="s">
        <v>213</v>
      </c>
      <c r="D423" s="20" t="s">
        <v>1019</v>
      </c>
      <c r="E423" s="40" t="s">
        <v>132</v>
      </c>
      <c r="F423" s="6">
        <f>F424</f>
        <v>0</v>
      </c>
    </row>
    <row r="424" spans="1:6" ht="31.5" hidden="1" x14ac:dyDescent="0.25">
      <c r="A424" s="31" t="s">
        <v>133</v>
      </c>
      <c r="B424" s="40" t="s">
        <v>234</v>
      </c>
      <c r="C424" s="40" t="s">
        <v>213</v>
      </c>
      <c r="D424" s="20" t="s">
        <v>1019</v>
      </c>
      <c r="E424" s="40" t="s">
        <v>134</v>
      </c>
      <c r="F424" s="6">
        <f>'Пр.4 ведом.21'!G1080</f>
        <v>0</v>
      </c>
    </row>
    <row r="425" spans="1:6" ht="31.5" x14ac:dyDescent="0.25">
      <c r="A425" s="219" t="s">
        <v>977</v>
      </c>
      <c r="B425" s="7" t="s">
        <v>234</v>
      </c>
      <c r="C425" s="7" t="s">
        <v>213</v>
      </c>
      <c r="D425" s="24" t="s">
        <v>978</v>
      </c>
      <c r="E425" s="7"/>
      <c r="F425" s="4">
        <f>F426</f>
        <v>193.3</v>
      </c>
    </row>
    <row r="426" spans="1:6" ht="15.75" x14ac:dyDescent="0.25">
      <c r="A426" s="174" t="s">
        <v>533</v>
      </c>
      <c r="B426" s="40" t="s">
        <v>234</v>
      </c>
      <c r="C426" s="40" t="s">
        <v>213</v>
      </c>
      <c r="D426" s="20" t="s">
        <v>976</v>
      </c>
      <c r="E426" s="40"/>
      <c r="F426" s="6">
        <f>F427</f>
        <v>193.3</v>
      </c>
    </row>
    <row r="427" spans="1:6" ht="31.5" x14ac:dyDescent="0.25">
      <c r="A427" s="25" t="s">
        <v>131</v>
      </c>
      <c r="B427" s="40" t="s">
        <v>234</v>
      </c>
      <c r="C427" s="40" t="s">
        <v>213</v>
      </c>
      <c r="D427" s="20" t="s">
        <v>976</v>
      </c>
      <c r="E427" s="40" t="s">
        <v>132</v>
      </c>
      <c r="F427" s="6">
        <f>F428</f>
        <v>193.3</v>
      </c>
    </row>
    <row r="428" spans="1:6" s="203" customFormat="1" ht="31.5" x14ac:dyDescent="0.25">
      <c r="A428" s="25" t="s">
        <v>133</v>
      </c>
      <c r="B428" s="40" t="s">
        <v>234</v>
      </c>
      <c r="C428" s="40" t="s">
        <v>213</v>
      </c>
      <c r="D428" s="20" t="s">
        <v>976</v>
      </c>
      <c r="E428" s="40" t="s">
        <v>134</v>
      </c>
      <c r="F428" s="6">
        <f>'Пр.4 ведом.21'!G1084</f>
        <v>193.3</v>
      </c>
    </row>
    <row r="429" spans="1:6" s="457" customFormat="1" ht="31.5" x14ac:dyDescent="0.25">
      <c r="A429" s="219" t="s">
        <v>1774</v>
      </c>
      <c r="B429" s="7" t="s">
        <v>234</v>
      </c>
      <c r="C429" s="7" t="s">
        <v>213</v>
      </c>
      <c r="D429" s="465" t="s">
        <v>1773</v>
      </c>
      <c r="E429" s="7"/>
      <c r="F429" s="458">
        <f>F430</f>
        <v>56185.292710000002</v>
      </c>
    </row>
    <row r="430" spans="1:6" s="457" customFormat="1" ht="47.25" x14ac:dyDescent="0.25">
      <c r="A430" s="466" t="s">
        <v>1772</v>
      </c>
      <c r="B430" s="469" t="s">
        <v>234</v>
      </c>
      <c r="C430" s="469" t="s">
        <v>213</v>
      </c>
      <c r="D430" s="462" t="s">
        <v>1775</v>
      </c>
      <c r="E430" s="469"/>
      <c r="F430" s="459">
        <f>F431</f>
        <v>56185.292710000002</v>
      </c>
    </row>
    <row r="431" spans="1:6" s="457" customFormat="1" ht="31.5" x14ac:dyDescent="0.25">
      <c r="A431" s="466" t="s">
        <v>131</v>
      </c>
      <c r="B431" s="469" t="s">
        <v>234</v>
      </c>
      <c r="C431" s="469" t="s">
        <v>213</v>
      </c>
      <c r="D431" s="462" t="s">
        <v>1775</v>
      </c>
      <c r="E431" s="469" t="s">
        <v>132</v>
      </c>
      <c r="F431" s="459">
        <f>F432</f>
        <v>56185.292710000002</v>
      </c>
    </row>
    <row r="432" spans="1:6" s="457" customFormat="1" ht="31.5" x14ac:dyDescent="0.25">
      <c r="A432" s="466" t="s">
        <v>133</v>
      </c>
      <c r="B432" s="469" t="s">
        <v>234</v>
      </c>
      <c r="C432" s="469" t="s">
        <v>213</v>
      </c>
      <c r="D432" s="462" t="s">
        <v>1775</v>
      </c>
      <c r="E432" s="469" t="s">
        <v>134</v>
      </c>
      <c r="F432" s="459">
        <f>'Пр.4 ведом.21'!G1088</f>
        <v>56185.292710000002</v>
      </c>
    </row>
    <row r="433" spans="1:8" s="203" customFormat="1" ht="47.25" hidden="1" x14ac:dyDescent="0.25">
      <c r="A433" s="23" t="s">
        <v>1545</v>
      </c>
      <c r="B433" s="7" t="s">
        <v>234</v>
      </c>
      <c r="C433" s="7" t="s">
        <v>213</v>
      </c>
      <c r="D433" s="24" t="s">
        <v>1146</v>
      </c>
      <c r="E433" s="7"/>
      <c r="F433" s="4">
        <f>F434</f>
        <v>0</v>
      </c>
    </row>
    <row r="434" spans="1:8" s="203" customFormat="1" ht="31.5" hidden="1" x14ac:dyDescent="0.25">
      <c r="A434" s="23" t="s">
        <v>1147</v>
      </c>
      <c r="B434" s="7" t="s">
        <v>234</v>
      </c>
      <c r="C434" s="7" t="s">
        <v>213</v>
      </c>
      <c r="D434" s="24" t="s">
        <v>1148</v>
      </c>
      <c r="E434" s="7"/>
      <c r="F434" s="4">
        <f>F435</f>
        <v>0</v>
      </c>
    </row>
    <row r="435" spans="1:8" s="203" customFormat="1" ht="15.75" hidden="1" x14ac:dyDescent="0.25">
      <c r="A435" s="25" t="s">
        <v>537</v>
      </c>
      <c r="B435" s="40" t="s">
        <v>234</v>
      </c>
      <c r="C435" s="40" t="s">
        <v>213</v>
      </c>
      <c r="D435" s="20" t="s">
        <v>1149</v>
      </c>
      <c r="E435" s="40"/>
      <c r="F435" s="6">
        <f>F436</f>
        <v>0</v>
      </c>
    </row>
    <row r="436" spans="1:8" s="203" customFormat="1" ht="31.5" hidden="1" x14ac:dyDescent="0.25">
      <c r="A436" s="25" t="s">
        <v>131</v>
      </c>
      <c r="B436" s="40" t="s">
        <v>234</v>
      </c>
      <c r="C436" s="40" t="s">
        <v>213</v>
      </c>
      <c r="D436" s="20" t="s">
        <v>1149</v>
      </c>
      <c r="E436" s="40" t="s">
        <v>132</v>
      </c>
      <c r="F436" s="6">
        <f>F437</f>
        <v>0</v>
      </c>
    </row>
    <row r="437" spans="1:8" s="203" customFormat="1" ht="31.5" hidden="1" x14ac:dyDescent="0.25">
      <c r="A437" s="25" t="s">
        <v>133</v>
      </c>
      <c r="B437" s="40" t="s">
        <v>234</v>
      </c>
      <c r="C437" s="40" t="s">
        <v>213</v>
      </c>
      <c r="D437" s="20" t="s">
        <v>1149</v>
      </c>
      <c r="E437" s="40" t="s">
        <v>134</v>
      </c>
      <c r="F437" s="6">
        <f>'Пр.4 ведом.21'!G1093</f>
        <v>0</v>
      </c>
    </row>
    <row r="438" spans="1:8" ht="15.75" x14ac:dyDescent="0.25">
      <c r="A438" s="41" t="s">
        <v>541</v>
      </c>
      <c r="B438" s="7" t="s">
        <v>234</v>
      </c>
      <c r="C438" s="7" t="s">
        <v>215</v>
      </c>
      <c r="D438" s="7"/>
      <c r="E438" s="7"/>
      <c r="F438" s="4">
        <f>F439+F444+F491</f>
        <v>35177.311000000002</v>
      </c>
      <c r="H438" s="22"/>
    </row>
    <row r="439" spans="1:8" s="203" customFormat="1" ht="15.75" hidden="1" x14ac:dyDescent="0.25">
      <c r="A439" s="23" t="s">
        <v>141</v>
      </c>
      <c r="B439" s="24" t="s">
        <v>234</v>
      </c>
      <c r="C439" s="24" t="s">
        <v>215</v>
      </c>
      <c r="D439" s="24" t="s">
        <v>866</v>
      </c>
      <c r="E439" s="24"/>
      <c r="F439" s="4">
        <f>F440</f>
        <v>0</v>
      </c>
      <c r="H439" s="22"/>
    </row>
    <row r="440" spans="1:8" s="203" customFormat="1" ht="31.5" hidden="1" x14ac:dyDescent="0.25">
      <c r="A440" s="23" t="s">
        <v>870</v>
      </c>
      <c r="B440" s="24" t="s">
        <v>234</v>
      </c>
      <c r="C440" s="24" t="s">
        <v>215</v>
      </c>
      <c r="D440" s="24" t="s">
        <v>865</v>
      </c>
      <c r="E440" s="24"/>
      <c r="F440" s="4">
        <f>F441</f>
        <v>0</v>
      </c>
      <c r="H440" s="22"/>
    </row>
    <row r="441" spans="1:8" s="203" customFormat="1" ht="15.75" hidden="1" x14ac:dyDescent="0.25">
      <c r="A441" s="25" t="s">
        <v>564</v>
      </c>
      <c r="B441" s="20" t="s">
        <v>234</v>
      </c>
      <c r="C441" s="20" t="s">
        <v>215</v>
      </c>
      <c r="D441" s="20" t="s">
        <v>1077</v>
      </c>
      <c r="E441" s="20"/>
      <c r="F441" s="6">
        <f>F442</f>
        <v>0</v>
      </c>
      <c r="H441" s="22"/>
    </row>
    <row r="442" spans="1:8" s="203" customFormat="1" ht="31.5" hidden="1" x14ac:dyDescent="0.25">
      <c r="A442" s="25" t="s">
        <v>131</v>
      </c>
      <c r="B442" s="20" t="s">
        <v>234</v>
      </c>
      <c r="C442" s="20" t="s">
        <v>215</v>
      </c>
      <c r="D442" s="20" t="s">
        <v>1077</v>
      </c>
      <c r="E442" s="20" t="s">
        <v>132</v>
      </c>
      <c r="F442" s="6">
        <f>F443</f>
        <v>0</v>
      </c>
      <c r="H442" s="22"/>
    </row>
    <row r="443" spans="1:8" s="203" customFormat="1" ht="31.5" hidden="1" x14ac:dyDescent="0.25">
      <c r="A443" s="25" t="s">
        <v>133</v>
      </c>
      <c r="B443" s="20" t="s">
        <v>234</v>
      </c>
      <c r="C443" s="20" t="s">
        <v>215</v>
      </c>
      <c r="D443" s="20" t="s">
        <v>1077</v>
      </c>
      <c r="E443" s="20" t="s">
        <v>134</v>
      </c>
      <c r="F443" s="6">
        <f>'Пр.4 ведом.21'!G1099</f>
        <v>0</v>
      </c>
      <c r="H443" s="22"/>
    </row>
    <row r="444" spans="1:8" ht="39.4" customHeight="1" x14ac:dyDescent="0.25">
      <c r="A444" s="23" t="s">
        <v>1373</v>
      </c>
      <c r="B444" s="7" t="s">
        <v>234</v>
      </c>
      <c r="C444" s="7" t="s">
        <v>215</v>
      </c>
      <c r="D444" s="7" t="s">
        <v>543</v>
      </c>
      <c r="E444" s="7"/>
      <c r="F444" s="4">
        <f>F445+F449+F476+F483+F487</f>
        <v>10811.800999999999</v>
      </c>
    </row>
    <row r="445" spans="1:8" s="203" customFormat="1" ht="47.25" hidden="1" x14ac:dyDescent="0.25">
      <c r="A445" s="23" t="s">
        <v>1443</v>
      </c>
      <c r="B445" s="24" t="s">
        <v>234</v>
      </c>
      <c r="C445" s="24" t="s">
        <v>215</v>
      </c>
      <c r="D445" s="24" t="s">
        <v>1278</v>
      </c>
      <c r="E445" s="24"/>
      <c r="F445" s="4">
        <f>F446</f>
        <v>0</v>
      </c>
    </row>
    <row r="446" spans="1:8" s="203" customFormat="1" ht="31.5" hidden="1" x14ac:dyDescent="0.25">
      <c r="A446" s="322" t="s">
        <v>1444</v>
      </c>
      <c r="B446" s="20" t="s">
        <v>234</v>
      </c>
      <c r="C446" s="20" t="s">
        <v>215</v>
      </c>
      <c r="D446" s="20" t="s">
        <v>1431</v>
      </c>
      <c r="E446" s="20"/>
      <c r="F446" s="26">
        <f>F447</f>
        <v>0</v>
      </c>
    </row>
    <row r="447" spans="1:8" s="203" customFormat="1" ht="31.5" hidden="1" x14ac:dyDescent="0.25">
      <c r="A447" s="25" t="s">
        <v>131</v>
      </c>
      <c r="B447" s="20" t="s">
        <v>234</v>
      </c>
      <c r="C447" s="20" t="s">
        <v>215</v>
      </c>
      <c r="D447" s="20" t="s">
        <v>1431</v>
      </c>
      <c r="E447" s="20" t="s">
        <v>132</v>
      </c>
      <c r="F447" s="26">
        <f>F448</f>
        <v>0</v>
      </c>
    </row>
    <row r="448" spans="1:8" s="203" customFormat="1" ht="31.5" hidden="1" x14ac:dyDescent="0.25">
      <c r="A448" s="25" t="s">
        <v>133</v>
      </c>
      <c r="B448" s="20" t="s">
        <v>234</v>
      </c>
      <c r="C448" s="20" t="s">
        <v>215</v>
      </c>
      <c r="D448" s="20" t="s">
        <v>1431</v>
      </c>
      <c r="E448" s="20" t="s">
        <v>134</v>
      </c>
      <c r="F448" s="26">
        <f>'Пр.4 ведом.21'!G1104</f>
        <v>0</v>
      </c>
    </row>
    <row r="449" spans="1:6" s="203" customFormat="1" ht="31.5" x14ac:dyDescent="0.25">
      <c r="A449" s="23" t="s">
        <v>1446</v>
      </c>
      <c r="B449" s="24" t="s">
        <v>234</v>
      </c>
      <c r="C449" s="24" t="s">
        <v>215</v>
      </c>
      <c r="D449" s="24" t="s">
        <v>1279</v>
      </c>
      <c r="E449" s="24"/>
      <c r="F449" s="4">
        <f>F450+F453+F459+F462+F465+F470+F473</f>
        <v>2794.2000000000003</v>
      </c>
    </row>
    <row r="450" spans="1:6" ht="24" customHeight="1" x14ac:dyDescent="0.25">
      <c r="A450" s="25" t="s">
        <v>546</v>
      </c>
      <c r="B450" s="20" t="s">
        <v>234</v>
      </c>
      <c r="C450" s="20" t="s">
        <v>215</v>
      </c>
      <c r="D450" s="20" t="s">
        <v>1442</v>
      </c>
      <c r="E450" s="20"/>
      <c r="F450" s="6">
        <f t="shared" ref="F450:F451" si="46">F451</f>
        <v>548.29999999999995</v>
      </c>
    </row>
    <row r="451" spans="1:6" ht="31.5" x14ac:dyDescent="0.25">
      <c r="A451" s="25" t="s">
        <v>131</v>
      </c>
      <c r="B451" s="20" t="s">
        <v>234</v>
      </c>
      <c r="C451" s="20" t="s">
        <v>215</v>
      </c>
      <c r="D451" s="20" t="s">
        <v>1442</v>
      </c>
      <c r="E451" s="20" t="s">
        <v>132</v>
      </c>
      <c r="F451" s="6">
        <f t="shared" si="46"/>
        <v>548.29999999999995</v>
      </c>
    </row>
    <row r="452" spans="1:6" ht="31.5" x14ac:dyDescent="0.25">
      <c r="A452" s="25" t="s">
        <v>133</v>
      </c>
      <c r="B452" s="20" t="s">
        <v>234</v>
      </c>
      <c r="C452" s="20" t="s">
        <v>215</v>
      </c>
      <c r="D452" s="20" t="s">
        <v>1442</v>
      </c>
      <c r="E452" s="20" t="s">
        <v>134</v>
      </c>
      <c r="F452" s="6">
        <f>'Пр.4 ведом.21'!G1108</f>
        <v>548.29999999999995</v>
      </c>
    </row>
    <row r="453" spans="1:6" ht="15.75" x14ac:dyDescent="0.25">
      <c r="A453" s="25" t="s">
        <v>548</v>
      </c>
      <c r="B453" s="20" t="s">
        <v>234</v>
      </c>
      <c r="C453" s="20" t="s">
        <v>215</v>
      </c>
      <c r="D453" s="20" t="s">
        <v>1430</v>
      </c>
      <c r="E453" s="20"/>
      <c r="F453" s="6">
        <f>F454+F456</f>
        <v>1922.8000000000002</v>
      </c>
    </row>
    <row r="454" spans="1:6" ht="31.5" x14ac:dyDescent="0.25">
      <c r="A454" s="25" t="s">
        <v>131</v>
      </c>
      <c r="B454" s="20" t="s">
        <v>234</v>
      </c>
      <c r="C454" s="20" t="s">
        <v>215</v>
      </c>
      <c r="D454" s="20" t="s">
        <v>1430</v>
      </c>
      <c r="E454" s="20" t="s">
        <v>132</v>
      </c>
      <c r="F454" s="6">
        <f t="shared" ref="F454" si="47">F455</f>
        <v>1922.8000000000002</v>
      </c>
    </row>
    <row r="455" spans="1:6" ht="31.5" x14ac:dyDescent="0.25">
      <c r="A455" s="25" t="s">
        <v>133</v>
      </c>
      <c r="B455" s="20" t="s">
        <v>234</v>
      </c>
      <c r="C455" s="20" t="s">
        <v>215</v>
      </c>
      <c r="D455" s="20" t="s">
        <v>1430</v>
      </c>
      <c r="E455" s="20" t="s">
        <v>134</v>
      </c>
      <c r="F455" s="6">
        <f>'Пр.4 ведом.21'!G1111</f>
        <v>1922.8000000000002</v>
      </c>
    </row>
    <row r="456" spans="1:6" ht="15.75" hidden="1" x14ac:dyDescent="0.25">
      <c r="A456" s="29" t="s">
        <v>135</v>
      </c>
      <c r="B456" s="20" t="s">
        <v>234</v>
      </c>
      <c r="C456" s="20" t="s">
        <v>215</v>
      </c>
      <c r="D456" s="20" t="s">
        <v>1430</v>
      </c>
      <c r="E456" s="20" t="s">
        <v>145</v>
      </c>
      <c r="F456" s="6">
        <f>F458+F457</f>
        <v>0</v>
      </c>
    </row>
    <row r="457" spans="1:6" s="203" customFormat="1" ht="47.25" hidden="1" x14ac:dyDescent="0.25">
      <c r="A457" s="25" t="s">
        <v>836</v>
      </c>
      <c r="B457" s="20" t="s">
        <v>234</v>
      </c>
      <c r="C457" s="20" t="s">
        <v>215</v>
      </c>
      <c r="D457" s="20" t="s">
        <v>1430</v>
      </c>
      <c r="E457" s="20" t="s">
        <v>147</v>
      </c>
      <c r="F457" s="6">
        <f>'Пр.4 ведом.21'!G1113</f>
        <v>0</v>
      </c>
    </row>
    <row r="458" spans="1:6" ht="15.75" hidden="1" x14ac:dyDescent="0.25">
      <c r="A458" s="29" t="s">
        <v>568</v>
      </c>
      <c r="B458" s="20" t="s">
        <v>234</v>
      </c>
      <c r="C458" s="20" t="s">
        <v>215</v>
      </c>
      <c r="D458" s="20" t="s">
        <v>1430</v>
      </c>
      <c r="E458" s="20" t="s">
        <v>138</v>
      </c>
      <c r="F458" s="6">
        <f>'Пр.4 ведом.21'!G1114</f>
        <v>0</v>
      </c>
    </row>
    <row r="459" spans="1:6" ht="15.75" hidden="1" x14ac:dyDescent="0.25">
      <c r="A459" s="25" t="s">
        <v>550</v>
      </c>
      <c r="B459" s="20" t="s">
        <v>234</v>
      </c>
      <c r="C459" s="20" t="s">
        <v>215</v>
      </c>
      <c r="D459" s="20" t="s">
        <v>1303</v>
      </c>
      <c r="E459" s="20"/>
      <c r="F459" s="6">
        <f t="shared" ref="F459:F460" si="48">F460</f>
        <v>0</v>
      </c>
    </row>
    <row r="460" spans="1:6" ht="31.5" hidden="1" x14ac:dyDescent="0.25">
      <c r="A460" s="25" t="s">
        <v>131</v>
      </c>
      <c r="B460" s="20" t="s">
        <v>234</v>
      </c>
      <c r="C460" s="20" t="s">
        <v>215</v>
      </c>
      <c r="D460" s="20" t="s">
        <v>1303</v>
      </c>
      <c r="E460" s="20" t="s">
        <v>132</v>
      </c>
      <c r="F460" s="6">
        <f t="shared" si="48"/>
        <v>0</v>
      </c>
    </row>
    <row r="461" spans="1:6" ht="31.5" hidden="1" x14ac:dyDescent="0.25">
      <c r="A461" s="25" t="s">
        <v>133</v>
      </c>
      <c r="B461" s="20" t="s">
        <v>234</v>
      </c>
      <c r="C461" s="20" t="s">
        <v>215</v>
      </c>
      <c r="D461" s="20" t="s">
        <v>1303</v>
      </c>
      <c r="E461" s="20" t="s">
        <v>134</v>
      </c>
      <c r="F461" s="6">
        <f>'Пр.4 ведом.21'!G1117</f>
        <v>0</v>
      </c>
    </row>
    <row r="462" spans="1:6" ht="15.75" x14ac:dyDescent="0.25">
      <c r="A462" s="25" t="s">
        <v>555</v>
      </c>
      <c r="B462" s="20" t="s">
        <v>234</v>
      </c>
      <c r="C462" s="20" t="s">
        <v>215</v>
      </c>
      <c r="D462" s="20" t="s">
        <v>1280</v>
      </c>
      <c r="E462" s="20"/>
      <c r="F462" s="6">
        <f t="shared" ref="F462:F463" si="49">F463</f>
        <v>16.100000000000001</v>
      </c>
    </row>
    <row r="463" spans="1:6" ht="31.5" x14ac:dyDescent="0.25">
      <c r="A463" s="25" t="s">
        <v>131</v>
      </c>
      <c r="B463" s="20" t="s">
        <v>234</v>
      </c>
      <c r="C463" s="20" t="s">
        <v>215</v>
      </c>
      <c r="D463" s="20" t="s">
        <v>1280</v>
      </c>
      <c r="E463" s="20" t="s">
        <v>132</v>
      </c>
      <c r="F463" s="6">
        <f t="shared" si="49"/>
        <v>16.100000000000001</v>
      </c>
    </row>
    <row r="464" spans="1:6" ht="31.5" x14ac:dyDescent="0.25">
      <c r="A464" s="25" t="s">
        <v>133</v>
      </c>
      <c r="B464" s="20" t="s">
        <v>234</v>
      </c>
      <c r="C464" s="20" t="s">
        <v>215</v>
      </c>
      <c r="D464" s="20" t="s">
        <v>1280</v>
      </c>
      <c r="E464" s="20" t="s">
        <v>134</v>
      </c>
      <c r="F464" s="6">
        <f>'Пр.4 ведом.21'!G1120</f>
        <v>16.100000000000001</v>
      </c>
    </row>
    <row r="465" spans="1:6" ht="31.5" x14ac:dyDescent="0.25">
      <c r="A465" s="320" t="s">
        <v>1445</v>
      </c>
      <c r="B465" s="20" t="s">
        <v>234</v>
      </c>
      <c r="C465" s="20" t="s">
        <v>215</v>
      </c>
      <c r="D465" s="20" t="s">
        <v>1281</v>
      </c>
      <c r="E465" s="20"/>
      <c r="F465" s="6">
        <f>F466+F468</f>
        <v>20.5</v>
      </c>
    </row>
    <row r="466" spans="1:6" ht="31.5" x14ac:dyDescent="0.25">
      <c r="A466" s="25" t="s">
        <v>131</v>
      </c>
      <c r="B466" s="20" t="s">
        <v>234</v>
      </c>
      <c r="C466" s="20" t="s">
        <v>215</v>
      </c>
      <c r="D466" s="20" t="s">
        <v>1281</v>
      </c>
      <c r="E466" s="20" t="s">
        <v>132</v>
      </c>
      <c r="F466" s="6">
        <f t="shared" ref="F466" si="50">F467</f>
        <v>20.5</v>
      </c>
    </row>
    <row r="467" spans="1:6" ht="31.5" x14ac:dyDescent="0.25">
      <c r="A467" s="25" t="s">
        <v>133</v>
      </c>
      <c r="B467" s="20" t="s">
        <v>234</v>
      </c>
      <c r="C467" s="20" t="s">
        <v>215</v>
      </c>
      <c r="D467" s="20" t="s">
        <v>1281</v>
      </c>
      <c r="E467" s="20" t="s">
        <v>134</v>
      </c>
      <c r="F467" s="6">
        <f>'Пр.4 ведом.21'!G1123</f>
        <v>20.5</v>
      </c>
    </row>
    <row r="468" spans="1:6" s="203" customFormat="1" ht="15.75" hidden="1" x14ac:dyDescent="0.25">
      <c r="A468" s="29" t="s">
        <v>135</v>
      </c>
      <c r="B468" s="20" t="s">
        <v>234</v>
      </c>
      <c r="C468" s="20" t="s">
        <v>215</v>
      </c>
      <c r="D468" s="20" t="s">
        <v>1281</v>
      </c>
      <c r="E468" s="20" t="s">
        <v>145</v>
      </c>
      <c r="F468" s="6">
        <f>F469</f>
        <v>0</v>
      </c>
    </row>
    <row r="469" spans="1:6" s="203" customFormat="1" ht="15.75" hidden="1" x14ac:dyDescent="0.25">
      <c r="A469" s="29" t="s">
        <v>568</v>
      </c>
      <c r="B469" s="20" t="s">
        <v>234</v>
      </c>
      <c r="C469" s="20" t="s">
        <v>215</v>
      </c>
      <c r="D469" s="20" t="s">
        <v>1281</v>
      </c>
      <c r="E469" s="20" t="s">
        <v>138</v>
      </c>
      <c r="F469" s="6">
        <f>'Пр.4 ведом.21'!G1125</f>
        <v>0</v>
      </c>
    </row>
    <row r="470" spans="1:6" ht="15.75" hidden="1" x14ac:dyDescent="0.25">
      <c r="A470" s="98" t="s">
        <v>559</v>
      </c>
      <c r="B470" s="20" t="s">
        <v>234</v>
      </c>
      <c r="C470" s="20" t="s">
        <v>215</v>
      </c>
      <c r="D470" s="20" t="s">
        <v>1282</v>
      </c>
      <c r="E470" s="20"/>
      <c r="F470" s="6">
        <f t="shared" ref="F470:F471" si="51">F471</f>
        <v>0</v>
      </c>
    </row>
    <row r="471" spans="1:6" ht="31.5" hidden="1" x14ac:dyDescent="0.25">
      <c r="A471" s="25" t="s">
        <v>131</v>
      </c>
      <c r="B471" s="20" t="s">
        <v>234</v>
      </c>
      <c r="C471" s="20" t="s">
        <v>215</v>
      </c>
      <c r="D471" s="20" t="s">
        <v>1282</v>
      </c>
      <c r="E471" s="20" t="s">
        <v>132</v>
      </c>
      <c r="F471" s="6">
        <f t="shared" si="51"/>
        <v>0</v>
      </c>
    </row>
    <row r="472" spans="1:6" ht="31.5" hidden="1" x14ac:dyDescent="0.25">
      <c r="A472" s="25" t="s">
        <v>133</v>
      </c>
      <c r="B472" s="20" t="s">
        <v>234</v>
      </c>
      <c r="C472" s="20" t="s">
        <v>215</v>
      </c>
      <c r="D472" s="20" t="s">
        <v>1282</v>
      </c>
      <c r="E472" s="20" t="s">
        <v>134</v>
      </c>
      <c r="F472" s="6">
        <f>'Пр.4 ведом.21'!G1128</f>
        <v>0</v>
      </c>
    </row>
    <row r="473" spans="1:6" s="203" customFormat="1" ht="31.5" x14ac:dyDescent="0.25">
      <c r="A473" s="228" t="s">
        <v>1092</v>
      </c>
      <c r="B473" s="20" t="s">
        <v>234</v>
      </c>
      <c r="C473" s="20" t="s">
        <v>215</v>
      </c>
      <c r="D473" s="20" t="s">
        <v>1283</v>
      </c>
      <c r="E473" s="20"/>
      <c r="F473" s="26">
        <f>F474</f>
        <v>286.5</v>
      </c>
    </row>
    <row r="474" spans="1:6" s="203" customFormat="1" ht="31.5" x14ac:dyDescent="0.25">
      <c r="A474" s="25" t="s">
        <v>131</v>
      </c>
      <c r="B474" s="20" t="s">
        <v>234</v>
      </c>
      <c r="C474" s="20" t="s">
        <v>215</v>
      </c>
      <c r="D474" s="20" t="s">
        <v>1283</v>
      </c>
      <c r="E474" s="20" t="s">
        <v>132</v>
      </c>
      <c r="F474" s="26">
        <f>F475</f>
        <v>286.5</v>
      </c>
    </row>
    <row r="475" spans="1:6" s="203" customFormat="1" ht="31.5" x14ac:dyDescent="0.25">
      <c r="A475" s="25" t="s">
        <v>133</v>
      </c>
      <c r="B475" s="20" t="s">
        <v>234</v>
      </c>
      <c r="C475" s="20" t="s">
        <v>215</v>
      </c>
      <c r="D475" s="20" t="s">
        <v>1283</v>
      </c>
      <c r="E475" s="20" t="s">
        <v>134</v>
      </c>
      <c r="F475" s="26">
        <f>'Пр.4 ведом.21'!G1131</f>
        <v>286.5</v>
      </c>
    </row>
    <row r="476" spans="1:6" s="203" customFormat="1" ht="31.5" x14ac:dyDescent="0.25">
      <c r="A476" s="23" t="s">
        <v>891</v>
      </c>
      <c r="B476" s="7" t="s">
        <v>234</v>
      </c>
      <c r="C476" s="7" t="s">
        <v>215</v>
      </c>
      <c r="D476" s="24" t="s">
        <v>1301</v>
      </c>
      <c r="E476" s="24"/>
      <c r="F476" s="4">
        <f>F477+F480</f>
        <v>1857.2</v>
      </c>
    </row>
    <row r="477" spans="1:6" s="203" customFormat="1" ht="31.5" hidden="1" x14ac:dyDescent="0.25">
      <c r="A477" s="25" t="s">
        <v>690</v>
      </c>
      <c r="B477" s="20" t="s">
        <v>234</v>
      </c>
      <c r="C477" s="20" t="s">
        <v>215</v>
      </c>
      <c r="D477" s="20" t="s">
        <v>1334</v>
      </c>
      <c r="E477" s="20"/>
      <c r="F477" s="6">
        <f t="shared" ref="F477" si="52">F478</f>
        <v>0</v>
      </c>
    </row>
    <row r="478" spans="1:6" s="203" customFormat="1" ht="31.5" hidden="1" x14ac:dyDescent="0.25">
      <c r="A478" s="25" t="s">
        <v>131</v>
      </c>
      <c r="B478" s="20" t="s">
        <v>234</v>
      </c>
      <c r="C478" s="20" t="s">
        <v>215</v>
      </c>
      <c r="D478" s="20" t="s">
        <v>1334</v>
      </c>
      <c r="E478" s="20" t="s">
        <v>132</v>
      </c>
      <c r="F478" s="6">
        <f>F479</f>
        <v>0</v>
      </c>
    </row>
    <row r="479" spans="1:6" s="203" customFormat="1" ht="31.5" hidden="1" x14ac:dyDescent="0.25">
      <c r="A479" s="25" t="s">
        <v>133</v>
      </c>
      <c r="B479" s="20" t="s">
        <v>234</v>
      </c>
      <c r="C479" s="20" t="s">
        <v>215</v>
      </c>
      <c r="D479" s="20" t="s">
        <v>1334</v>
      </c>
      <c r="E479" s="20" t="s">
        <v>134</v>
      </c>
      <c r="F479" s="6">
        <f>'Пр.4 ведом.21'!G1135</f>
        <v>0</v>
      </c>
    </row>
    <row r="480" spans="1:6" s="203" customFormat="1" ht="63" x14ac:dyDescent="0.25">
      <c r="A480" s="25" t="s">
        <v>1073</v>
      </c>
      <c r="B480" s="20" t="s">
        <v>234</v>
      </c>
      <c r="C480" s="20" t="s">
        <v>215</v>
      </c>
      <c r="D480" s="20" t="s">
        <v>1300</v>
      </c>
      <c r="E480" s="20"/>
      <c r="F480" s="6">
        <f>F481</f>
        <v>1857.2</v>
      </c>
    </row>
    <row r="481" spans="1:6" s="203" customFormat="1" ht="31.5" x14ac:dyDescent="0.25">
      <c r="A481" s="25" t="s">
        <v>131</v>
      </c>
      <c r="B481" s="20" t="s">
        <v>234</v>
      </c>
      <c r="C481" s="20" t="s">
        <v>215</v>
      </c>
      <c r="D481" s="20" t="s">
        <v>1300</v>
      </c>
      <c r="E481" s="20" t="s">
        <v>132</v>
      </c>
      <c r="F481" s="6">
        <f>F482</f>
        <v>1857.2</v>
      </c>
    </row>
    <row r="482" spans="1:6" s="203" customFormat="1" ht="31.5" x14ac:dyDescent="0.25">
      <c r="A482" s="25" t="s">
        <v>133</v>
      </c>
      <c r="B482" s="20" t="s">
        <v>234</v>
      </c>
      <c r="C482" s="20" t="s">
        <v>215</v>
      </c>
      <c r="D482" s="20" t="s">
        <v>1300</v>
      </c>
      <c r="E482" s="20" t="s">
        <v>134</v>
      </c>
      <c r="F482" s="6">
        <f>'Пр.4 ведом.21'!G1138</f>
        <v>1857.2</v>
      </c>
    </row>
    <row r="483" spans="1:6" s="457" customFormat="1" ht="31.5" x14ac:dyDescent="0.25">
      <c r="A483" s="34" t="s">
        <v>1673</v>
      </c>
      <c r="B483" s="465" t="s">
        <v>234</v>
      </c>
      <c r="C483" s="465" t="s">
        <v>215</v>
      </c>
      <c r="D483" s="465" t="s">
        <v>1674</v>
      </c>
      <c r="E483" s="465"/>
      <c r="F483" s="458">
        <f>F484</f>
        <v>1523.201</v>
      </c>
    </row>
    <row r="484" spans="1:6" s="457" customFormat="1" ht="31.5" x14ac:dyDescent="0.25">
      <c r="A484" s="31" t="s">
        <v>1672</v>
      </c>
      <c r="B484" s="462" t="s">
        <v>234</v>
      </c>
      <c r="C484" s="462" t="s">
        <v>215</v>
      </c>
      <c r="D484" s="462" t="s">
        <v>1675</v>
      </c>
      <c r="E484" s="462"/>
      <c r="F484" s="459">
        <f>F485</f>
        <v>1523.201</v>
      </c>
    </row>
    <row r="485" spans="1:6" s="457" customFormat="1" ht="31.5" x14ac:dyDescent="0.25">
      <c r="A485" s="466" t="s">
        <v>131</v>
      </c>
      <c r="B485" s="462" t="s">
        <v>234</v>
      </c>
      <c r="C485" s="462" t="s">
        <v>215</v>
      </c>
      <c r="D485" s="462" t="s">
        <v>1675</v>
      </c>
      <c r="E485" s="462" t="s">
        <v>132</v>
      </c>
      <c r="F485" s="459">
        <f>F486</f>
        <v>1523.201</v>
      </c>
    </row>
    <row r="486" spans="1:6" s="457" customFormat="1" ht="31.5" x14ac:dyDescent="0.25">
      <c r="A486" s="466" t="s">
        <v>133</v>
      </c>
      <c r="B486" s="462" t="s">
        <v>234</v>
      </c>
      <c r="C486" s="462" t="s">
        <v>215</v>
      </c>
      <c r="D486" s="462" t="s">
        <v>1675</v>
      </c>
      <c r="E486" s="462" t="s">
        <v>134</v>
      </c>
      <c r="F486" s="459">
        <f>'Пр.4 ведом.21'!G1142</f>
        <v>1523.201</v>
      </c>
    </row>
    <row r="487" spans="1:6" s="457" customFormat="1" ht="47.25" x14ac:dyDescent="0.25">
      <c r="A487" s="34" t="s">
        <v>1704</v>
      </c>
      <c r="B487" s="465" t="s">
        <v>234</v>
      </c>
      <c r="C487" s="465" t="s">
        <v>215</v>
      </c>
      <c r="D487" s="465" t="s">
        <v>1701</v>
      </c>
      <c r="E487" s="465"/>
      <c r="F487" s="458">
        <f>F488</f>
        <v>4637.2</v>
      </c>
    </row>
    <row r="488" spans="1:6" s="457" customFormat="1" ht="47.25" x14ac:dyDescent="0.25">
      <c r="A488" s="31" t="s">
        <v>1702</v>
      </c>
      <c r="B488" s="462" t="s">
        <v>234</v>
      </c>
      <c r="C488" s="462" t="s">
        <v>215</v>
      </c>
      <c r="D488" s="462" t="s">
        <v>1712</v>
      </c>
      <c r="E488" s="462"/>
      <c r="F488" s="459">
        <f>F489</f>
        <v>4637.2</v>
      </c>
    </row>
    <row r="489" spans="1:6" s="457" customFormat="1" ht="31.5" x14ac:dyDescent="0.25">
      <c r="A489" s="466" t="s">
        <v>131</v>
      </c>
      <c r="B489" s="462" t="s">
        <v>234</v>
      </c>
      <c r="C489" s="462" t="s">
        <v>215</v>
      </c>
      <c r="D489" s="462" t="s">
        <v>1712</v>
      </c>
      <c r="E489" s="462" t="s">
        <v>132</v>
      </c>
      <c r="F489" s="459">
        <f>F490</f>
        <v>4637.2</v>
      </c>
    </row>
    <row r="490" spans="1:6" s="457" customFormat="1" ht="33.75" customHeight="1" x14ac:dyDescent="0.25">
      <c r="A490" s="466" t="s">
        <v>133</v>
      </c>
      <c r="B490" s="462" t="s">
        <v>234</v>
      </c>
      <c r="C490" s="462" t="s">
        <v>215</v>
      </c>
      <c r="D490" s="462" t="s">
        <v>1712</v>
      </c>
      <c r="E490" s="462" t="s">
        <v>134</v>
      </c>
      <c r="F490" s="459">
        <f>'Пр.4 ведом.21'!G1146</f>
        <v>4637.2</v>
      </c>
    </row>
    <row r="491" spans="1:6" ht="63" x14ac:dyDescent="0.25">
      <c r="A491" s="23" t="s">
        <v>1547</v>
      </c>
      <c r="B491" s="24" t="s">
        <v>234</v>
      </c>
      <c r="C491" s="24" t="s">
        <v>215</v>
      </c>
      <c r="D491" s="24" t="s">
        <v>711</v>
      </c>
      <c r="E491" s="24"/>
      <c r="F491" s="4">
        <f>F493+F497</f>
        <v>24365.510000000002</v>
      </c>
    </row>
    <row r="492" spans="1:6" s="203" customFormat="1" ht="31.5" x14ac:dyDescent="0.25">
      <c r="A492" s="23" t="s">
        <v>1069</v>
      </c>
      <c r="B492" s="24" t="s">
        <v>234</v>
      </c>
      <c r="C492" s="24" t="s">
        <v>215</v>
      </c>
      <c r="D492" s="24" t="s">
        <v>835</v>
      </c>
      <c r="E492" s="20"/>
      <c r="F492" s="4">
        <f>F493</f>
        <v>22809.004000000001</v>
      </c>
    </row>
    <row r="493" spans="1:6" ht="31.5" x14ac:dyDescent="0.25">
      <c r="A493" s="250" t="s">
        <v>710</v>
      </c>
      <c r="B493" s="20" t="s">
        <v>234</v>
      </c>
      <c r="C493" s="20" t="s">
        <v>215</v>
      </c>
      <c r="D493" s="20" t="s">
        <v>835</v>
      </c>
      <c r="E493" s="20"/>
      <c r="F493" s="6">
        <f t="shared" ref="F493:F494" si="53">F494</f>
        <v>22809.004000000001</v>
      </c>
    </row>
    <row r="494" spans="1:6" ht="31.5" x14ac:dyDescent="0.25">
      <c r="A494" s="25" t="s">
        <v>131</v>
      </c>
      <c r="B494" s="20" t="s">
        <v>234</v>
      </c>
      <c r="C494" s="20" t="s">
        <v>215</v>
      </c>
      <c r="D494" s="20" t="s">
        <v>835</v>
      </c>
      <c r="E494" s="20" t="s">
        <v>132</v>
      </c>
      <c r="F494" s="6">
        <f t="shared" si="53"/>
        <v>22809.004000000001</v>
      </c>
    </row>
    <row r="495" spans="1:6" ht="31.5" x14ac:dyDescent="0.25">
      <c r="A495" s="25" t="s">
        <v>133</v>
      </c>
      <c r="B495" s="20" t="s">
        <v>234</v>
      </c>
      <c r="C495" s="20" t="s">
        <v>215</v>
      </c>
      <c r="D495" s="20" t="s">
        <v>835</v>
      </c>
      <c r="E495" s="20" t="s">
        <v>134</v>
      </c>
      <c r="F495" s="6">
        <f>'Пр.4 ведом.21'!G1151</f>
        <v>22809.004000000001</v>
      </c>
    </row>
    <row r="496" spans="1:6" s="185" customFormat="1" ht="110.25" x14ac:dyDescent="0.25">
      <c r="A496" s="464" t="s">
        <v>1707</v>
      </c>
      <c r="B496" s="465" t="s">
        <v>234</v>
      </c>
      <c r="C496" s="465" t="s">
        <v>215</v>
      </c>
      <c r="D496" s="465" t="s">
        <v>1708</v>
      </c>
      <c r="E496" s="465"/>
      <c r="F496" s="458">
        <f>F497</f>
        <v>1556.5060000000001</v>
      </c>
    </row>
    <row r="497" spans="1:8" s="121" customFormat="1" ht="94.5" x14ac:dyDescent="0.25">
      <c r="A497" s="80" t="s">
        <v>1753</v>
      </c>
      <c r="B497" s="462" t="s">
        <v>234</v>
      </c>
      <c r="C497" s="462" t="s">
        <v>215</v>
      </c>
      <c r="D497" s="462" t="s">
        <v>1709</v>
      </c>
      <c r="E497" s="462"/>
      <c r="F497" s="459">
        <f>F498</f>
        <v>1556.5060000000001</v>
      </c>
    </row>
    <row r="498" spans="1:8" s="457" customFormat="1" ht="31.5" x14ac:dyDescent="0.25">
      <c r="A498" s="466" t="s">
        <v>131</v>
      </c>
      <c r="B498" s="462" t="s">
        <v>234</v>
      </c>
      <c r="C498" s="462" t="s">
        <v>215</v>
      </c>
      <c r="D498" s="462" t="s">
        <v>1709</v>
      </c>
      <c r="E498" s="462" t="s">
        <v>132</v>
      </c>
      <c r="F498" s="459">
        <f>F499</f>
        <v>1556.5060000000001</v>
      </c>
    </row>
    <row r="499" spans="1:8" s="457" customFormat="1" ht="31.5" x14ac:dyDescent="0.25">
      <c r="A499" s="466" t="s">
        <v>133</v>
      </c>
      <c r="B499" s="462" t="s">
        <v>234</v>
      </c>
      <c r="C499" s="462" t="s">
        <v>215</v>
      </c>
      <c r="D499" s="462" t="s">
        <v>1709</v>
      </c>
      <c r="E499" s="462" t="s">
        <v>134</v>
      </c>
      <c r="F499" s="459">
        <f>'Пр.4 ведом.21'!G1155</f>
        <v>1556.5060000000001</v>
      </c>
    </row>
    <row r="500" spans="1:8" ht="31.5" x14ac:dyDescent="0.25">
      <c r="A500" s="41" t="s">
        <v>569</v>
      </c>
      <c r="B500" s="7" t="s">
        <v>234</v>
      </c>
      <c r="C500" s="7" t="s">
        <v>234</v>
      </c>
      <c r="D500" s="7"/>
      <c r="E500" s="7"/>
      <c r="F500" s="4">
        <f>F501+F516+F539</f>
        <v>49818.904799999989</v>
      </c>
      <c r="H500" s="22"/>
    </row>
    <row r="501" spans="1:8" ht="31.5" x14ac:dyDescent="0.25">
      <c r="A501" s="23" t="s">
        <v>917</v>
      </c>
      <c r="B501" s="24" t="s">
        <v>234</v>
      </c>
      <c r="C501" s="24" t="s">
        <v>234</v>
      </c>
      <c r="D501" s="24" t="s">
        <v>858</v>
      </c>
      <c r="E501" s="24"/>
      <c r="F501" s="4">
        <f>F502</f>
        <v>15526.148799999999</v>
      </c>
    </row>
    <row r="502" spans="1:8" ht="15.75" x14ac:dyDescent="0.25">
      <c r="A502" s="23" t="s">
        <v>918</v>
      </c>
      <c r="B502" s="24" t="s">
        <v>234</v>
      </c>
      <c r="C502" s="24" t="s">
        <v>234</v>
      </c>
      <c r="D502" s="24" t="s">
        <v>859</v>
      </c>
      <c r="E502" s="24"/>
      <c r="F502" s="4">
        <f>F503+F510+F513</f>
        <v>15526.148799999999</v>
      </c>
    </row>
    <row r="503" spans="1:8" ht="31.5" x14ac:dyDescent="0.25">
      <c r="A503" s="25" t="s">
        <v>897</v>
      </c>
      <c r="B503" s="20" t="s">
        <v>234</v>
      </c>
      <c r="C503" s="20" t="s">
        <v>234</v>
      </c>
      <c r="D503" s="20" t="s">
        <v>860</v>
      </c>
      <c r="E503" s="20"/>
      <c r="F503" s="6">
        <f t="shared" ref="F503" si="54">F504+F506+F508</f>
        <v>14774.999999999998</v>
      </c>
    </row>
    <row r="504" spans="1:8" ht="81.75" customHeight="1" x14ac:dyDescent="0.25">
      <c r="A504" s="25" t="s">
        <v>127</v>
      </c>
      <c r="B504" s="20" t="s">
        <v>234</v>
      </c>
      <c r="C504" s="20" t="s">
        <v>234</v>
      </c>
      <c r="D504" s="20" t="s">
        <v>860</v>
      </c>
      <c r="E504" s="20" t="s">
        <v>128</v>
      </c>
      <c r="F504" s="378">
        <f t="shared" ref="F504" si="55">F505</f>
        <v>14713.699999999999</v>
      </c>
    </row>
    <row r="505" spans="1:8" ht="31.5" x14ac:dyDescent="0.25">
      <c r="A505" s="25" t="s">
        <v>129</v>
      </c>
      <c r="B505" s="20" t="s">
        <v>234</v>
      </c>
      <c r="C505" s="20" t="s">
        <v>234</v>
      </c>
      <c r="D505" s="20" t="s">
        <v>860</v>
      </c>
      <c r="E505" s="20" t="s">
        <v>130</v>
      </c>
      <c r="F505" s="378">
        <f>'Пр.4 ведом.21'!G1161</f>
        <v>14713.699999999999</v>
      </c>
    </row>
    <row r="506" spans="1:8" ht="31.5" x14ac:dyDescent="0.25">
      <c r="A506" s="25" t="s">
        <v>131</v>
      </c>
      <c r="B506" s="20" t="s">
        <v>234</v>
      </c>
      <c r="C506" s="20" t="s">
        <v>234</v>
      </c>
      <c r="D506" s="20" t="s">
        <v>860</v>
      </c>
      <c r="E506" s="20" t="s">
        <v>132</v>
      </c>
      <c r="F506" s="378">
        <f t="shared" ref="F506" si="56">F507</f>
        <v>23</v>
      </c>
    </row>
    <row r="507" spans="1:8" ht="31.5" x14ac:dyDescent="0.25">
      <c r="A507" s="25" t="s">
        <v>133</v>
      </c>
      <c r="B507" s="20" t="s">
        <v>234</v>
      </c>
      <c r="C507" s="20" t="s">
        <v>234</v>
      </c>
      <c r="D507" s="20" t="s">
        <v>860</v>
      </c>
      <c r="E507" s="20" t="s">
        <v>134</v>
      </c>
      <c r="F507" s="378">
        <f>'Пр.4 ведом.21'!G1163</f>
        <v>23</v>
      </c>
    </row>
    <row r="508" spans="1:8" ht="15.75" x14ac:dyDescent="0.25">
      <c r="A508" s="25" t="s">
        <v>135</v>
      </c>
      <c r="B508" s="20" t="s">
        <v>234</v>
      </c>
      <c r="C508" s="20" t="s">
        <v>234</v>
      </c>
      <c r="D508" s="20" t="s">
        <v>860</v>
      </c>
      <c r="E508" s="20" t="s">
        <v>145</v>
      </c>
      <c r="F508" s="378">
        <f t="shared" ref="F508" si="57">F509</f>
        <v>38.299999999999997</v>
      </c>
    </row>
    <row r="509" spans="1:8" ht="15.75" x14ac:dyDescent="0.25">
      <c r="A509" s="25" t="s">
        <v>568</v>
      </c>
      <c r="B509" s="20" t="s">
        <v>234</v>
      </c>
      <c r="C509" s="20" t="s">
        <v>234</v>
      </c>
      <c r="D509" s="20" t="s">
        <v>860</v>
      </c>
      <c r="E509" s="20" t="s">
        <v>138</v>
      </c>
      <c r="F509" s="378">
        <f>'Пр.4 ведом.21'!G1165</f>
        <v>38.299999999999997</v>
      </c>
    </row>
    <row r="510" spans="1:8" s="203" customFormat="1" ht="47.25" x14ac:dyDescent="0.25">
      <c r="A510" s="25" t="s">
        <v>839</v>
      </c>
      <c r="B510" s="20" t="s">
        <v>234</v>
      </c>
      <c r="C510" s="20" t="s">
        <v>234</v>
      </c>
      <c r="D510" s="20" t="s">
        <v>862</v>
      </c>
      <c r="E510" s="20"/>
      <c r="F510" s="378">
        <f>F511</f>
        <v>399.2</v>
      </c>
    </row>
    <row r="511" spans="1:8" s="203" customFormat="1" ht="78.75" x14ac:dyDescent="0.25">
      <c r="A511" s="25" t="s">
        <v>127</v>
      </c>
      <c r="B511" s="20" t="s">
        <v>234</v>
      </c>
      <c r="C511" s="20" t="s">
        <v>234</v>
      </c>
      <c r="D511" s="20" t="s">
        <v>862</v>
      </c>
      <c r="E511" s="20" t="s">
        <v>128</v>
      </c>
      <c r="F511" s="378">
        <f>F512</f>
        <v>399.2</v>
      </c>
    </row>
    <row r="512" spans="1:8" s="203" customFormat="1" ht="31.5" x14ac:dyDescent="0.25">
      <c r="A512" s="25" t="s">
        <v>129</v>
      </c>
      <c r="B512" s="20" t="s">
        <v>234</v>
      </c>
      <c r="C512" s="20" t="s">
        <v>234</v>
      </c>
      <c r="D512" s="20" t="s">
        <v>862</v>
      </c>
      <c r="E512" s="20" t="s">
        <v>130</v>
      </c>
      <c r="F512" s="378">
        <f>'Пр.4 ведом.21'!G1168</f>
        <v>399.2</v>
      </c>
    </row>
    <row r="513" spans="1:6" s="457" customFormat="1" ht="31.5" x14ac:dyDescent="0.25">
      <c r="A513" s="466" t="s">
        <v>1793</v>
      </c>
      <c r="B513" s="462" t="s">
        <v>234</v>
      </c>
      <c r="C513" s="462" t="s">
        <v>234</v>
      </c>
      <c r="D513" s="462" t="s">
        <v>1794</v>
      </c>
      <c r="E513" s="462"/>
      <c r="F513" s="378">
        <f>F514</f>
        <v>351.94880000000001</v>
      </c>
    </row>
    <row r="514" spans="1:6" s="457" customFormat="1" ht="78.75" x14ac:dyDescent="0.25">
      <c r="A514" s="466" t="s">
        <v>127</v>
      </c>
      <c r="B514" s="462" t="s">
        <v>234</v>
      </c>
      <c r="C514" s="462" t="s">
        <v>234</v>
      </c>
      <c r="D514" s="462" t="s">
        <v>1794</v>
      </c>
      <c r="E514" s="462" t="s">
        <v>128</v>
      </c>
      <c r="F514" s="378">
        <f>F515</f>
        <v>351.94880000000001</v>
      </c>
    </row>
    <row r="515" spans="1:6" s="457" customFormat="1" ht="31.5" x14ac:dyDescent="0.25">
      <c r="A515" s="466" t="s">
        <v>129</v>
      </c>
      <c r="B515" s="462" t="s">
        <v>234</v>
      </c>
      <c r="C515" s="462" t="s">
        <v>234</v>
      </c>
      <c r="D515" s="462" t="s">
        <v>1794</v>
      </c>
      <c r="E515" s="462" t="s">
        <v>130</v>
      </c>
      <c r="F515" s="378">
        <f>'Пр.4 ведом.21'!G1171</f>
        <v>351.94880000000001</v>
      </c>
    </row>
    <row r="516" spans="1:6" ht="15.75" x14ac:dyDescent="0.25">
      <c r="A516" s="23" t="s">
        <v>141</v>
      </c>
      <c r="B516" s="24" t="s">
        <v>234</v>
      </c>
      <c r="C516" s="24" t="s">
        <v>234</v>
      </c>
      <c r="D516" s="24" t="s">
        <v>866</v>
      </c>
      <c r="E516" s="24"/>
      <c r="F516" s="4">
        <f>F517+F530</f>
        <v>34292.755999999994</v>
      </c>
    </row>
    <row r="517" spans="1:6" ht="31.5" x14ac:dyDescent="0.25">
      <c r="A517" s="23" t="s">
        <v>870</v>
      </c>
      <c r="B517" s="24" t="s">
        <v>234</v>
      </c>
      <c r="C517" s="24" t="s">
        <v>234</v>
      </c>
      <c r="D517" s="24" t="s">
        <v>865</v>
      </c>
      <c r="E517" s="24"/>
      <c r="F517" s="380">
        <f>F518+F525</f>
        <v>21222.6</v>
      </c>
    </row>
    <row r="518" spans="1:6" ht="31.5" x14ac:dyDescent="0.25">
      <c r="A518" s="25" t="s">
        <v>570</v>
      </c>
      <c r="B518" s="20" t="s">
        <v>234</v>
      </c>
      <c r="C518" s="20" t="s">
        <v>234</v>
      </c>
      <c r="D518" s="20" t="s">
        <v>984</v>
      </c>
      <c r="E518" s="20"/>
      <c r="F518" s="378">
        <f>F521+F519</f>
        <v>10122.599999999999</v>
      </c>
    </row>
    <row r="519" spans="1:6" s="203" customFormat="1" ht="19.5" hidden="1" customHeight="1" x14ac:dyDescent="0.25">
      <c r="A519" s="31" t="s">
        <v>248</v>
      </c>
      <c r="B519" s="20" t="s">
        <v>234</v>
      </c>
      <c r="C519" s="20" t="s">
        <v>234</v>
      </c>
      <c r="D519" s="20" t="s">
        <v>984</v>
      </c>
      <c r="E519" s="20" t="s">
        <v>249</v>
      </c>
      <c r="F519" s="378">
        <f>F520</f>
        <v>0</v>
      </c>
    </row>
    <row r="520" spans="1:6" s="203" customFormat="1" ht="15.75" hidden="1" x14ac:dyDescent="0.25">
      <c r="A520" s="25" t="s">
        <v>1551</v>
      </c>
      <c r="B520" s="20" t="s">
        <v>234</v>
      </c>
      <c r="C520" s="20" t="s">
        <v>234</v>
      </c>
      <c r="D520" s="20" t="s">
        <v>984</v>
      </c>
      <c r="E520" s="20" t="s">
        <v>1553</v>
      </c>
      <c r="F520" s="378">
        <f>'Пр.4 ведом.21'!G1176</f>
        <v>0</v>
      </c>
    </row>
    <row r="521" spans="1:6" ht="15.75" x14ac:dyDescent="0.25">
      <c r="A521" s="25" t="s">
        <v>135</v>
      </c>
      <c r="B521" s="20" t="s">
        <v>234</v>
      </c>
      <c r="C521" s="20" t="s">
        <v>234</v>
      </c>
      <c r="D521" s="20" t="s">
        <v>984</v>
      </c>
      <c r="E521" s="20" t="s">
        <v>145</v>
      </c>
      <c r="F521" s="378">
        <f>F522+F523+F524</f>
        <v>10122.599999999999</v>
      </c>
    </row>
    <row r="522" spans="1:6" ht="47.25" x14ac:dyDescent="0.25">
      <c r="A522" s="25" t="s">
        <v>184</v>
      </c>
      <c r="B522" s="20" t="s">
        <v>234</v>
      </c>
      <c r="C522" s="20" t="s">
        <v>234</v>
      </c>
      <c r="D522" s="20" t="s">
        <v>984</v>
      </c>
      <c r="E522" s="20" t="s">
        <v>160</v>
      </c>
      <c r="F522" s="6">
        <f>'Пр.4 ведом.21'!G1178</f>
        <v>982</v>
      </c>
    </row>
    <row r="523" spans="1:6" s="457" customFormat="1" ht="15.75" x14ac:dyDescent="0.25">
      <c r="A523" s="466" t="s">
        <v>704</v>
      </c>
      <c r="B523" s="462" t="s">
        <v>234</v>
      </c>
      <c r="C523" s="462" t="s">
        <v>234</v>
      </c>
      <c r="D523" s="462" t="s">
        <v>984</v>
      </c>
      <c r="E523" s="462" t="s">
        <v>138</v>
      </c>
      <c r="F523" s="459">
        <f>'Пр.4 ведом.21'!G1179</f>
        <v>9140.5999999999985</v>
      </c>
    </row>
    <row r="524" spans="1:6" s="457" customFormat="1" ht="15.75" hidden="1" x14ac:dyDescent="0.25">
      <c r="A524" s="466" t="s">
        <v>1679</v>
      </c>
      <c r="B524" s="462" t="s">
        <v>234</v>
      </c>
      <c r="C524" s="462" t="s">
        <v>234</v>
      </c>
      <c r="D524" s="462" t="s">
        <v>984</v>
      </c>
      <c r="E524" s="462" t="s">
        <v>1680</v>
      </c>
      <c r="F524" s="459">
        <f>'Пр.4 ведом.21'!G1180</f>
        <v>0</v>
      </c>
    </row>
    <row r="525" spans="1:6" ht="31.5" x14ac:dyDescent="0.25">
      <c r="A525" s="466" t="s">
        <v>1695</v>
      </c>
      <c r="B525" s="20" t="s">
        <v>234</v>
      </c>
      <c r="C525" s="20" t="s">
        <v>234</v>
      </c>
      <c r="D525" s="20" t="s">
        <v>1696</v>
      </c>
      <c r="E525" s="20"/>
      <c r="F525" s="378">
        <f>F526+F528</f>
        <v>11100</v>
      </c>
    </row>
    <row r="526" spans="1:6" ht="15.75" x14ac:dyDescent="0.25">
      <c r="A526" s="466" t="s">
        <v>1698</v>
      </c>
      <c r="B526" s="20" t="s">
        <v>234</v>
      </c>
      <c r="C526" s="20" t="s">
        <v>234</v>
      </c>
      <c r="D526" s="20" t="s">
        <v>1696</v>
      </c>
      <c r="E526" s="20" t="s">
        <v>837</v>
      </c>
      <c r="F526" s="378">
        <f>F527</f>
        <v>100</v>
      </c>
    </row>
    <row r="527" spans="1:6" ht="31.5" x14ac:dyDescent="0.25">
      <c r="A527" s="466" t="s">
        <v>838</v>
      </c>
      <c r="B527" s="20" t="s">
        <v>234</v>
      </c>
      <c r="C527" s="20" t="s">
        <v>234</v>
      </c>
      <c r="D527" s="20" t="s">
        <v>1696</v>
      </c>
      <c r="E527" s="20" t="s">
        <v>1699</v>
      </c>
      <c r="F527" s="378">
        <f>'Пр.4 ведом.21'!G1185</f>
        <v>100</v>
      </c>
    </row>
    <row r="528" spans="1:6" s="457" customFormat="1" ht="15.75" x14ac:dyDescent="0.25">
      <c r="A528" s="466" t="s">
        <v>135</v>
      </c>
      <c r="B528" s="462" t="s">
        <v>234</v>
      </c>
      <c r="C528" s="462" t="s">
        <v>234</v>
      </c>
      <c r="D528" s="462" t="s">
        <v>1696</v>
      </c>
      <c r="E528" s="462" t="s">
        <v>145</v>
      </c>
      <c r="F528" s="378">
        <f>F529</f>
        <v>11000</v>
      </c>
    </row>
    <row r="529" spans="1:7" s="457" customFormat="1" ht="47.25" x14ac:dyDescent="0.25">
      <c r="A529" s="466" t="s">
        <v>184</v>
      </c>
      <c r="B529" s="462" t="s">
        <v>234</v>
      </c>
      <c r="C529" s="462" t="s">
        <v>234</v>
      </c>
      <c r="D529" s="462" t="s">
        <v>1696</v>
      </c>
      <c r="E529" s="462" t="s">
        <v>160</v>
      </c>
      <c r="F529" s="378">
        <f>'Пр.4 ведом.21'!G1187</f>
        <v>11000</v>
      </c>
    </row>
    <row r="530" spans="1:7" ht="31.5" x14ac:dyDescent="0.25">
      <c r="A530" s="23" t="s">
        <v>929</v>
      </c>
      <c r="B530" s="24" t="s">
        <v>234</v>
      </c>
      <c r="C530" s="24" t="s">
        <v>234</v>
      </c>
      <c r="D530" s="24" t="s">
        <v>914</v>
      </c>
      <c r="E530" s="24"/>
      <c r="F530" s="380">
        <f>F531+F536+F544</f>
        <v>13070.155999999999</v>
      </c>
    </row>
    <row r="531" spans="1:7" ht="31.5" x14ac:dyDescent="0.25">
      <c r="A531" s="25" t="s">
        <v>903</v>
      </c>
      <c r="B531" s="20" t="s">
        <v>234</v>
      </c>
      <c r="C531" s="20" t="s">
        <v>234</v>
      </c>
      <c r="D531" s="20" t="s">
        <v>915</v>
      </c>
      <c r="E531" s="20"/>
      <c r="F531" s="378">
        <f>F532+F534</f>
        <v>12487.099999999999</v>
      </c>
      <c r="G531" s="231">
        <f>F531+F536+F842+F849+F935+F944+F1076+F1083</f>
        <v>46309.899999999994</v>
      </c>
    </row>
    <row r="532" spans="1:7" ht="78.75" x14ac:dyDescent="0.25">
      <c r="A532" s="25" t="s">
        <v>127</v>
      </c>
      <c r="B532" s="20" t="s">
        <v>234</v>
      </c>
      <c r="C532" s="20" t="s">
        <v>234</v>
      </c>
      <c r="D532" s="20" t="s">
        <v>915</v>
      </c>
      <c r="E532" s="20" t="s">
        <v>128</v>
      </c>
      <c r="F532" s="378">
        <f>F533</f>
        <v>10079.799999999999</v>
      </c>
    </row>
    <row r="533" spans="1:7" ht="21.75" customHeight="1" x14ac:dyDescent="0.25">
      <c r="A533" s="25" t="s">
        <v>342</v>
      </c>
      <c r="B533" s="20" t="s">
        <v>234</v>
      </c>
      <c r="C533" s="20" t="s">
        <v>234</v>
      </c>
      <c r="D533" s="20" t="s">
        <v>915</v>
      </c>
      <c r="E533" s="20" t="s">
        <v>209</v>
      </c>
      <c r="F533" s="378">
        <f>'Пр.4 ведом.21'!G1191</f>
        <v>10079.799999999999</v>
      </c>
    </row>
    <row r="534" spans="1:7" s="203" customFormat="1" ht="31.5" x14ac:dyDescent="0.25">
      <c r="A534" s="25" t="s">
        <v>131</v>
      </c>
      <c r="B534" s="20" t="s">
        <v>234</v>
      </c>
      <c r="C534" s="20" t="s">
        <v>234</v>
      </c>
      <c r="D534" s="20" t="s">
        <v>915</v>
      </c>
      <c r="E534" s="20" t="s">
        <v>132</v>
      </c>
      <c r="F534" s="378">
        <f>F535</f>
        <v>2407.3000000000002</v>
      </c>
    </row>
    <row r="535" spans="1:7" s="203" customFormat="1" ht="31.5" x14ac:dyDescent="0.25">
      <c r="A535" s="25" t="s">
        <v>133</v>
      </c>
      <c r="B535" s="20" t="s">
        <v>234</v>
      </c>
      <c r="C535" s="20" t="s">
        <v>234</v>
      </c>
      <c r="D535" s="20" t="s">
        <v>915</v>
      </c>
      <c r="E535" s="20" t="s">
        <v>134</v>
      </c>
      <c r="F535" s="378">
        <f>'Пр.4 ведом.21'!G1193</f>
        <v>2407.3000000000002</v>
      </c>
    </row>
    <row r="536" spans="1:7" s="203" customFormat="1" ht="47.25" x14ac:dyDescent="0.25">
      <c r="A536" s="25" t="s">
        <v>839</v>
      </c>
      <c r="B536" s="20" t="s">
        <v>234</v>
      </c>
      <c r="C536" s="20" t="s">
        <v>234</v>
      </c>
      <c r="D536" s="20" t="s">
        <v>916</v>
      </c>
      <c r="E536" s="20"/>
      <c r="F536" s="378">
        <f>F537</f>
        <v>350</v>
      </c>
    </row>
    <row r="537" spans="1:7" s="203" customFormat="1" ht="78.75" x14ac:dyDescent="0.25">
      <c r="A537" s="25" t="s">
        <v>127</v>
      </c>
      <c r="B537" s="20" t="s">
        <v>234</v>
      </c>
      <c r="C537" s="20" t="s">
        <v>234</v>
      </c>
      <c r="D537" s="20" t="s">
        <v>916</v>
      </c>
      <c r="E537" s="20" t="s">
        <v>128</v>
      </c>
      <c r="F537" s="378">
        <f>F538</f>
        <v>350</v>
      </c>
    </row>
    <row r="538" spans="1:7" s="203" customFormat="1" ht="31.5" x14ac:dyDescent="0.25">
      <c r="A538" s="25" t="s">
        <v>129</v>
      </c>
      <c r="B538" s="20" t="s">
        <v>234</v>
      </c>
      <c r="C538" s="20" t="s">
        <v>234</v>
      </c>
      <c r="D538" s="20" t="s">
        <v>916</v>
      </c>
      <c r="E538" s="20" t="s">
        <v>130</v>
      </c>
      <c r="F538" s="378">
        <f>'Пр.4 ведом.21'!G1196</f>
        <v>350</v>
      </c>
    </row>
    <row r="539" spans="1:7" s="203" customFormat="1" ht="47.25" hidden="1" x14ac:dyDescent="0.25">
      <c r="A539" s="34" t="s">
        <v>1387</v>
      </c>
      <c r="B539" s="24" t="s">
        <v>234</v>
      </c>
      <c r="C539" s="24" t="s">
        <v>234</v>
      </c>
      <c r="D539" s="24" t="s">
        <v>324</v>
      </c>
      <c r="E539" s="24"/>
      <c r="F539" s="21">
        <f>F540</f>
        <v>0</v>
      </c>
    </row>
    <row r="540" spans="1:7" s="203" customFormat="1" ht="63" hidden="1" x14ac:dyDescent="0.25">
      <c r="A540" s="34" t="s">
        <v>1009</v>
      </c>
      <c r="B540" s="24" t="s">
        <v>234</v>
      </c>
      <c r="C540" s="24" t="s">
        <v>234</v>
      </c>
      <c r="D540" s="24" t="s">
        <v>934</v>
      </c>
      <c r="E540" s="24"/>
      <c r="F540" s="21">
        <f>F541</f>
        <v>0</v>
      </c>
    </row>
    <row r="541" spans="1:7" s="203" customFormat="1" ht="47.25" hidden="1" x14ac:dyDescent="0.25">
      <c r="A541" s="31" t="s">
        <v>1083</v>
      </c>
      <c r="B541" s="20" t="s">
        <v>234</v>
      </c>
      <c r="C541" s="20" t="s">
        <v>234</v>
      </c>
      <c r="D541" s="20" t="s">
        <v>1026</v>
      </c>
      <c r="E541" s="20"/>
      <c r="F541" s="26">
        <f>F542</f>
        <v>0</v>
      </c>
    </row>
    <row r="542" spans="1:7" s="203" customFormat="1" ht="31.5" hidden="1" x14ac:dyDescent="0.25">
      <c r="A542" s="25" t="s">
        <v>131</v>
      </c>
      <c r="B542" s="20" t="s">
        <v>234</v>
      </c>
      <c r="C542" s="20" t="s">
        <v>234</v>
      </c>
      <c r="D542" s="20" t="s">
        <v>1026</v>
      </c>
      <c r="E542" s="20" t="s">
        <v>132</v>
      </c>
      <c r="F542" s="26">
        <f>F543</f>
        <v>0</v>
      </c>
    </row>
    <row r="543" spans="1:7" s="203" customFormat="1" ht="31.5" hidden="1" x14ac:dyDescent="0.25">
      <c r="A543" s="25" t="s">
        <v>133</v>
      </c>
      <c r="B543" s="20" t="s">
        <v>234</v>
      </c>
      <c r="C543" s="20" t="s">
        <v>234</v>
      </c>
      <c r="D543" s="20" t="s">
        <v>1026</v>
      </c>
      <c r="E543" s="20" t="s">
        <v>134</v>
      </c>
      <c r="F543" s="26">
        <f>'Пр.4 ведом.21'!G1201</f>
        <v>0</v>
      </c>
    </row>
    <row r="544" spans="1:7" s="457" customFormat="1" ht="31.5" x14ac:dyDescent="0.25">
      <c r="A544" s="466" t="s">
        <v>1793</v>
      </c>
      <c r="B544" s="462" t="s">
        <v>234</v>
      </c>
      <c r="C544" s="462" t="s">
        <v>234</v>
      </c>
      <c r="D544" s="462" t="s">
        <v>1797</v>
      </c>
      <c r="E544" s="462"/>
      <c r="F544" s="467">
        <f>F545</f>
        <v>233.05600000000001</v>
      </c>
    </row>
    <row r="545" spans="1:12" s="457" customFormat="1" ht="78.75" x14ac:dyDescent="0.25">
      <c r="A545" s="466" t="s">
        <v>127</v>
      </c>
      <c r="B545" s="462" t="s">
        <v>234</v>
      </c>
      <c r="C545" s="462" t="s">
        <v>234</v>
      </c>
      <c r="D545" s="462" t="s">
        <v>1797</v>
      </c>
      <c r="E545" s="462" t="s">
        <v>128</v>
      </c>
      <c r="F545" s="467">
        <f>F546</f>
        <v>233.05600000000001</v>
      </c>
    </row>
    <row r="546" spans="1:12" s="457" customFormat="1" ht="31.5" x14ac:dyDescent="0.25">
      <c r="A546" s="466" t="s">
        <v>342</v>
      </c>
      <c r="B546" s="462" t="s">
        <v>234</v>
      </c>
      <c r="C546" s="462" t="s">
        <v>234</v>
      </c>
      <c r="D546" s="462" t="s">
        <v>1797</v>
      </c>
      <c r="E546" s="462" t="s">
        <v>209</v>
      </c>
      <c r="F546" s="467">
        <f>'Пр.4 ведом.21'!G1204</f>
        <v>233.05600000000001</v>
      </c>
    </row>
    <row r="547" spans="1:12" ht="15.75" x14ac:dyDescent="0.25">
      <c r="A547" s="41" t="s">
        <v>263</v>
      </c>
      <c r="B547" s="7" t="s">
        <v>264</v>
      </c>
      <c r="C547" s="40"/>
      <c r="D547" s="40"/>
      <c r="E547" s="40"/>
      <c r="F547" s="4">
        <f>F548+F613+F817+F704+F789</f>
        <v>398874.81100000005</v>
      </c>
      <c r="G547">
        <v>405118.01</v>
      </c>
      <c r="H547" s="22">
        <f>G547-F547</f>
        <v>6243.1989999999641</v>
      </c>
      <c r="K547" s="231">
        <f>F547-F554-F619-F716-F766-'Пр.4 ведом.21'!P1249-'Пр.4 ведом.21'!R1249-'Пр.4 ведом.21'!S1249-'Пр.4 ведом.21'!L1259-'Пр.4 ведом.21'!M1259-'Пр.4 ведом.21'!N1259-'Пр.4 ведом.21'!O1259-'Пр.4 ведом.21'!P1259-'Пр.4 ведом.21'!Q1259-'Пр.4 ведом.21'!R1259-'Пр.4 ведом.21'!S1259-'Пр.4 ведом.21'!T1259</f>
        <v>149977.79600000003</v>
      </c>
      <c r="L547" s="231">
        <f>F554+F588+F592+F619+F659+F663+F667+F671+F675+F687+F691+F713+F716+F750+F766+F814-'Пр.4 ведом.21'!P1248-'Пр.4 ведом.21'!R1248-'Пр.4 ведом.21'!S1248-'Пр.4 ведом.21'!L1258-'Пр.4 ведом.21'!M1258-'Пр.4 ведом.21'!N1258-'Пр.4 ведом.21'!O1258-'Пр.4 ведом.21'!P1258-'Пр.4 ведом.21'!Q1258-'Пр.4 ведом.21'!R1258-'Пр.4 ведом.21'!S1258-'Пр.4 ведом.21'!T1258</f>
        <v>249236.00299999997</v>
      </c>
    </row>
    <row r="548" spans="1:12" ht="15.75" x14ac:dyDescent="0.25">
      <c r="A548" s="41" t="s">
        <v>404</v>
      </c>
      <c r="B548" s="7" t="s">
        <v>264</v>
      </c>
      <c r="C548" s="7" t="s">
        <v>118</v>
      </c>
      <c r="D548" s="7"/>
      <c r="E548" s="7"/>
      <c r="F548" s="4">
        <f>F549+F603+F608</f>
        <v>112462.06999999999</v>
      </c>
      <c r="H548" s="22"/>
    </row>
    <row r="549" spans="1:12" ht="40.700000000000003" customHeight="1" x14ac:dyDescent="0.25">
      <c r="A549" s="23" t="s">
        <v>1388</v>
      </c>
      <c r="B549" s="24" t="s">
        <v>264</v>
      </c>
      <c r="C549" s="24" t="s">
        <v>118</v>
      </c>
      <c r="D549" s="24" t="s">
        <v>406</v>
      </c>
      <c r="E549" s="24"/>
      <c r="F549" s="4">
        <f>F550+F554+F567+F577+F587+F591+F595+F599</f>
        <v>111766.87</v>
      </c>
    </row>
    <row r="550" spans="1:12" s="203" customFormat="1" ht="31.5" x14ac:dyDescent="0.25">
      <c r="A550" s="23" t="s">
        <v>937</v>
      </c>
      <c r="B550" s="24" t="s">
        <v>264</v>
      </c>
      <c r="C550" s="24" t="s">
        <v>118</v>
      </c>
      <c r="D550" s="24" t="s">
        <v>1235</v>
      </c>
      <c r="E550" s="24"/>
      <c r="F550" s="4">
        <f>F551</f>
        <v>14804.1</v>
      </c>
    </row>
    <row r="551" spans="1:12" ht="42.75" customHeight="1" x14ac:dyDescent="0.25">
      <c r="A551" s="25" t="s">
        <v>1234</v>
      </c>
      <c r="B551" s="20" t="s">
        <v>264</v>
      </c>
      <c r="C551" s="20" t="s">
        <v>118</v>
      </c>
      <c r="D551" s="20" t="s">
        <v>1236</v>
      </c>
      <c r="E551" s="20"/>
      <c r="F551" s="6">
        <f>F552</f>
        <v>14804.1</v>
      </c>
    </row>
    <row r="552" spans="1:12" ht="40.700000000000003" customHeight="1" x14ac:dyDescent="0.25">
      <c r="A552" s="25" t="s">
        <v>272</v>
      </c>
      <c r="B552" s="20" t="s">
        <v>264</v>
      </c>
      <c r="C552" s="20" t="s">
        <v>118</v>
      </c>
      <c r="D552" s="20" t="s">
        <v>1236</v>
      </c>
      <c r="E552" s="20" t="s">
        <v>273</v>
      </c>
      <c r="F552" s="6">
        <f>F553</f>
        <v>14804.1</v>
      </c>
    </row>
    <row r="553" spans="1:12" ht="15.75" x14ac:dyDescent="0.25">
      <c r="A553" s="25" t="s">
        <v>274</v>
      </c>
      <c r="B553" s="20" t="s">
        <v>264</v>
      </c>
      <c r="C553" s="20" t="s">
        <v>118</v>
      </c>
      <c r="D553" s="20" t="s">
        <v>1236</v>
      </c>
      <c r="E553" s="20" t="s">
        <v>275</v>
      </c>
      <c r="F553" s="378">
        <f>'Пр.4 ведом.21'!G635</f>
        <v>14804.1</v>
      </c>
      <c r="H553" s="22"/>
    </row>
    <row r="554" spans="1:12" ht="47.25" x14ac:dyDescent="0.25">
      <c r="A554" s="23" t="s">
        <v>900</v>
      </c>
      <c r="B554" s="24" t="s">
        <v>264</v>
      </c>
      <c r="C554" s="24" t="s">
        <v>118</v>
      </c>
      <c r="D554" s="24" t="s">
        <v>1237</v>
      </c>
      <c r="E554" s="24"/>
      <c r="F554" s="4">
        <f>F558+F561+F564+F555</f>
        <v>84767.164999999994</v>
      </c>
    </row>
    <row r="555" spans="1:12" s="203" customFormat="1" ht="94.5" x14ac:dyDescent="0.25">
      <c r="A555" s="31" t="s">
        <v>293</v>
      </c>
      <c r="B555" s="20" t="s">
        <v>264</v>
      </c>
      <c r="C555" s="20" t="s">
        <v>118</v>
      </c>
      <c r="D555" s="20" t="s">
        <v>1401</v>
      </c>
      <c r="E555" s="20"/>
      <c r="F555" s="6">
        <f t="shared" ref="F555:F556" si="58">F556</f>
        <v>3230</v>
      </c>
    </row>
    <row r="556" spans="1:12" s="203" customFormat="1" ht="31.5" x14ac:dyDescent="0.25">
      <c r="A556" s="25" t="s">
        <v>272</v>
      </c>
      <c r="B556" s="20" t="s">
        <v>264</v>
      </c>
      <c r="C556" s="20" t="s">
        <v>118</v>
      </c>
      <c r="D556" s="20" t="s">
        <v>1401</v>
      </c>
      <c r="E556" s="20" t="s">
        <v>273</v>
      </c>
      <c r="F556" s="6">
        <f t="shared" si="58"/>
        <v>3230</v>
      </c>
    </row>
    <row r="557" spans="1:12" s="203" customFormat="1" ht="15.75" x14ac:dyDescent="0.25">
      <c r="A557" s="25" t="s">
        <v>274</v>
      </c>
      <c r="B557" s="20" t="s">
        <v>264</v>
      </c>
      <c r="C557" s="20" t="s">
        <v>118</v>
      </c>
      <c r="D557" s="20" t="s">
        <v>1401</v>
      </c>
      <c r="E557" s="20" t="s">
        <v>275</v>
      </c>
      <c r="F557" s="6">
        <f>'Пр.4 ведом.21'!G639</f>
        <v>3230</v>
      </c>
    </row>
    <row r="558" spans="1:12" ht="47.25" customHeight="1" x14ac:dyDescent="0.25">
      <c r="A558" s="31" t="s">
        <v>289</v>
      </c>
      <c r="B558" s="20" t="s">
        <v>264</v>
      </c>
      <c r="C558" s="20" t="s">
        <v>118</v>
      </c>
      <c r="D558" s="20" t="s">
        <v>1238</v>
      </c>
      <c r="E558" s="20"/>
      <c r="F558" s="6">
        <f t="shared" ref="F558:F559" si="59">F559</f>
        <v>589</v>
      </c>
    </row>
    <row r="559" spans="1:12" ht="39.75" customHeight="1" x14ac:dyDescent="0.25">
      <c r="A559" s="25" t="s">
        <v>272</v>
      </c>
      <c r="B559" s="20" t="s">
        <v>264</v>
      </c>
      <c r="C559" s="20" t="s">
        <v>118</v>
      </c>
      <c r="D559" s="20" t="s">
        <v>1238</v>
      </c>
      <c r="E559" s="20" t="s">
        <v>273</v>
      </c>
      <c r="F559" s="6">
        <f t="shared" si="59"/>
        <v>589</v>
      </c>
    </row>
    <row r="560" spans="1:12" ht="15.75" customHeight="1" x14ac:dyDescent="0.25">
      <c r="A560" s="25" t="s">
        <v>274</v>
      </c>
      <c r="B560" s="20" t="s">
        <v>264</v>
      </c>
      <c r="C560" s="20" t="s">
        <v>118</v>
      </c>
      <c r="D560" s="20" t="s">
        <v>1238</v>
      </c>
      <c r="E560" s="20" t="s">
        <v>275</v>
      </c>
      <c r="F560" s="6">
        <f>'Пр.4 ведом.21'!G642</f>
        <v>589</v>
      </c>
    </row>
    <row r="561" spans="1:6" ht="71.45" customHeight="1" x14ac:dyDescent="0.25">
      <c r="A561" s="31" t="s">
        <v>291</v>
      </c>
      <c r="B561" s="20" t="s">
        <v>264</v>
      </c>
      <c r="C561" s="20" t="s">
        <v>118</v>
      </c>
      <c r="D561" s="20" t="s">
        <v>1239</v>
      </c>
      <c r="E561" s="20"/>
      <c r="F561" s="6">
        <f t="shared" ref="F561:F562" si="60">F562</f>
        <v>1497.5</v>
      </c>
    </row>
    <row r="562" spans="1:6" ht="47.25" customHeight="1" x14ac:dyDescent="0.25">
      <c r="A562" s="25" t="s">
        <v>272</v>
      </c>
      <c r="B562" s="20" t="s">
        <v>264</v>
      </c>
      <c r="C562" s="20" t="s">
        <v>118</v>
      </c>
      <c r="D562" s="20" t="s">
        <v>1239</v>
      </c>
      <c r="E562" s="20" t="s">
        <v>273</v>
      </c>
      <c r="F562" s="6">
        <f t="shared" si="60"/>
        <v>1497.5</v>
      </c>
    </row>
    <row r="563" spans="1:6" ht="15.75" customHeight="1" x14ac:dyDescent="0.25">
      <c r="A563" s="25" t="s">
        <v>274</v>
      </c>
      <c r="B563" s="20" t="s">
        <v>264</v>
      </c>
      <c r="C563" s="20" t="s">
        <v>118</v>
      </c>
      <c r="D563" s="20" t="s">
        <v>1239</v>
      </c>
      <c r="E563" s="20" t="s">
        <v>275</v>
      </c>
      <c r="F563" s="6">
        <f>'Пр.4 ведом.21'!G645</f>
        <v>1497.5</v>
      </c>
    </row>
    <row r="564" spans="1:6" ht="94.5" x14ac:dyDescent="0.25">
      <c r="A564" s="31" t="s">
        <v>1188</v>
      </c>
      <c r="B564" s="20" t="s">
        <v>264</v>
      </c>
      <c r="C564" s="20" t="s">
        <v>118</v>
      </c>
      <c r="D564" s="20" t="s">
        <v>1240</v>
      </c>
      <c r="E564" s="20"/>
      <c r="F564" s="6">
        <f t="shared" ref="F564:F565" si="61">F565</f>
        <v>79450.664999999994</v>
      </c>
    </row>
    <row r="565" spans="1:6" ht="31.5" x14ac:dyDescent="0.25">
      <c r="A565" s="25" t="s">
        <v>272</v>
      </c>
      <c r="B565" s="20" t="s">
        <v>264</v>
      </c>
      <c r="C565" s="20" t="s">
        <v>118</v>
      </c>
      <c r="D565" s="20" t="s">
        <v>1240</v>
      </c>
      <c r="E565" s="20" t="s">
        <v>273</v>
      </c>
      <c r="F565" s="6">
        <f t="shared" si="61"/>
        <v>79450.664999999994</v>
      </c>
    </row>
    <row r="566" spans="1:6" ht="15.75" x14ac:dyDescent="0.25">
      <c r="A566" s="25" t="s">
        <v>274</v>
      </c>
      <c r="B566" s="20" t="s">
        <v>264</v>
      </c>
      <c r="C566" s="20" t="s">
        <v>118</v>
      </c>
      <c r="D566" s="20" t="s">
        <v>1240</v>
      </c>
      <c r="E566" s="20" t="s">
        <v>275</v>
      </c>
      <c r="F566" s="6">
        <f>'Пр.4 ведом.21'!G648</f>
        <v>79450.664999999994</v>
      </c>
    </row>
    <row r="567" spans="1:6" ht="36" customHeight="1" x14ac:dyDescent="0.25">
      <c r="A567" s="23" t="s">
        <v>1297</v>
      </c>
      <c r="B567" s="24" t="s">
        <v>264</v>
      </c>
      <c r="C567" s="24" t="s">
        <v>118</v>
      </c>
      <c r="D567" s="24" t="s">
        <v>1242</v>
      </c>
      <c r="E567" s="24"/>
      <c r="F567" s="4">
        <f>F568+F571+F574</f>
        <v>4368.3999999999996</v>
      </c>
    </row>
    <row r="568" spans="1:6" ht="40.700000000000003" customHeight="1" x14ac:dyDescent="0.25">
      <c r="A568" s="25" t="s">
        <v>278</v>
      </c>
      <c r="B568" s="20" t="s">
        <v>264</v>
      </c>
      <c r="C568" s="20" t="s">
        <v>118</v>
      </c>
      <c r="D568" s="20" t="s">
        <v>1325</v>
      </c>
      <c r="E568" s="20"/>
      <c r="F568" s="6">
        <f>F569</f>
        <v>61.400000000000006</v>
      </c>
    </row>
    <row r="569" spans="1:6" ht="42" customHeight="1" x14ac:dyDescent="0.25">
      <c r="A569" s="25" t="s">
        <v>272</v>
      </c>
      <c r="B569" s="20" t="s">
        <v>264</v>
      </c>
      <c r="C569" s="20" t="s">
        <v>118</v>
      </c>
      <c r="D569" s="20" t="s">
        <v>1325</v>
      </c>
      <c r="E569" s="20" t="s">
        <v>273</v>
      </c>
      <c r="F569" s="6">
        <f t="shared" ref="F569" si="62">F570</f>
        <v>61.400000000000006</v>
      </c>
    </row>
    <row r="570" spans="1:6" ht="20.25" customHeight="1" x14ac:dyDescent="0.25">
      <c r="A570" s="25" t="s">
        <v>274</v>
      </c>
      <c r="B570" s="20" t="s">
        <v>264</v>
      </c>
      <c r="C570" s="20" t="s">
        <v>118</v>
      </c>
      <c r="D570" s="20" t="s">
        <v>1325</v>
      </c>
      <c r="E570" s="20" t="s">
        <v>275</v>
      </c>
      <c r="F570" s="6">
        <f>'Пр.4 ведом.21'!G652</f>
        <v>61.400000000000006</v>
      </c>
    </row>
    <row r="571" spans="1:6" ht="39.200000000000003" customHeight="1" x14ac:dyDescent="0.25">
      <c r="A571" s="25" t="s">
        <v>280</v>
      </c>
      <c r="B571" s="20" t="s">
        <v>264</v>
      </c>
      <c r="C571" s="20" t="s">
        <v>118</v>
      </c>
      <c r="D571" s="20" t="s">
        <v>1326</v>
      </c>
      <c r="E571" s="20"/>
      <c r="F571" s="6">
        <f>F572</f>
        <v>357</v>
      </c>
    </row>
    <row r="572" spans="1:6" ht="35.450000000000003" customHeight="1" x14ac:dyDescent="0.25">
      <c r="A572" s="25" t="s">
        <v>272</v>
      </c>
      <c r="B572" s="20" t="s">
        <v>264</v>
      </c>
      <c r="C572" s="20" t="s">
        <v>118</v>
      </c>
      <c r="D572" s="20" t="s">
        <v>1326</v>
      </c>
      <c r="E572" s="20" t="s">
        <v>273</v>
      </c>
      <c r="F572" s="6">
        <f t="shared" ref="F572" si="63">F573</f>
        <v>357</v>
      </c>
    </row>
    <row r="573" spans="1:6" ht="17.45" customHeight="1" x14ac:dyDescent="0.25">
      <c r="A573" s="25" t="s">
        <v>274</v>
      </c>
      <c r="B573" s="20" t="s">
        <v>264</v>
      </c>
      <c r="C573" s="20" t="s">
        <v>118</v>
      </c>
      <c r="D573" s="20" t="s">
        <v>1326</v>
      </c>
      <c r="E573" s="20" t="s">
        <v>275</v>
      </c>
      <c r="F573" s="6">
        <f>'Пр.4 ведом.21'!G655</f>
        <v>357</v>
      </c>
    </row>
    <row r="574" spans="1:6" ht="38.25" customHeight="1" x14ac:dyDescent="0.25">
      <c r="A574" s="29" t="s">
        <v>415</v>
      </c>
      <c r="B574" s="20" t="s">
        <v>264</v>
      </c>
      <c r="C574" s="20" t="s">
        <v>118</v>
      </c>
      <c r="D574" s="20" t="s">
        <v>1243</v>
      </c>
      <c r="E574" s="20"/>
      <c r="F574" s="6">
        <f>F575</f>
        <v>3950</v>
      </c>
    </row>
    <row r="575" spans="1:6" ht="34.5" customHeight="1" x14ac:dyDescent="0.25">
      <c r="A575" s="25" t="s">
        <v>272</v>
      </c>
      <c r="B575" s="20" t="s">
        <v>264</v>
      </c>
      <c r="C575" s="20" t="s">
        <v>118</v>
      </c>
      <c r="D575" s="20" t="s">
        <v>1243</v>
      </c>
      <c r="E575" s="20" t="s">
        <v>273</v>
      </c>
      <c r="F575" s="6">
        <f>F576</f>
        <v>3950</v>
      </c>
    </row>
    <row r="576" spans="1:6" ht="15.75" x14ac:dyDescent="0.25">
      <c r="A576" s="25" t="s">
        <v>274</v>
      </c>
      <c r="B576" s="20" t="s">
        <v>264</v>
      </c>
      <c r="C576" s="20" t="s">
        <v>118</v>
      </c>
      <c r="D576" s="20" t="s">
        <v>1243</v>
      </c>
      <c r="E576" s="20" t="s">
        <v>275</v>
      </c>
      <c r="F576" s="6">
        <f>'Пр.4 ведом.21'!G658</f>
        <v>3950</v>
      </c>
    </row>
    <row r="577" spans="1:8" ht="31.5" x14ac:dyDescent="0.25">
      <c r="A577" s="218" t="s">
        <v>948</v>
      </c>
      <c r="B577" s="24" t="s">
        <v>264</v>
      </c>
      <c r="C577" s="24" t="s">
        <v>118</v>
      </c>
      <c r="D577" s="24" t="s">
        <v>1245</v>
      </c>
      <c r="E577" s="24"/>
      <c r="F577" s="4">
        <f>F578+F581+F584</f>
        <v>3181.4</v>
      </c>
    </row>
    <row r="578" spans="1:8" ht="31.5" hidden="1" x14ac:dyDescent="0.25">
      <c r="A578" s="25" t="s">
        <v>284</v>
      </c>
      <c r="B578" s="20" t="s">
        <v>264</v>
      </c>
      <c r="C578" s="20" t="s">
        <v>118</v>
      </c>
      <c r="D578" s="20" t="s">
        <v>1263</v>
      </c>
      <c r="E578" s="20"/>
      <c r="F578" s="6">
        <f>F579</f>
        <v>0</v>
      </c>
    </row>
    <row r="579" spans="1:8" ht="31.5" hidden="1" x14ac:dyDescent="0.25">
      <c r="A579" s="25" t="s">
        <v>272</v>
      </c>
      <c r="B579" s="20" t="s">
        <v>264</v>
      </c>
      <c r="C579" s="20" t="s">
        <v>118</v>
      </c>
      <c r="D579" s="20" t="s">
        <v>1263</v>
      </c>
      <c r="E579" s="20" t="s">
        <v>273</v>
      </c>
      <c r="F579" s="6">
        <f>F580</f>
        <v>0</v>
      </c>
    </row>
    <row r="580" spans="1:8" ht="15.75" hidden="1" x14ac:dyDescent="0.25">
      <c r="A580" s="25" t="s">
        <v>274</v>
      </c>
      <c r="B580" s="20" t="s">
        <v>264</v>
      </c>
      <c r="C580" s="20" t="s">
        <v>118</v>
      </c>
      <c r="D580" s="20" t="s">
        <v>1263</v>
      </c>
      <c r="E580" s="20" t="s">
        <v>275</v>
      </c>
      <c r="F580" s="6">
        <f>'Пр.4 ведом.21'!G662</f>
        <v>0</v>
      </c>
    </row>
    <row r="581" spans="1:8" ht="31.5" x14ac:dyDescent="0.25">
      <c r="A581" s="60" t="s">
        <v>764</v>
      </c>
      <c r="B581" s="20" t="s">
        <v>264</v>
      </c>
      <c r="C581" s="20" t="s">
        <v>118</v>
      </c>
      <c r="D581" s="20" t="s">
        <v>1246</v>
      </c>
      <c r="E581" s="20"/>
      <c r="F581" s="6">
        <f>F582</f>
        <v>2245.4</v>
      </c>
    </row>
    <row r="582" spans="1:8" ht="31.5" x14ac:dyDescent="0.25">
      <c r="A582" s="29" t="s">
        <v>272</v>
      </c>
      <c r="B582" s="20" t="s">
        <v>264</v>
      </c>
      <c r="C582" s="20" t="s">
        <v>118</v>
      </c>
      <c r="D582" s="20" t="s">
        <v>1246</v>
      </c>
      <c r="E582" s="20" t="s">
        <v>273</v>
      </c>
      <c r="F582" s="6">
        <f>F583</f>
        <v>2245.4</v>
      </c>
    </row>
    <row r="583" spans="1:8" ht="15.75" x14ac:dyDescent="0.25">
      <c r="A583" s="182" t="s">
        <v>274</v>
      </c>
      <c r="B583" s="20" t="s">
        <v>264</v>
      </c>
      <c r="C583" s="20" t="s">
        <v>118</v>
      </c>
      <c r="D583" s="20" t="s">
        <v>1246</v>
      </c>
      <c r="E583" s="20" t="s">
        <v>275</v>
      </c>
      <c r="F583" s="6">
        <f>'Пр.4 ведом.21'!G665</f>
        <v>2245.4</v>
      </c>
    </row>
    <row r="584" spans="1:8" ht="47.25" x14ac:dyDescent="0.25">
      <c r="A584" s="60" t="s">
        <v>765</v>
      </c>
      <c r="B584" s="20" t="s">
        <v>264</v>
      </c>
      <c r="C584" s="20" t="s">
        <v>118</v>
      </c>
      <c r="D584" s="20" t="s">
        <v>1247</v>
      </c>
      <c r="E584" s="20"/>
      <c r="F584" s="6">
        <f>F585</f>
        <v>936</v>
      </c>
    </row>
    <row r="585" spans="1:8" ht="31.5" x14ac:dyDescent="0.25">
      <c r="A585" s="29" t="s">
        <v>272</v>
      </c>
      <c r="B585" s="20" t="s">
        <v>264</v>
      </c>
      <c r="C585" s="20" t="s">
        <v>118</v>
      </c>
      <c r="D585" s="20" t="s">
        <v>1247</v>
      </c>
      <c r="E585" s="20" t="s">
        <v>273</v>
      </c>
      <c r="F585" s="6">
        <f>F586</f>
        <v>936</v>
      </c>
    </row>
    <row r="586" spans="1:8" ht="15.75" x14ac:dyDescent="0.25">
      <c r="A586" s="182" t="s">
        <v>274</v>
      </c>
      <c r="B586" s="20" t="s">
        <v>264</v>
      </c>
      <c r="C586" s="20" t="s">
        <v>118</v>
      </c>
      <c r="D586" s="20" t="s">
        <v>1247</v>
      </c>
      <c r="E586" s="20" t="s">
        <v>275</v>
      </c>
      <c r="F586" s="6">
        <f>'Пр.4 ведом.21'!G668</f>
        <v>936</v>
      </c>
    </row>
    <row r="587" spans="1:8" ht="65.25" customHeight="1" x14ac:dyDescent="0.25">
      <c r="A587" s="23" t="s">
        <v>933</v>
      </c>
      <c r="B587" s="24" t="s">
        <v>264</v>
      </c>
      <c r="C587" s="24" t="s">
        <v>118</v>
      </c>
      <c r="D587" s="24" t="s">
        <v>1248</v>
      </c>
      <c r="E587" s="24"/>
      <c r="F587" s="4">
        <f>F588</f>
        <v>291.10000000000002</v>
      </c>
      <c r="H587" s="22"/>
    </row>
    <row r="588" spans="1:8" ht="110.25" x14ac:dyDescent="0.25">
      <c r="A588" s="25" t="s">
        <v>1523</v>
      </c>
      <c r="B588" s="20" t="s">
        <v>264</v>
      </c>
      <c r="C588" s="20" t="s">
        <v>118</v>
      </c>
      <c r="D588" s="20" t="s">
        <v>1249</v>
      </c>
      <c r="E588" s="20"/>
      <c r="F588" s="6">
        <f>F589</f>
        <v>291.10000000000002</v>
      </c>
      <c r="H588" s="22"/>
    </row>
    <row r="589" spans="1:8" ht="31.5" x14ac:dyDescent="0.25">
      <c r="A589" s="29" t="s">
        <v>272</v>
      </c>
      <c r="B589" s="20" t="s">
        <v>264</v>
      </c>
      <c r="C589" s="20" t="s">
        <v>118</v>
      </c>
      <c r="D589" s="20" t="s">
        <v>1249</v>
      </c>
      <c r="E589" s="20" t="s">
        <v>273</v>
      </c>
      <c r="F589" s="6">
        <f>F590</f>
        <v>291.10000000000002</v>
      </c>
      <c r="H589" s="22"/>
    </row>
    <row r="590" spans="1:8" ht="15.75" x14ac:dyDescent="0.25">
      <c r="A590" s="182" t="s">
        <v>274</v>
      </c>
      <c r="B590" s="20" t="s">
        <v>264</v>
      </c>
      <c r="C590" s="20" t="s">
        <v>118</v>
      </c>
      <c r="D590" s="20" t="s">
        <v>1249</v>
      </c>
      <c r="E590" s="20" t="s">
        <v>275</v>
      </c>
      <c r="F590" s="6">
        <f>'Пр.4 ведом.21'!G672</f>
        <v>291.10000000000002</v>
      </c>
      <c r="H590" s="22"/>
    </row>
    <row r="591" spans="1:8" s="203" customFormat="1" ht="94.5" x14ac:dyDescent="0.25">
      <c r="A591" s="23" t="s">
        <v>1171</v>
      </c>
      <c r="B591" s="24" t="s">
        <v>264</v>
      </c>
      <c r="C591" s="24" t="s">
        <v>118</v>
      </c>
      <c r="D591" s="24" t="s">
        <v>1251</v>
      </c>
      <c r="E591" s="24"/>
      <c r="F591" s="21">
        <f>F592</f>
        <v>1738</v>
      </c>
    </row>
    <row r="592" spans="1:8" s="203" customFormat="1" ht="94.5" x14ac:dyDescent="0.25">
      <c r="A592" s="149" t="s">
        <v>1506</v>
      </c>
      <c r="B592" s="20" t="s">
        <v>264</v>
      </c>
      <c r="C592" s="20" t="s">
        <v>118</v>
      </c>
      <c r="D592" s="20" t="s">
        <v>1252</v>
      </c>
      <c r="E592" s="20"/>
      <c r="F592" s="26">
        <f>F593</f>
        <v>1738</v>
      </c>
    </row>
    <row r="593" spans="1:6" s="203" customFormat="1" ht="31.5" x14ac:dyDescent="0.25">
      <c r="A593" s="25" t="s">
        <v>272</v>
      </c>
      <c r="B593" s="20" t="s">
        <v>264</v>
      </c>
      <c r="C593" s="20" t="s">
        <v>118</v>
      </c>
      <c r="D593" s="20" t="s">
        <v>1252</v>
      </c>
      <c r="E593" s="20" t="s">
        <v>273</v>
      </c>
      <c r="F593" s="26">
        <f>F594</f>
        <v>1738</v>
      </c>
    </row>
    <row r="594" spans="1:6" s="203" customFormat="1" ht="15.75" x14ac:dyDescent="0.25">
      <c r="A594" s="25" t="s">
        <v>274</v>
      </c>
      <c r="B594" s="20" t="s">
        <v>264</v>
      </c>
      <c r="C594" s="20" t="s">
        <v>118</v>
      </c>
      <c r="D594" s="20" t="s">
        <v>1252</v>
      </c>
      <c r="E594" s="20" t="s">
        <v>275</v>
      </c>
      <c r="F594" s="26">
        <f>'Пр.4 ведом.21'!G676</f>
        <v>1738</v>
      </c>
    </row>
    <row r="595" spans="1:6" s="434" customFormat="1" ht="31.5" x14ac:dyDescent="0.25">
      <c r="A595" s="298" t="s">
        <v>1650</v>
      </c>
      <c r="B595" s="24" t="s">
        <v>264</v>
      </c>
      <c r="C595" s="24" t="s">
        <v>118</v>
      </c>
      <c r="D595" s="24" t="s">
        <v>1652</v>
      </c>
      <c r="E595" s="24"/>
      <c r="F595" s="21">
        <f>F596</f>
        <v>9.8149999999999977</v>
      </c>
    </row>
    <row r="596" spans="1:6" s="434" customFormat="1" ht="31.5" x14ac:dyDescent="0.25">
      <c r="A596" s="297" t="s">
        <v>1651</v>
      </c>
      <c r="B596" s="436" t="s">
        <v>264</v>
      </c>
      <c r="C596" s="436" t="s">
        <v>118</v>
      </c>
      <c r="D596" s="436" t="s">
        <v>1653</v>
      </c>
      <c r="E596" s="436"/>
      <c r="F596" s="26">
        <f>F597</f>
        <v>9.8149999999999977</v>
      </c>
    </row>
    <row r="597" spans="1:6" s="434" customFormat="1" ht="31.5" x14ac:dyDescent="0.25">
      <c r="A597" s="31" t="s">
        <v>272</v>
      </c>
      <c r="B597" s="436" t="s">
        <v>264</v>
      </c>
      <c r="C597" s="436" t="s">
        <v>118</v>
      </c>
      <c r="D597" s="436" t="s">
        <v>1653</v>
      </c>
      <c r="E597" s="436" t="s">
        <v>273</v>
      </c>
      <c r="F597" s="26">
        <f>F598</f>
        <v>9.8149999999999977</v>
      </c>
    </row>
    <row r="598" spans="1:6" s="434" customFormat="1" ht="15.75" x14ac:dyDescent="0.25">
      <c r="A598" s="31" t="s">
        <v>274</v>
      </c>
      <c r="B598" s="436" t="s">
        <v>264</v>
      </c>
      <c r="C598" s="436" t="s">
        <v>118</v>
      </c>
      <c r="D598" s="436" t="s">
        <v>1653</v>
      </c>
      <c r="E598" s="436" t="s">
        <v>275</v>
      </c>
      <c r="F598" s="26">
        <f>'Пр.4 ведом.21'!G683</f>
        <v>9.8149999999999977</v>
      </c>
    </row>
    <row r="599" spans="1:6" s="457" customFormat="1" ht="47.25" x14ac:dyDescent="0.25">
      <c r="A599" s="298" t="s">
        <v>1655</v>
      </c>
      <c r="B599" s="465" t="s">
        <v>264</v>
      </c>
      <c r="C599" s="465" t="s">
        <v>118</v>
      </c>
      <c r="D599" s="465" t="s">
        <v>1658</v>
      </c>
      <c r="E599" s="465"/>
      <c r="F599" s="463">
        <f>F600</f>
        <v>2606.89</v>
      </c>
    </row>
    <row r="600" spans="1:6" s="457" customFormat="1" ht="47.25" x14ac:dyDescent="0.25">
      <c r="A600" s="297" t="s">
        <v>1656</v>
      </c>
      <c r="B600" s="462" t="s">
        <v>264</v>
      </c>
      <c r="C600" s="462" t="s">
        <v>118</v>
      </c>
      <c r="D600" s="462" t="s">
        <v>1657</v>
      </c>
      <c r="E600" s="462"/>
      <c r="F600" s="467">
        <f>F601</f>
        <v>2606.89</v>
      </c>
    </row>
    <row r="601" spans="1:6" s="457" customFormat="1" ht="31.5" x14ac:dyDescent="0.25">
      <c r="A601" s="31" t="s">
        <v>272</v>
      </c>
      <c r="B601" s="462" t="s">
        <v>264</v>
      </c>
      <c r="C601" s="462" t="s">
        <v>118</v>
      </c>
      <c r="D601" s="462" t="s">
        <v>1657</v>
      </c>
      <c r="E601" s="462" t="s">
        <v>273</v>
      </c>
      <c r="F601" s="467">
        <f>F602</f>
        <v>2606.89</v>
      </c>
    </row>
    <row r="602" spans="1:6" s="457" customFormat="1" ht="15.75" x14ac:dyDescent="0.25">
      <c r="A602" s="31" t="s">
        <v>274</v>
      </c>
      <c r="B602" s="462" t="s">
        <v>264</v>
      </c>
      <c r="C602" s="462" t="s">
        <v>118</v>
      </c>
      <c r="D602" s="462" t="s">
        <v>1657</v>
      </c>
      <c r="E602" s="462" t="s">
        <v>275</v>
      </c>
      <c r="F602" s="467">
        <f>'Пр.4 ведом.21'!G687</f>
        <v>2606.89</v>
      </c>
    </row>
    <row r="603" spans="1:6" ht="53.65" customHeight="1" x14ac:dyDescent="0.25">
      <c r="A603" s="34" t="s">
        <v>1368</v>
      </c>
      <c r="B603" s="24" t="s">
        <v>264</v>
      </c>
      <c r="C603" s="24" t="s">
        <v>118</v>
      </c>
      <c r="D603" s="24" t="s">
        <v>324</v>
      </c>
      <c r="E603" s="24"/>
      <c r="F603" s="4">
        <f>F604</f>
        <v>95</v>
      </c>
    </row>
    <row r="604" spans="1:6" ht="63" x14ac:dyDescent="0.25">
      <c r="A604" s="34" t="s">
        <v>1009</v>
      </c>
      <c r="B604" s="24" t="s">
        <v>264</v>
      </c>
      <c r="C604" s="24" t="s">
        <v>118</v>
      </c>
      <c r="D604" s="24" t="s">
        <v>934</v>
      </c>
      <c r="E604" s="24"/>
      <c r="F604" s="4">
        <f>F605</f>
        <v>95</v>
      </c>
    </row>
    <row r="605" spans="1:6" ht="47.25" x14ac:dyDescent="0.25">
      <c r="A605" s="31" t="s">
        <v>1008</v>
      </c>
      <c r="B605" s="20" t="s">
        <v>264</v>
      </c>
      <c r="C605" s="20" t="s">
        <v>118</v>
      </c>
      <c r="D605" s="20" t="s">
        <v>935</v>
      </c>
      <c r="E605" s="20"/>
      <c r="F605" s="6">
        <f>F606</f>
        <v>95</v>
      </c>
    </row>
    <row r="606" spans="1:6" ht="31.5" x14ac:dyDescent="0.25">
      <c r="A606" s="31" t="s">
        <v>272</v>
      </c>
      <c r="B606" s="20" t="s">
        <v>264</v>
      </c>
      <c r="C606" s="20" t="s">
        <v>118</v>
      </c>
      <c r="D606" s="20" t="s">
        <v>935</v>
      </c>
      <c r="E606" s="20" t="s">
        <v>273</v>
      </c>
      <c r="F606" s="6">
        <f t="shared" ref="F606" si="64">F607</f>
        <v>95</v>
      </c>
    </row>
    <row r="607" spans="1:6" ht="15.75" x14ac:dyDescent="0.25">
      <c r="A607" s="31" t="s">
        <v>274</v>
      </c>
      <c r="B607" s="20" t="s">
        <v>264</v>
      </c>
      <c r="C607" s="20" t="s">
        <v>118</v>
      </c>
      <c r="D607" s="20" t="s">
        <v>935</v>
      </c>
      <c r="E607" s="20" t="s">
        <v>275</v>
      </c>
      <c r="F607" s="6">
        <f>'Пр.4 ведом.21'!G692</f>
        <v>95</v>
      </c>
    </row>
    <row r="608" spans="1:6" ht="47.25" x14ac:dyDescent="0.25">
      <c r="A608" s="41" t="s">
        <v>1363</v>
      </c>
      <c r="B608" s="24" t="s">
        <v>264</v>
      </c>
      <c r="C608" s="24" t="s">
        <v>118</v>
      </c>
      <c r="D608" s="24" t="s">
        <v>705</v>
      </c>
      <c r="E608" s="221"/>
      <c r="F608" s="4">
        <f>F609</f>
        <v>600.20000000000005</v>
      </c>
    </row>
    <row r="609" spans="1:8" ht="47.25" x14ac:dyDescent="0.25">
      <c r="A609" s="41" t="s">
        <v>890</v>
      </c>
      <c r="B609" s="24" t="s">
        <v>264</v>
      </c>
      <c r="C609" s="24" t="s">
        <v>118</v>
      </c>
      <c r="D609" s="24" t="s">
        <v>888</v>
      </c>
      <c r="E609" s="221"/>
      <c r="F609" s="4">
        <f t="shared" ref="F609:F610" si="65">F610</f>
        <v>600.20000000000005</v>
      </c>
    </row>
    <row r="610" spans="1:8" ht="47.25" x14ac:dyDescent="0.25">
      <c r="A610" s="98" t="s">
        <v>780</v>
      </c>
      <c r="B610" s="20" t="s">
        <v>264</v>
      </c>
      <c r="C610" s="20" t="s">
        <v>118</v>
      </c>
      <c r="D610" s="20" t="s">
        <v>936</v>
      </c>
      <c r="E610" s="32"/>
      <c r="F610" s="6">
        <f t="shared" si="65"/>
        <v>600.20000000000005</v>
      </c>
    </row>
    <row r="611" spans="1:8" ht="31.5" x14ac:dyDescent="0.25">
      <c r="A611" s="29" t="s">
        <v>272</v>
      </c>
      <c r="B611" s="20" t="s">
        <v>264</v>
      </c>
      <c r="C611" s="20" t="s">
        <v>118</v>
      </c>
      <c r="D611" s="20" t="s">
        <v>936</v>
      </c>
      <c r="E611" s="32" t="s">
        <v>273</v>
      </c>
      <c r="F611" s="6">
        <f>F612</f>
        <v>600.20000000000005</v>
      </c>
    </row>
    <row r="612" spans="1:8" ht="24.75" customHeight="1" x14ac:dyDescent="0.25">
      <c r="A612" s="182" t="s">
        <v>274</v>
      </c>
      <c r="B612" s="20" t="s">
        <v>264</v>
      </c>
      <c r="C612" s="20" t="s">
        <v>118</v>
      </c>
      <c r="D612" s="20" t="s">
        <v>936</v>
      </c>
      <c r="E612" s="32" t="s">
        <v>275</v>
      </c>
      <c r="F612" s="6">
        <f>'Пр.4 ведом.21'!G697</f>
        <v>600.20000000000005</v>
      </c>
    </row>
    <row r="613" spans="1:8" ht="15.75" x14ac:dyDescent="0.25">
      <c r="A613" s="41" t="s">
        <v>425</v>
      </c>
      <c r="B613" s="7" t="s">
        <v>264</v>
      </c>
      <c r="C613" s="7" t="s">
        <v>213</v>
      </c>
      <c r="D613" s="7"/>
      <c r="E613" s="7"/>
      <c r="F613" s="4">
        <f>F614+F694+F699</f>
        <v>194871.88</v>
      </c>
      <c r="H613" s="22"/>
    </row>
    <row r="614" spans="1:8" ht="34.700000000000003" customHeight="1" x14ac:dyDescent="0.25">
      <c r="A614" s="23" t="s">
        <v>1369</v>
      </c>
      <c r="B614" s="24" t="s">
        <v>264</v>
      </c>
      <c r="C614" s="24" t="s">
        <v>213</v>
      </c>
      <c r="D614" s="24" t="s">
        <v>406</v>
      </c>
      <c r="E614" s="24"/>
      <c r="F614" s="4">
        <f>F615+F619+F638+F651+F658+F662+F666+F670+F674+F690+F686+F678+F682</f>
        <v>194034.88</v>
      </c>
    </row>
    <row r="615" spans="1:8" ht="31.5" x14ac:dyDescent="0.25">
      <c r="A615" s="23" t="s">
        <v>937</v>
      </c>
      <c r="B615" s="24" t="s">
        <v>264</v>
      </c>
      <c r="C615" s="24" t="s">
        <v>213</v>
      </c>
      <c r="D615" s="24" t="s">
        <v>1235</v>
      </c>
      <c r="E615" s="24"/>
      <c r="F615" s="4">
        <f>F616</f>
        <v>31403.812999999998</v>
      </c>
    </row>
    <row r="616" spans="1:8" ht="47.25" x14ac:dyDescent="0.25">
      <c r="A616" s="25" t="s">
        <v>1241</v>
      </c>
      <c r="B616" s="20" t="s">
        <v>264</v>
      </c>
      <c r="C616" s="20" t="s">
        <v>213</v>
      </c>
      <c r="D616" s="20" t="s">
        <v>1254</v>
      </c>
      <c r="E616" s="20"/>
      <c r="F616" s="378">
        <f t="shared" ref="F616" si="66">F617</f>
        <v>31403.812999999998</v>
      </c>
    </row>
    <row r="617" spans="1:8" ht="39.75" customHeight="1" x14ac:dyDescent="0.25">
      <c r="A617" s="25" t="s">
        <v>272</v>
      </c>
      <c r="B617" s="20" t="s">
        <v>264</v>
      </c>
      <c r="C617" s="20" t="s">
        <v>213</v>
      </c>
      <c r="D617" s="20" t="s">
        <v>1254</v>
      </c>
      <c r="E617" s="20" t="s">
        <v>273</v>
      </c>
      <c r="F617" s="378">
        <f>'Пр.4 ведом.21'!G703</f>
        <v>31403.812999999998</v>
      </c>
    </row>
    <row r="618" spans="1:8" ht="15.75" x14ac:dyDescent="0.25">
      <c r="A618" s="25" t="s">
        <v>274</v>
      </c>
      <c r="B618" s="20" t="s">
        <v>264</v>
      </c>
      <c r="C618" s="20" t="s">
        <v>213</v>
      </c>
      <c r="D618" s="20" t="s">
        <v>1254</v>
      </c>
      <c r="E618" s="20" t="s">
        <v>275</v>
      </c>
      <c r="F618" s="6">
        <f>'Пр.4 ведом.21'!G703</f>
        <v>31403.812999999998</v>
      </c>
    </row>
    <row r="619" spans="1:8" ht="48.95" customHeight="1" x14ac:dyDescent="0.25">
      <c r="A619" s="23" t="s">
        <v>900</v>
      </c>
      <c r="B619" s="24" t="s">
        <v>264</v>
      </c>
      <c r="C619" s="24" t="s">
        <v>213</v>
      </c>
      <c r="D619" s="24" t="s">
        <v>1237</v>
      </c>
      <c r="E619" s="24"/>
      <c r="F619" s="4">
        <f>F626+F629+F632+F635+F623+F620</f>
        <v>140785.44300000003</v>
      </c>
    </row>
    <row r="620" spans="1:8" s="203" customFormat="1" ht="67.7" customHeight="1" x14ac:dyDescent="0.25">
      <c r="A620" s="25" t="s">
        <v>1403</v>
      </c>
      <c r="B620" s="20" t="s">
        <v>264</v>
      </c>
      <c r="C620" s="20" t="s">
        <v>213</v>
      </c>
      <c r="D620" s="20" t="s">
        <v>1404</v>
      </c>
      <c r="E620" s="20"/>
      <c r="F620" s="27">
        <f>F621</f>
        <v>7028</v>
      </c>
    </row>
    <row r="621" spans="1:8" s="203" customFormat="1" ht="36.75" customHeight="1" x14ac:dyDescent="0.25">
      <c r="A621" s="25" t="s">
        <v>272</v>
      </c>
      <c r="B621" s="20" t="s">
        <v>264</v>
      </c>
      <c r="C621" s="20" t="s">
        <v>213</v>
      </c>
      <c r="D621" s="20" t="s">
        <v>1404</v>
      </c>
      <c r="E621" s="20" t="s">
        <v>273</v>
      </c>
      <c r="F621" s="27">
        <f>F622</f>
        <v>7028</v>
      </c>
    </row>
    <row r="622" spans="1:8" s="203" customFormat="1" ht="17.649999999999999" customHeight="1" x14ac:dyDescent="0.25">
      <c r="A622" s="25" t="s">
        <v>274</v>
      </c>
      <c r="B622" s="20" t="s">
        <v>264</v>
      </c>
      <c r="C622" s="20" t="s">
        <v>213</v>
      </c>
      <c r="D622" s="20" t="s">
        <v>1404</v>
      </c>
      <c r="E622" s="20" t="s">
        <v>275</v>
      </c>
      <c r="F622" s="27">
        <f>'Пр.4 ведом.21'!G707</f>
        <v>7028</v>
      </c>
    </row>
    <row r="623" spans="1:8" s="203" customFormat="1" ht="95.1" customHeight="1" x14ac:dyDescent="0.25">
      <c r="A623" s="31" t="s">
        <v>464</v>
      </c>
      <c r="B623" s="20" t="s">
        <v>264</v>
      </c>
      <c r="C623" s="20" t="s">
        <v>213</v>
      </c>
      <c r="D623" s="20" t="s">
        <v>1401</v>
      </c>
      <c r="E623" s="20"/>
      <c r="F623" s="6">
        <f>F624</f>
        <v>4699.7370000000001</v>
      </c>
    </row>
    <row r="624" spans="1:8" s="203" customFormat="1" ht="40.15" customHeight="1" x14ac:dyDescent="0.25">
      <c r="A624" s="25" t="s">
        <v>272</v>
      </c>
      <c r="B624" s="20" t="s">
        <v>264</v>
      </c>
      <c r="C624" s="20" t="s">
        <v>213</v>
      </c>
      <c r="D624" s="20" t="s">
        <v>1401</v>
      </c>
      <c r="E624" s="20" t="s">
        <v>273</v>
      </c>
      <c r="F624" s="6">
        <f>F625</f>
        <v>4699.7370000000001</v>
      </c>
    </row>
    <row r="625" spans="1:8" s="203" customFormat="1" ht="17.100000000000001" customHeight="1" x14ac:dyDescent="0.25">
      <c r="A625" s="25" t="s">
        <v>274</v>
      </c>
      <c r="B625" s="20" t="s">
        <v>264</v>
      </c>
      <c r="C625" s="20" t="s">
        <v>213</v>
      </c>
      <c r="D625" s="20" t="s">
        <v>1401</v>
      </c>
      <c r="E625" s="20" t="s">
        <v>275</v>
      </c>
      <c r="F625" s="6">
        <f>'Пр.4 ведом.21'!G710</f>
        <v>4699.7370000000001</v>
      </c>
    </row>
    <row r="626" spans="1:8" ht="79.5" customHeight="1" x14ac:dyDescent="0.25">
      <c r="A626" s="31" t="s">
        <v>1189</v>
      </c>
      <c r="B626" s="20" t="s">
        <v>264</v>
      </c>
      <c r="C626" s="20" t="s">
        <v>213</v>
      </c>
      <c r="D626" s="20" t="s">
        <v>1255</v>
      </c>
      <c r="E626" s="20"/>
      <c r="F626" s="6">
        <f>F627</f>
        <v>124618.84300000002</v>
      </c>
    </row>
    <row r="627" spans="1:8" ht="35.450000000000003" customHeight="1" x14ac:dyDescent="0.25">
      <c r="A627" s="25" t="s">
        <v>272</v>
      </c>
      <c r="B627" s="20" t="s">
        <v>264</v>
      </c>
      <c r="C627" s="20" t="s">
        <v>213</v>
      </c>
      <c r="D627" s="20" t="s">
        <v>1255</v>
      </c>
      <c r="E627" s="20" t="s">
        <v>273</v>
      </c>
      <c r="F627" s="6">
        <f t="shared" ref="F627" si="67">F628</f>
        <v>124618.84300000002</v>
      </c>
    </row>
    <row r="628" spans="1:8" ht="15.75" customHeight="1" x14ac:dyDescent="0.25">
      <c r="A628" s="25" t="s">
        <v>274</v>
      </c>
      <c r="B628" s="20" t="s">
        <v>264</v>
      </c>
      <c r="C628" s="20" t="s">
        <v>213</v>
      </c>
      <c r="D628" s="20" t="s">
        <v>1255</v>
      </c>
      <c r="E628" s="20" t="s">
        <v>275</v>
      </c>
      <c r="F628" s="6">
        <f>'Пр.4 ведом.21'!G713</f>
        <v>124618.84300000002</v>
      </c>
    </row>
    <row r="629" spans="1:8" ht="72" customHeight="1" x14ac:dyDescent="0.25">
      <c r="A629" s="31" t="s">
        <v>289</v>
      </c>
      <c r="B629" s="20" t="s">
        <v>264</v>
      </c>
      <c r="C629" s="20" t="s">
        <v>213</v>
      </c>
      <c r="D629" s="20" t="s">
        <v>1238</v>
      </c>
      <c r="E629" s="20"/>
      <c r="F629" s="6">
        <f>F630</f>
        <v>1152.2629999999999</v>
      </c>
    </row>
    <row r="630" spans="1:8" ht="31.7" customHeight="1" x14ac:dyDescent="0.25">
      <c r="A630" s="25" t="s">
        <v>272</v>
      </c>
      <c r="B630" s="20" t="s">
        <v>264</v>
      </c>
      <c r="C630" s="20" t="s">
        <v>213</v>
      </c>
      <c r="D630" s="20" t="s">
        <v>1238</v>
      </c>
      <c r="E630" s="20" t="s">
        <v>273</v>
      </c>
      <c r="F630" s="6">
        <f t="shared" ref="F630" si="68">F631</f>
        <v>1152.2629999999999</v>
      </c>
    </row>
    <row r="631" spans="1:8" ht="18" customHeight="1" x14ac:dyDescent="0.25">
      <c r="A631" s="25" t="s">
        <v>274</v>
      </c>
      <c r="B631" s="20" t="s">
        <v>264</v>
      </c>
      <c r="C631" s="20" t="s">
        <v>213</v>
      </c>
      <c r="D631" s="20" t="s">
        <v>1238</v>
      </c>
      <c r="E631" s="20" t="s">
        <v>275</v>
      </c>
      <c r="F631" s="6">
        <f>'Пр.4 ведом.21'!G716</f>
        <v>1152.2629999999999</v>
      </c>
    </row>
    <row r="632" spans="1:8" ht="67.7" customHeight="1" x14ac:dyDescent="0.25">
      <c r="A632" s="31" t="s">
        <v>291</v>
      </c>
      <c r="B632" s="20" t="s">
        <v>264</v>
      </c>
      <c r="C632" s="20" t="s">
        <v>213</v>
      </c>
      <c r="D632" s="20" t="s">
        <v>1239</v>
      </c>
      <c r="E632" s="20"/>
      <c r="F632" s="6">
        <f>F633</f>
        <v>2386.6</v>
      </c>
    </row>
    <row r="633" spans="1:8" ht="34.5" customHeight="1" x14ac:dyDescent="0.25">
      <c r="A633" s="25" t="s">
        <v>272</v>
      </c>
      <c r="B633" s="20" t="s">
        <v>264</v>
      </c>
      <c r="C633" s="20" t="s">
        <v>213</v>
      </c>
      <c r="D633" s="20" t="s">
        <v>1239</v>
      </c>
      <c r="E633" s="20" t="s">
        <v>273</v>
      </c>
      <c r="F633" s="6">
        <f t="shared" ref="F633" si="69">F634</f>
        <v>2386.6</v>
      </c>
      <c r="G633" s="22"/>
      <c r="H633" s="22"/>
    </row>
    <row r="634" spans="1:8" ht="15.75" x14ac:dyDescent="0.25">
      <c r="A634" s="25" t="s">
        <v>274</v>
      </c>
      <c r="B634" s="20" t="s">
        <v>264</v>
      </c>
      <c r="C634" s="20" t="s">
        <v>213</v>
      </c>
      <c r="D634" s="20" t="s">
        <v>1239</v>
      </c>
      <c r="E634" s="20" t="s">
        <v>275</v>
      </c>
      <c r="F634" s="6">
        <f>'Пр.4 ведом.21'!G719</f>
        <v>2386.6</v>
      </c>
    </row>
    <row r="635" spans="1:8" ht="47.25" x14ac:dyDescent="0.25">
      <c r="A635" s="31" t="s">
        <v>462</v>
      </c>
      <c r="B635" s="20" t="s">
        <v>264</v>
      </c>
      <c r="C635" s="20" t="s">
        <v>213</v>
      </c>
      <c r="D635" s="20" t="s">
        <v>1256</v>
      </c>
      <c r="E635" s="20"/>
      <c r="F635" s="6">
        <f>F636</f>
        <v>900</v>
      </c>
    </row>
    <row r="636" spans="1:8" ht="36" customHeight="1" x14ac:dyDescent="0.25">
      <c r="A636" s="25" t="s">
        <v>272</v>
      </c>
      <c r="B636" s="20" t="s">
        <v>264</v>
      </c>
      <c r="C636" s="20" t="s">
        <v>213</v>
      </c>
      <c r="D636" s="20" t="s">
        <v>1256</v>
      </c>
      <c r="E636" s="20" t="s">
        <v>273</v>
      </c>
      <c r="F636" s="6">
        <f t="shared" ref="F636" si="70">F637</f>
        <v>900</v>
      </c>
    </row>
    <row r="637" spans="1:8" ht="15.75" x14ac:dyDescent="0.25">
      <c r="A637" s="25" t="s">
        <v>274</v>
      </c>
      <c r="B637" s="20" t="s">
        <v>264</v>
      </c>
      <c r="C637" s="20" t="s">
        <v>213</v>
      </c>
      <c r="D637" s="20" t="s">
        <v>1256</v>
      </c>
      <c r="E637" s="20" t="s">
        <v>275</v>
      </c>
      <c r="F637" s="6">
        <f>'Пр.4 ведом.21'!G722</f>
        <v>900</v>
      </c>
    </row>
    <row r="638" spans="1:8" ht="31.5" x14ac:dyDescent="0.25">
      <c r="A638" s="23" t="s">
        <v>1309</v>
      </c>
      <c r="B638" s="24" t="s">
        <v>264</v>
      </c>
      <c r="C638" s="24" t="s">
        <v>213</v>
      </c>
      <c r="D638" s="24" t="s">
        <v>1242</v>
      </c>
      <c r="E638" s="24"/>
      <c r="F638" s="4">
        <f>F639+F642+F645+F648</f>
        <v>927.2</v>
      </c>
    </row>
    <row r="639" spans="1:8" ht="36" hidden="1" customHeight="1" x14ac:dyDescent="0.25">
      <c r="A639" s="25" t="s">
        <v>440</v>
      </c>
      <c r="B639" s="20" t="s">
        <v>264</v>
      </c>
      <c r="C639" s="20" t="s">
        <v>213</v>
      </c>
      <c r="D639" s="20" t="s">
        <v>1324</v>
      </c>
      <c r="E639" s="20"/>
      <c r="F639" s="6">
        <f t="shared" ref="F639" si="71">F640</f>
        <v>0</v>
      </c>
    </row>
    <row r="640" spans="1:8" ht="35.450000000000003" hidden="1" customHeight="1" x14ac:dyDescent="0.25">
      <c r="A640" s="25" t="s">
        <v>272</v>
      </c>
      <c r="B640" s="20" t="s">
        <v>264</v>
      </c>
      <c r="C640" s="20" t="s">
        <v>213</v>
      </c>
      <c r="D640" s="20" t="s">
        <v>1324</v>
      </c>
      <c r="E640" s="20" t="s">
        <v>273</v>
      </c>
      <c r="F640" s="6">
        <f>F641</f>
        <v>0</v>
      </c>
    </row>
    <row r="641" spans="1:6" ht="15.75" hidden="1" x14ac:dyDescent="0.25">
      <c r="A641" s="25" t="s">
        <v>274</v>
      </c>
      <c r="B641" s="20" t="s">
        <v>264</v>
      </c>
      <c r="C641" s="20" t="s">
        <v>213</v>
      </c>
      <c r="D641" s="20" t="s">
        <v>1324</v>
      </c>
      <c r="E641" s="20" t="s">
        <v>275</v>
      </c>
      <c r="F641" s="6">
        <f>'Пр.4 ведом.21'!G726</f>
        <v>0</v>
      </c>
    </row>
    <row r="642" spans="1:6" ht="31.5" x14ac:dyDescent="0.25">
      <c r="A642" s="25" t="s">
        <v>278</v>
      </c>
      <c r="B642" s="20" t="s">
        <v>264</v>
      </c>
      <c r="C642" s="20" t="s">
        <v>213</v>
      </c>
      <c r="D642" s="20" t="s">
        <v>1325</v>
      </c>
      <c r="E642" s="20"/>
      <c r="F642" s="6">
        <f t="shared" ref="F642" si="72">F643</f>
        <v>300</v>
      </c>
    </row>
    <row r="643" spans="1:6" ht="37.5" customHeight="1" x14ac:dyDescent="0.25">
      <c r="A643" s="25" t="s">
        <v>272</v>
      </c>
      <c r="B643" s="20" t="s">
        <v>264</v>
      </c>
      <c r="C643" s="20" t="s">
        <v>213</v>
      </c>
      <c r="D643" s="20" t="s">
        <v>1325</v>
      </c>
      <c r="E643" s="20" t="s">
        <v>273</v>
      </c>
      <c r="F643" s="6">
        <f>F644</f>
        <v>300</v>
      </c>
    </row>
    <row r="644" spans="1:6" ht="15.75" x14ac:dyDescent="0.25">
      <c r="A644" s="25" t="s">
        <v>274</v>
      </c>
      <c r="B644" s="20" t="s">
        <v>264</v>
      </c>
      <c r="C644" s="20" t="s">
        <v>213</v>
      </c>
      <c r="D644" s="20" t="s">
        <v>1325</v>
      </c>
      <c r="E644" s="20" t="s">
        <v>275</v>
      </c>
      <c r="F644" s="6">
        <f>'Пр.4 ведом.21'!G729</f>
        <v>300</v>
      </c>
    </row>
    <row r="645" spans="1:6" ht="31.5" x14ac:dyDescent="0.25">
      <c r="A645" s="466" t="s">
        <v>280</v>
      </c>
      <c r="B645" s="20" t="s">
        <v>264</v>
      </c>
      <c r="C645" s="20" t="s">
        <v>213</v>
      </c>
      <c r="D645" s="20" t="s">
        <v>1326</v>
      </c>
      <c r="E645" s="20"/>
      <c r="F645" s="6">
        <f t="shared" ref="F645" si="73">F646</f>
        <v>394.4</v>
      </c>
    </row>
    <row r="646" spans="1:6" ht="31.7" customHeight="1" x14ac:dyDescent="0.25">
      <c r="A646" s="466" t="s">
        <v>272</v>
      </c>
      <c r="B646" s="20" t="s">
        <v>264</v>
      </c>
      <c r="C646" s="20" t="s">
        <v>213</v>
      </c>
      <c r="D646" s="20" t="s">
        <v>1326</v>
      </c>
      <c r="E646" s="20" t="s">
        <v>273</v>
      </c>
      <c r="F646" s="6">
        <f>F647</f>
        <v>394.4</v>
      </c>
    </row>
    <row r="647" spans="1:6" ht="15.75" x14ac:dyDescent="0.25">
      <c r="A647" s="466" t="s">
        <v>274</v>
      </c>
      <c r="B647" s="20" t="s">
        <v>264</v>
      </c>
      <c r="C647" s="20" t="s">
        <v>213</v>
      </c>
      <c r="D647" s="20" t="s">
        <v>1326</v>
      </c>
      <c r="E647" s="20" t="s">
        <v>275</v>
      </c>
      <c r="F647" s="6">
        <f>'Пр.4 ведом.21'!G732</f>
        <v>394.4</v>
      </c>
    </row>
    <row r="648" spans="1:6" ht="31.5" x14ac:dyDescent="0.25">
      <c r="A648" s="25" t="s">
        <v>282</v>
      </c>
      <c r="B648" s="20" t="s">
        <v>264</v>
      </c>
      <c r="C648" s="20" t="s">
        <v>213</v>
      </c>
      <c r="D648" s="20" t="s">
        <v>1258</v>
      </c>
      <c r="E648" s="20"/>
      <c r="F648" s="6">
        <f t="shared" ref="F648" si="74">F649</f>
        <v>232.8</v>
      </c>
    </row>
    <row r="649" spans="1:6" ht="36" customHeight="1" x14ac:dyDescent="0.25">
      <c r="A649" s="25" t="s">
        <v>272</v>
      </c>
      <c r="B649" s="20" t="s">
        <v>264</v>
      </c>
      <c r="C649" s="20" t="s">
        <v>213</v>
      </c>
      <c r="D649" s="20" t="s">
        <v>1258</v>
      </c>
      <c r="E649" s="20" t="s">
        <v>273</v>
      </c>
      <c r="F649" s="6">
        <f>F650</f>
        <v>232.8</v>
      </c>
    </row>
    <row r="650" spans="1:6" ht="15" customHeight="1" x14ac:dyDescent="0.25">
      <c r="A650" s="25" t="s">
        <v>274</v>
      </c>
      <c r="B650" s="20" t="s">
        <v>264</v>
      </c>
      <c r="C650" s="20" t="s">
        <v>213</v>
      </c>
      <c r="D650" s="20" t="s">
        <v>1258</v>
      </c>
      <c r="E650" s="20" t="s">
        <v>275</v>
      </c>
      <c r="F650" s="6">
        <f>'Пр.4 ведом.21'!G735</f>
        <v>232.8</v>
      </c>
    </row>
    <row r="651" spans="1:6" s="203" customFormat="1" ht="36.75" customHeight="1" x14ac:dyDescent="0.25">
      <c r="A651" s="218" t="s">
        <v>948</v>
      </c>
      <c r="B651" s="24" t="s">
        <v>264</v>
      </c>
      <c r="C651" s="24" t="s">
        <v>213</v>
      </c>
      <c r="D651" s="24" t="s">
        <v>1245</v>
      </c>
      <c r="E651" s="24"/>
      <c r="F651" s="4">
        <f>F652+F655</f>
        <v>3082.18</v>
      </c>
    </row>
    <row r="652" spans="1:6" s="203" customFormat="1" ht="34.5" customHeight="1" x14ac:dyDescent="0.25">
      <c r="A652" s="25" t="s">
        <v>284</v>
      </c>
      <c r="B652" s="20" t="s">
        <v>264</v>
      </c>
      <c r="C652" s="20" t="s">
        <v>213</v>
      </c>
      <c r="D652" s="20" t="s">
        <v>1263</v>
      </c>
      <c r="E652" s="20"/>
      <c r="F652" s="6">
        <f>F653</f>
        <v>44</v>
      </c>
    </row>
    <row r="653" spans="1:6" s="203" customFormat="1" ht="41.25" customHeight="1" x14ac:dyDescent="0.25">
      <c r="A653" s="25" t="s">
        <v>272</v>
      </c>
      <c r="B653" s="20" t="s">
        <v>264</v>
      </c>
      <c r="C653" s="20" t="s">
        <v>213</v>
      </c>
      <c r="D653" s="20" t="s">
        <v>1263</v>
      </c>
      <c r="E653" s="20" t="s">
        <v>273</v>
      </c>
      <c r="F653" s="6">
        <f>F654</f>
        <v>44</v>
      </c>
    </row>
    <row r="654" spans="1:6" s="203" customFormat="1" ht="15" customHeight="1" x14ac:dyDescent="0.25">
      <c r="A654" s="25" t="s">
        <v>274</v>
      </c>
      <c r="B654" s="20" t="s">
        <v>264</v>
      </c>
      <c r="C654" s="20" t="s">
        <v>213</v>
      </c>
      <c r="D654" s="20" t="s">
        <v>1263</v>
      </c>
      <c r="E654" s="20" t="s">
        <v>275</v>
      </c>
      <c r="F654" s="6">
        <f>'Пр.4 ведом.21'!G739</f>
        <v>44</v>
      </c>
    </row>
    <row r="655" spans="1:6" s="203" customFormat="1" ht="36.75" customHeight="1" x14ac:dyDescent="0.25">
      <c r="A655" s="60" t="s">
        <v>764</v>
      </c>
      <c r="B655" s="20" t="s">
        <v>264</v>
      </c>
      <c r="C655" s="20" t="s">
        <v>213</v>
      </c>
      <c r="D655" s="20" t="s">
        <v>1246</v>
      </c>
      <c r="E655" s="20"/>
      <c r="F655" s="6">
        <f>F656</f>
        <v>3038.18</v>
      </c>
    </row>
    <row r="656" spans="1:6" s="203" customFormat="1" ht="45.75" customHeight="1" x14ac:dyDescent="0.25">
      <c r="A656" s="29" t="s">
        <v>272</v>
      </c>
      <c r="B656" s="20" t="s">
        <v>264</v>
      </c>
      <c r="C656" s="20" t="s">
        <v>213</v>
      </c>
      <c r="D656" s="20" t="s">
        <v>1246</v>
      </c>
      <c r="E656" s="20" t="s">
        <v>273</v>
      </c>
      <c r="F656" s="6">
        <f>F657</f>
        <v>3038.18</v>
      </c>
    </row>
    <row r="657" spans="1:6" s="203" customFormat="1" ht="15" customHeight="1" x14ac:dyDescent="0.25">
      <c r="A657" s="182" t="s">
        <v>274</v>
      </c>
      <c r="B657" s="20" t="s">
        <v>264</v>
      </c>
      <c r="C657" s="20" t="s">
        <v>213</v>
      </c>
      <c r="D657" s="20" t="s">
        <v>1246</v>
      </c>
      <c r="E657" s="20" t="s">
        <v>275</v>
      </c>
      <c r="F657" s="6">
        <f>'Пр.4 ведом.21'!G742</f>
        <v>3038.18</v>
      </c>
    </row>
    <row r="658" spans="1:6" ht="35.450000000000003" customHeight="1" x14ac:dyDescent="0.25">
      <c r="A658" s="23" t="s">
        <v>938</v>
      </c>
      <c r="B658" s="24" t="s">
        <v>264</v>
      </c>
      <c r="C658" s="24" t="s">
        <v>213</v>
      </c>
      <c r="D658" s="24" t="s">
        <v>1259</v>
      </c>
      <c r="E658" s="24"/>
      <c r="F658" s="4">
        <f>F659</f>
        <v>3001.8</v>
      </c>
    </row>
    <row r="659" spans="1:6" s="203" customFormat="1" ht="49.7" customHeight="1" x14ac:dyDescent="0.25">
      <c r="A659" s="29" t="s">
        <v>602</v>
      </c>
      <c r="B659" s="20" t="s">
        <v>264</v>
      </c>
      <c r="C659" s="20" t="s">
        <v>213</v>
      </c>
      <c r="D659" s="20" t="s">
        <v>1260</v>
      </c>
      <c r="E659" s="20"/>
      <c r="F659" s="6">
        <f>F660</f>
        <v>3001.8</v>
      </c>
    </row>
    <row r="660" spans="1:6" s="203" customFormat="1" ht="38.25" customHeight="1" x14ac:dyDescent="0.25">
      <c r="A660" s="25" t="s">
        <v>272</v>
      </c>
      <c r="B660" s="20" t="s">
        <v>264</v>
      </c>
      <c r="C660" s="20" t="s">
        <v>213</v>
      </c>
      <c r="D660" s="20" t="s">
        <v>1260</v>
      </c>
      <c r="E660" s="20" t="s">
        <v>273</v>
      </c>
      <c r="F660" s="6">
        <f>F661</f>
        <v>3001.8</v>
      </c>
    </row>
    <row r="661" spans="1:6" s="203" customFormat="1" ht="14.25" customHeight="1" x14ac:dyDescent="0.25">
      <c r="A661" s="25" t="s">
        <v>274</v>
      </c>
      <c r="B661" s="20" t="s">
        <v>264</v>
      </c>
      <c r="C661" s="20" t="s">
        <v>213</v>
      </c>
      <c r="D661" s="20" t="s">
        <v>1260</v>
      </c>
      <c r="E661" s="20" t="s">
        <v>275</v>
      </c>
      <c r="F661" s="6">
        <f>'Пр.4 ведом.21'!G746</f>
        <v>3001.8</v>
      </c>
    </row>
    <row r="662" spans="1:6" ht="32.25" customHeight="1" x14ac:dyDescent="0.25">
      <c r="A662" s="23" t="s">
        <v>939</v>
      </c>
      <c r="B662" s="24" t="s">
        <v>264</v>
      </c>
      <c r="C662" s="24" t="s">
        <v>213</v>
      </c>
      <c r="D662" s="24" t="s">
        <v>1261</v>
      </c>
      <c r="E662" s="24"/>
      <c r="F662" s="4">
        <f>F663</f>
        <v>1384.6</v>
      </c>
    </row>
    <row r="663" spans="1:6" ht="48.75" customHeight="1" x14ac:dyDescent="0.25">
      <c r="A663" s="25" t="s">
        <v>438</v>
      </c>
      <c r="B663" s="20" t="s">
        <v>264</v>
      </c>
      <c r="C663" s="20" t="s">
        <v>213</v>
      </c>
      <c r="D663" s="20" t="s">
        <v>1262</v>
      </c>
      <c r="E663" s="20"/>
      <c r="F663" s="6">
        <f>F664</f>
        <v>1384.6</v>
      </c>
    </row>
    <row r="664" spans="1:6" ht="37.5" customHeight="1" x14ac:dyDescent="0.25">
      <c r="A664" s="25" t="s">
        <v>272</v>
      </c>
      <c r="B664" s="20" t="s">
        <v>264</v>
      </c>
      <c r="C664" s="20" t="s">
        <v>213</v>
      </c>
      <c r="D664" s="20" t="s">
        <v>1262</v>
      </c>
      <c r="E664" s="20" t="s">
        <v>273</v>
      </c>
      <c r="F664" s="6">
        <f>F665</f>
        <v>1384.6</v>
      </c>
    </row>
    <row r="665" spans="1:6" ht="15" customHeight="1" x14ac:dyDescent="0.25">
      <c r="A665" s="25" t="s">
        <v>274</v>
      </c>
      <c r="B665" s="20" t="s">
        <v>264</v>
      </c>
      <c r="C665" s="20" t="s">
        <v>213</v>
      </c>
      <c r="D665" s="20" t="s">
        <v>1262</v>
      </c>
      <c r="E665" s="20" t="s">
        <v>275</v>
      </c>
      <c r="F665" s="6">
        <f>'Пр.4 ведом.21'!G750</f>
        <v>1384.6</v>
      </c>
    </row>
    <row r="666" spans="1:6" ht="31.7" customHeight="1" x14ac:dyDescent="0.25">
      <c r="A666" s="216" t="s">
        <v>940</v>
      </c>
      <c r="B666" s="24" t="s">
        <v>264</v>
      </c>
      <c r="C666" s="24" t="s">
        <v>213</v>
      </c>
      <c r="D666" s="24" t="s">
        <v>1264</v>
      </c>
      <c r="E666" s="24"/>
      <c r="F666" s="4">
        <f>F667</f>
        <v>752.9</v>
      </c>
    </row>
    <row r="667" spans="1:6" ht="51" customHeight="1" x14ac:dyDescent="0.25">
      <c r="A667" s="182" t="s">
        <v>828</v>
      </c>
      <c r="B667" s="20" t="s">
        <v>264</v>
      </c>
      <c r="C667" s="20" t="s">
        <v>213</v>
      </c>
      <c r="D667" s="20" t="s">
        <v>1437</v>
      </c>
      <c r="E667" s="20"/>
      <c r="F667" s="6">
        <f t="shared" ref="F667" si="75">F668</f>
        <v>752.9</v>
      </c>
    </row>
    <row r="668" spans="1:6" ht="33" customHeight="1" x14ac:dyDescent="0.25">
      <c r="A668" s="31" t="s">
        <v>272</v>
      </c>
      <c r="B668" s="20" t="s">
        <v>264</v>
      </c>
      <c r="C668" s="20" t="s">
        <v>213</v>
      </c>
      <c r="D668" s="20" t="s">
        <v>1437</v>
      </c>
      <c r="E668" s="20" t="s">
        <v>273</v>
      </c>
      <c r="F668" s="6">
        <f>F669</f>
        <v>752.9</v>
      </c>
    </row>
    <row r="669" spans="1:6" ht="15.75" x14ac:dyDescent="0.25">
      <c r="A669" s="31" t="s">
        <v>274</v>
      </c>
      <c r="B669" s="20" t="s">
        <v>264</v>
      </c>
      <c r="C669" s="20" t="s">
        <v>213</v>
      </c>
      <c r="D669" s="20" t="s">
        <v>1437</v>
      </c>
      <c r="E669" s="20" t="s">
        <v>275</v>
      </c>
      <c r="F669" s="6">
        <f>'Пр.4 ведом.21'!G754</f>
        <v>752.9</v>
      </c>
    </row>
    <row r="670" spans="1:6" s="203" customFormat="1" ht="31.5" x14ac:dyDescent="0.25">
      <c r="A670" s="298" t="s">
        <v>1416</v>
      </c>
      <c r="B670" s="24" t="s">
        <v>264</v>
      </c>
      <c r="C670" s="24" t="s">
        <v>213</v>
      </c>
      <c r="D670" s="24" t="s">
        <v>1415</v>
      </c>
      <c r="E670" s="24"/>
      <c r="F670" s="21">
        <f>F671</f>
        <v>5296.5999999999995</v>
      </c>
    </row>
    <row r="671" spans="1:6" ht="63" x14ac:dyDescent="0.25">
      <c r="A671" s="297" t="s">
        <v>1402</v>
      </c>
      <c r="B671" s="20" t="s">
        <v>264</v>
      </c>
      <c r="C671" s="20" t="s">
        <v>213</v>
      </c>
      <c r="D671" s="20" t="s">
        <v>1462</v>
      </c>
      <c r="E671" s="20"/>
      <c r="F671" s="26">
        <f>F672</f>
        <v>5296.5999999999995</v>
      </c>
    </row>
    <row r="672" spans="1:6" ht="31.5" x14ac:dyDescent="0.25">
      <c r="A672" s="31" t="s">
        <v>272</v>
      </c>
      <c r="B672" s="20" t="s">
        <v>264</v>
      </c>
      <c r="C672" s="20" t="s">
        <v>213</v>
      </c>
      <c r="D672" s="20" t="s">
        <v>1462</v>
      </c>
      <c r="E672" s="20" t="s">
        <v>273</v>
      </c>
      <c r="F672" s="26">
        <f>F673</f>
        <v>5296.5999999999995</v>
      </c>
    </row>
    <row r="673" spans="1:6" ht="15.75" x14ac:dyDescent="0.25">
      <c r="A673" s="31" t="s">
        <v>274</v>
      </c>
      <c r="B673" s="20" t="s">
        <v>264</v>
      </c>
      <c r="C673" s="20" t="s">
        <v>213</v>
      </c>
      <c r="D673" s="20" t="s">
        <v>1462</v>
      </c>
      <c r="E673" s="20" t="s">
        <v>275</v>
      </c>
      <c r="F673" s="26">
        <f>'Пр.4 ведом.21'!G758</f>
        <v>5296.5999999999995</v>
      </c>
    </row>
    <row r="674" spans="1:6" s="203" customFormat="1" ht="31.5" hidden="1" x14ac:dyDescent="0.25">
      <c r="A674" s="298" t="s">
        <v>1441</v>
      </c>
      <c r="B674" s="24" t="s">
        <v>264</v>
      </c>
      <c r="C674" s="24" t="s">
        <v>213</v>
      </c>
      <c r="D674" s="24" t="s">
        <v>1426</v>
      </c>
      <c r="E674" s="24"/>
      <c r="F674" s="21">
        <f>F675</f>
        <v>0</v>
      </c>
    </row>
    <row r="675" spans="1:6" s="203" customFormat="1" ht="31.5" hidden="1" x14ac:dyDescent="0.25">
      <c r="A675" s="297" t="s">
        <v>1427</v>
      </c>
      <c r="B675" s="20" t="s">
        <v>264</v>
      </c>
      <c r="C675" s="20" t="s">
        <v>213</v>
      </c>
      <c r="D675" s="20" t="s">
        <v>1429</v>
      </c>
      <c r="E675" s="20"/>
      <c r="F675" s="26">
        <f>F676</f>
        <v>0</v>
      </c>
    </row>
    <row r="676" spans="1:6" s="203" customFormat="1" ht="31.5" hidden="1" x14ac:dyDescent="0.25">
      <c r="A676" s="31" t="s">
        <v>272</v>
      </c>
      <c r="B676" s="20" t="s">
        <v>264</v>
      </c>
      <c r="C676" s="20" t="s">
        <v>213</v>
      </c>
      <c r="D676" s="20" t="s">
        <v>1429</v>
      </c>
      <c r="E676" s="20" t="s">
        <v>273</v>
      </c>
      <c r="F676" s="26">
        <f>F677</f>
        <v>0</v>
      </c>
    </row>
    <row r="677" spans="1:6" s="203" customFormat="1" ht="15.75" hidden="1" x14ac:dyDescent="0.25">
      <c r="A677" s="31" t="s">
        <v>274</v>
      </c>
      <c r="B677" s="20" t="s">
        <v>264</v>
      </c>
      <c r="C677" s="20" t="s">
        <v>213</v>
      </c>
      <c r="D677" s="20" t="s">
        <v>1429</v>
      </c>
      <c r="E677" s="20" t="s">
        <v>275</v>
      </c>
      <c r="F677" s="26">
        <f>'Пр.4 ведом.21'!G762</f>
        <v>0</v>
      </c>
    </row>
    <row r="678" spans="1:6" s="434" customFormat="1" ht="47.25" x14ac:dyDescent="0.25">
      <c r="A678" s="298" t="s">
        <v>1634</v>
      </c>
      <c r="B678" s="24" t="s">
        <v>264</v>
      </c>
      <c r="C678" s="24" t="s">
        <v>213</v>
      </c>
      <c r="D678" s="24" t="s">
        <v>1636</v>
      </c>
      <c r="E678" s="24"/>
      <c r="F678" s="21">
        <f>F679</f>
        <v>2864.7570000000001</v>
      </c>
    </row>
    <row r="679" spans="1:6" s="434" customFormat="1" ht="47.25" x14ac:dyDescent="0.25">
      <c r="A679" s="297" t="s">
        <v>450</v>
      </c>
      <c r="B679" s="436" t="s">
        <v>264</v>
      </c>
      <c r="C679" s="436" t="s">
        <v>213</v>
      </c>
      <c r="D679" s="436" t="s">
        <v>1636</v>
      </c>
      <c r="E679" s="436"/>
      <c r="F679" s="26">
        <f>F680</f>
        <v>2864.7570000000001</v>
      </c>
    </row>
    <row r="680" spans="1:6" s="434" customFormat="1" ht="31.5" x14ac:dyDescent="0.25">
      <c r="A680" s="31" t="s">
        <v>272</v>
      </c>
      <c r="B680" s="436" t="s">
        <v>264</v>
      </c>
      <c r="C680" s="436" t="s">
        <v>213</v>
      </c>
      <c r="D680" s="436" t="s">
        <v>1636</v>
      </c>
      <c r="E680" s="436" t="s">
        <v>273</v>
      </c>
      <c r="F680" s="26">
        <f>F681</f>
        <v>2864.7570000000001</v>
      </c>
    </row>
    <row r="681" spans="1:6" s="434" customFormat="1" ht="15.75" x14ac:dyDescent="0.25">
      <c r="A681" s="31" t="s">
        <v>274</v>
      </c>
      <c r="B681" s="436" t="s">
        <v>264</v>
      </c>
      <c r="C681" s="436" t="s">
        <v>213</v>
      </c>
      <c r="D681" s="436" t="s">
        <v>1636</v>
      </c>
      <c r="E681" s="436" t="s">
        <v>275</v>
      </c>
      <c r="F681" s="26">
        <f>'Пр.4 ведом.21'!G766</f>
        <v>2864.7570000000001</v>
      </c>
    </row>
    <row r="682" spans="1:6" s="434" customFormat="1" ht="31.5" x14ac:dyDescent="0.25">
      <c r="A682" s="298" t="s">
        <v>1650</v>
      </c>
      <c r="B682" s="24" t="s">
        <v>264</v>
      </c>
      <c r="C682" s="24" t="s">
        <v>213</v>
      </c>
      <c r="D682" s="24" t="s">
        <v>1652</v>
      </c>
      <c r="E682" s="24"/>
      <c r="F682" s="21">
        <f>F683</f>
        <v>288.29200000000003</v>
      </c>
    </row>
    <row r="683" spans="1:6" s="434" customFormat="1" ht="31.5" x14ac:dyDescent="0.25">
      <c r="A683" s="297" t="s">
        <v>1651</v>
      </c>
      <c r="B683" s="436" t="s">
        <v>264</v>
      </c>
      <c r="C683" s="436" t="s">
        <v>213</v>
      </c>
      <c r="D683" s="436" t="s">
        <v>1653</v>
      </c>
      <c r="E683" s="436"/>
      <c r="F683" s="26">
        <f>F684</f>
        <v>288.29200000000003</v>
      </c>
    </row>
    <row r="684" spans="1:6" s="434" customFormat="1" ht="31.5" x14ac:dyDescent="0.25">
      <c r="A684" s="31" t="s">
        <v>272</v>
      </c>
      <c r="B684" s="436" t="s">
        <v>264</v>
      </c>
      <c r="C684" s="436" t="s">
        <v>213</v>
      </c>
      <c r="D684" s="436" t="s">
        <v>1653</v>
      </c>
      <c r="E684" s="436" t="s">
        <v>273</v>
      </c>
      <c r="F684" s="26">
        <f>F685</f>
        <v>288.29200000000003</v>
      </c>
    </row>
    <row r="685" spans="1:6" s="434" customFormat="1" ht="15.75" x14ac:dyDescent="0.25">
      <c r="A685" s="31" t="s">
        <v>274</v>
      </c>
      <c r="B685" s="436" t="s">
        <v>264</v>
      </c>
      <c r="C685" s="436" t="s">
        <v>213</v>
      </c>
      <c r="D685" s="436" t="s">
        <v>1653</v>
      </c>
      <c r="E685" s="436" t="s">
        <v>275</v>
      </c>
      <c r="F685" s="26">
        <f>'Пр.4 ведом.21'!G770</f>
        <v>288.29200000000003</v>
      </c>
    </row>
    <row r="686" spans="1:6" s="203" customFormat="1" ht="47.25" x14ac:dyDescent="0.25">
      <c r="A686" s="216" t="s">
        <v>1177</v>
      </c>
      <c r="B686" s="24" t="s">
        <v>264</v>
      </c>
      <c r="C686" s="24" t="s">
        <v>213</v>
      </c>
      <c r="D686" s="24" t="s">
        <v>1327</v>
      </c>
      <c r="E686" s="24"/>
      <c r="F686" s="21">
        <f>F687</f>
        <v>1555.65</v>
      </c>
    </row>
    <row r="687" spans="1:6" s="203" customFormat="1" ht="66.599999999999994" customHeight="1" x14ac:dyDescent="0.25">
      <c r="A687" s="182" t="s">
        <v>1539</v>
      </c>
      <c r="B687" s="20" t="s">
        <v>264</v>
      </c>
      <c r="C687" s="20" t="s">
        <v>213</v>
      </c>
      <c r="D687" s="20" t="s">
        <v>1328</v>
      </c>
      <c r="E687" s="20"/>
      <c r="F687" s="26">
        <f>F688</f>
        <v>1555.65</v>
      </c>
    </row>
    <row r="688" spans="1:6" s="203" customFormat="1" ht="31.5" x14ac:dyDescent="0.25">
      <c r="A688" s="31" t="s">
        <v>272</v>
      </c>
      <c r="B688" s="20" t="s">
        <v>264</v>
      </c>
      <c r="C688" s="20" t="s">
        <v>213</v>
      </c>
      <c r="D688" s="20" t="s">
        <v>1328</v>
      </c>
      <c r="E688" s="20" t="s">
        <v>273</v>
      </c>
      <c r="F688" s="26">
        <f>F689</f>
        <v>1555.65</v>
      </c>
    </row>
    <row r="689" spans="1:6" s="203" customFormat="1" ht="15.75" x14ac:dyDescent="0.25">
      <c r="A689" s="31" t="s">
        <v>274</v>
      </c>
      <c r="B689" s="20" t="s">
        <v>264</v>
      </c>
      <c r="C689" s="20" t="s">
        <v>213</v>
      </c>
      <c r="D689" s="20" t="s">
        <v>1328</v>
      </c>
      <c r="E689" s="20" t="s">
        <v>275</v>
      </c>
      <c r="F689" s="26">
        <f>'Пр.4 ведом.21'!G774</f>
        <v>1555.65</v>
      </c>
    </row>
    <row r="690" spans="1:6" s="203" customFormat="1" ht="31.5" x14ac:dyDescent="0.25">
      <c r="A690" s="34" t="s">
        <v>1476</v>
      </c>
      <c r="B690" s="24" t="s">
        <v>264</v>
      </c>
      <c r="C690" s="24" t="s">
        <v>213</v>
      </c>
      <c r="D690" s="24" t="s">
        <v>1477</v>
      </c>
      <c r="E690" s="20"/>
      <c r="F690" s="21">
        <f>F691</f>
        <v>2691.645</v>
      </c>
    </row>
    <row r="691" spans="1:6" s="203" customFormat="1" ht="51" customHeight="1" x14ac:dyDescent="0.25">
      <c r="A691" s="31" t="s">
        <v>1540</v>
      </c>
      <c r="B691" s="20" t="s">
        <v>264</v>
      </c>
      <c r="C691" s="20" t="s">
        <v>213</v>
      </c>
      <c r="D691" s="20" t="s">
        <v>1478</v>
      </c>
      <c r="E691" s="20"/>
      <c r="F691" s="26">
        <f>F692</f>
        <v>2691.645</v>
      </c>
    </row>
    <row r="692" spans="1:6" s="203" customFormat="1" ht="31.5" x14ac:dyDescent="0.25">
      <c r="A692" s="31" t="s">
        <v>272</v>
      </c>
      <c r="B692" s="20" t="s">
        <v>264</v>
      </c>
      <c r="C692" s="20" t="s">
        <v>213</v>
      </c>
      <c r="D692" s="20" t="s">
        <v>1478</v>
      </c>
      <c r="E692" s="20" t="s">
        <v>273</v>
      </c>
      <c r="F692" s="26">
        <f>F693</f>
        <v>2691.645</v>
      </c>
    </row>
    <row r="693" spans="1:6" s="203" customFormat="1" ht="15.75" x14ac:dyDescent="0.25">
      <c r="A693" s="31" t="s">
        <v>274</v>
      </c>
      <c r="B693" s="20" t="s">
        <v>264</v>
      </c>
      <c r="C693" s="20" t="s">
        <v>213</v>
      </c>
      <c r="D693" s="20" t="s">
        <v>1478</v>
      </c>
      <c r="E693" s="20" t="s">
        <v>275</v>
      </c>
      <c r="F693" s="26">
        <f>'Пр.4 ведом.21'!G778</f>
        <v>2691.645</v>
      </c>
    </row>
    <row r="694" spans="1:6" s="203" customFormat="1" ht="47.25" hidden="1" x14ac:dyDescent="0.25">
      <c r="A694" s="34" t="s">
        <v>1368</v>
      </c>
      <c r="B694" s="24" t="s">
        <v>264</v>
      </c>
      <c r="C694" s="24" t="s">
        <v>213</v>
      </c>
      <c r="D694" s="24" t="s">
        <v>324</v>
      </c>
      <c r="E694" s="24"/>
      <c r="F694" s="4">
        <f t="shared" ref="F694" si="76">F695</f>
        <v>0</v>
      </c>
    </row>
    <row r="695" spans="1:6" s="203" customFormat="1" ht="63" hidden="1" x14ac:dyDescent="0.25">
      <c r="A695" s="34" t="s">
        <v>1024</v>
      </c>
      <c r="B695" s="24" t="s">
        <v>264</v>
      </c>
      <c r="C695" s="24" t="s">
        <v>213</v>
      </c>
      <c r="D695" s="24" t="s">
        <v>934</v>
      </c>
      <c r="E695" s="24"/>
      <c r="F695" s="4">
        <f>F696</f>
        <v>0</v>
      </c>
    </row>
    <row r="696" spans="1:6" s="203" customFormat="1" ht="47.25" hidden="1" x14ac:dyDescent="0.25">
      <c r="A696" s="31" t="s">
        <v>1008</v>
      </c>
      <c r="B696" s="20" t="s">
        <v>264</v>
      </c>
      <c r="C696" s="20" t="s">
        <v>213</v>
      </c>
      <c r="D696" s="20" t="s">
        <v>935</v>
      </c>
      <c r="E696" s="20"/>
      <c r="F696" s="6">
        <f t="shared" ref="F696:F697" si="77">F697</f>
        <v>0</v>
      </c>
    </row>
    <row r="697" spans="1:6" s="203" customFormat="1" ht="31.5" hidden="1" x14ac:dyDescent="0.25">
      <c r="A697" s="31" t="s">
        <v>272</v>
      </c>
      <c r="B697" s="20" t="s">
        <v>264</v>
      </c>
      <c r="C697" s="20" t="s">
        <v>213</v>
      </c>
      <c r="D697" s="20" t="s">
        <v>935</v>
      </c>
      <c r="E697" s="20" t="s">
        <v>273</v>
      </c>
      <c r="F697" s="6">
        <f t="shared" si="77"/>
        <v>0</v>
      </c>
    </row>
    <row r="698" spans="1:6" s="203" customFormat="1" ht="15.75" hidden="1" x14ac:dyDescent="0.25">
      <c r="A698" s="31" t="s">
        <v>274</v>
      </c>
      <c r="B698" s="20" t="s">
        <v>264</v>
      </c>
      <c r="C698" s="20" t="s">
        <v>213</v>
      </c>
      <c r="D698" s="20" t="s">
        <v>935</v>
      </c>
      <c r="E698" s="20" t="s">
        <v>275</v>
      </c>
      <c r="F698" s="6">
        <f>'Пр.4 ведом.21'!G783</f>
        <v>0</v>
      </c>
    </row>
    <row r="699" spans="1:6" ht="47.25" x14ac:dyDescent="0.25">
      <c r="A699" s="41" t="s">
        <v>1363</v>
      </c>
      <c r="B699" s="24" t="s">
        <v>264</v>
      </c>
      <c r="C699" s="24" t="s">
        <v>213</v>
      </c>
      <c r="D699" s="24" t="s">
        <v>705</v>
      </c>
      <c r="E699" s="221"/>
      <c r="F699" s="4">
        <f t="shared" ref="F699:F700" si="78">F700</f>
        <v>837</v>
      </c>
    </row>
    <row r="700" spans="1:6" ht="47.25" x14ac:dyDescent="0.25">
      <c r="A700" s="41" t="s">
        <v>890</v>
      </c>
      <c r="B700" s="24" t="s">
        <v>264</v>
      </c>
      <c r="C700" s="24" t="s">
        <v>213</v>
      </c>
      <c r="D700" s="24" t="s">
        <v>888</v>
      </c>
      <c r="E700" s="221"/>
      <c r="F700" s="4">
        <f t="shared" si="78"/>
        <v>837</v>
      </c>
    </row>
    <row r="701" spans="1:6" ht="47.25" x14ac:dyDescent="0.25">
      <c r="A701" s="98" t="s">
        <v>780</v>
      </c>
      <c r="B701" s="20" t="s">
        <v>264</v>
      </c>
      <c r="C701" s="20" t="s">
        <v>213</v>
      </c>
      <c r="D701" s="20" t="s">
        <v>936</v>
      </c>
      <c r="E701" s="32"/>
      <c r="F701" s="6">
        <f>F702</f>
        <v>837</v>
      </c>
    </row>
    <row r="702" spans="1:6" ht="36.75" customHeight="1" x14ac:dyDescent="0.25">
      <c r="A702" s="29" t="s">
        <v>272</v>
      </c>
      <c r="B702" s="20" t="s">
        <v>264</v>
      </c>
      <c r="C702" s="20" t="s">
        <v>213</v>
      </c>
      <c r="D702" s="20" t="s">
        <v>936</v>
      </c>
      <c r="E702" s="32" t="s">
        <v>273</v>
      </c>
      <c r="F702" s="6">
        <f t="shared" ref="F702" si="79">F703</f>
        <v>837</v>
      </c>
    </row>
    <row r="703" spans="1:6" ht="15.75" x14ac:dyDescent="0.25">
      <c r="A703" s="182" t="s">
        <v>274</v>
      </c>
      <c r="B703" s="20" t="s">
        <v>264</v>
      </c>
      <c r="C703" s="20" t="s">
        <v>213</v>
      </c>
      <c r="D703" s="20" t="s">
        <v>936</v>
      </c>
      <c r="E703" s="32" t="s">
        <v>275</v>
      </c>
      <c r="F703" s="6">
        <f>'Пр.4 ведом.21'!G788</f>
        <v>837</v>
      </c>
    </row>
    <row r="704" spans="1:6" ht="15.75" x14ac:dyDescent="0.25">
      <c r="A704" s="41" t="s">
        <v>265</v>
      </c>
      <c r="B704" s="7" t="s">
        <v>264</v>
      </c>
      <c r="C704" s="7" t="s">
        <v>215</v>
      </c>
      <c r="D704" s="24"/>
      <c r="E704" s="7"/>
      <c r="F704" s="4">
        <f>F705+F738+F781+F776</f>
        <v>61388.770000000011</v>
      </c>
    </row>
    <row r="705" spans="1:12" ht="39.75" customHeight="1" x14ac:dyDescent="0.25">
      <c r="A705" s="23" t="s">
        <v>1369</v>
      </c>
      <c r="B705" s="24" t="s">
        <v>264</v>
      </c>
      <c r="C705" s="24" t="s">
        <v>215</v>
      </c>
      <c r="D705" s="24" t="s">
        <v>406</v>
      </c>
      <c r="E705" s="24"/>
      <c r="F705" s="4">
        <f>F706+F716+F730+F734</f>
        <v>42498.950000000012</v>
      </c>
      <c r="G705" s="22"/>
      <c r="L705" s="22"/>
    </row>
    <row r="706" spans="1:12" ht="31.5" x14ac:dyDescent="0.25">
      <c r="A706" s="23" t="s">
        <v>937</v>
      </c>
      <c r="B706" s="24" t="s">
        <v>264</v>
      </c>
      <c r="C706" s="24" t="s">
        <v>215</v>
      </c>
      <c r="D706" s="24" t="s">
        <v>1235</v>
      </c>
      <c r="E706" s="24"/>
      <c r="F706" s="4">
        <f>F707+F713+F710</f>
        <v>38831.025000000009</v>
      </c>
    </row>
    <row r="707" spans="1:12" ht="47.25" x14ac:dyDescent="0.25">
      <c r="A707" s="25" t="s">
        <v>270</v>
      </c>
      <c r="B707" s="20" t="s">
        <v>264</v>
      </c>
      <c r="C707" s="20" t="s">
        <v>215</v>
      </c>
      <c r="D707" s="20" t="s">
        <v>1265</v>
      </c>
      <c r="E707" s="20"/>
      <c r="F707" s="6">
        <f t="shared" ref="F707" si="80">F708</f>
        <v>14825.625</v>
      </c>
    </row>
    <row r="708" spans="1:12" ht="40.700000000000003" customHeight="1" x14ac:dyDescent="0.25">
      <c r="A708" s="25" t="s">
        <v>272</v>
      </c>
      <c r="B708" s="20" t="s">
        <v>264</v>
      </c>
      <c r="C708" s="20" t="s">
        <v>215</v>
      </c>
      <c r="D708" s="20" t="s">
        <v>1265</v>
      </c>
      <c r="E708" s="20" t="s">
        <v>273</v>
      </c>
      <c r="F708" s="6">
        <f>'Пр.4 ведом.21'!G794</f>
        <v>14825.625</v>
      </c>
    </row>
    <row r="709" spans="1:12" ht="15.75" x14ac:dyDescent="0.25">
      <c r="A709" s="25" t="s">
        <v>274</v>
      </c>
      <c r="B709" s="20" t="s">
        <v>264</v>
      </c>
      <c r="C709" s="20" t="s">
        <v>215</v>
      </c>
      <c r="D709" s="20" t="s">
        <v>1265</v>
      </c>
      <c r="E709" s="20" t="s">
        <v>275</v>
      </c>
      <c r="F709" s="6">
        <f>'Пр.4 ведом.21'!G794</f>
        <v>14825.625</v>
      </c>
    </row>
    <row r="710" spans="1:12" s="457" customFormat="1" ht="47.25" x14ac:dyDescent="0.25">
      <c r="A710" s="466" t="s">
        <v>1776</v>
      </c>
      <c r="B710" s="462" t="s">
        <v>264</v>
      </c>
      <c r="C710" s="462" t="s">
        <v>215</v>
      </c>
      <c r="D710" s="462" t="s">
        <v>1780</v>
      </c>
      <c r="E710" s="462"/>
      <c r="F710" s="459">
        <f>F711</f>
        <v>267.8</v>
      </c>
    </row>
    <row r="711" spans="1:12" s="457" customFormat="1" ht="31.5" x14ac:dyDescent="0.25">
      <c r="A711" s="466" t="s">
        <v>272</v>
      </c>
      <c r="B711" s="462" t="s">
        <v>264</v>
      </c>
      <c r="C711" s="462" t="s">
        <v>215</v>
      </c>
      <c r="D711" s="462" t="s">
        <v>1780</v>
      </c>
      <c r="E711" s="462" t="s">
        <v>273</v>
      </c>
      <c r="F711" s="459">
        <f>F712</f>
        <v>267.8</v>
      </c>
    </row>
    <row r="712" spans="1:12" s="457" customFormat="1" ht="15.75" x14ac:dyDescent="0.25">
      <c r="A712" s="466" t="s">
        <v>274</v>
      </c>
      <c r="B712" s="462" t="s">
        <v>264</v>
      </c>
      <c r="C712" s="462" t="s">
        <v>215</v>
      </c>
      <c r="D712" s="462" t="s">
        <v>1780</v>
      </c>
      <c r="E712" s="462" t="s">
        <v>275</v>
      </c>
      <c r="F712" s="459">
        <f>'Пр.4 ведом.21'!G797</f>
        <v>267.8</v>
      </c>
    </row>
    <row r="713" spans="1:12" s="203" customFormat="1" ht="31.5" x14ac:dyDescent="0.25">
      <c r="A713" s="31" t="s">
        <v>1522</v>
      </c>
      <c r="B713" s="20" t="s">
        <v>264</v>
      </c>
      <c r="C713" s="20" t="s">
        <v>215</v>
      </c>
      <c r="D713" s="20" t="s">
        <v>1521</v>
      </c>
      <c r="E713" s="20"/>
      <c r="F713" s="6">
        <f>F714</f>
        <v>23737.600000000002</v>
      </c>
    </row>
    <row r="714" spans="1:12" s="203" customFormat="1" ht="31.5" x14ac:dyDescent="0.25">
      <c r="A714" s="25" t="s">
        <v>272</v>
      </c>
      <c r="B714" s="20" t="s">
        <v>264</v>
      </c>
      <c r="C714" s="20" t="s">
        <v>215</v>
      </c>
      <c r="D714" s="20" t="s">
        <v>1521</v>
      </c>
      <c r="E714" s="20" t="s">
        <v>273</v>
      </c>
      <c r="F714" s="6">
        <f>F715</f>
        <v>23737.600000000002</v>
      </c>
    </row>
    <row r="715" spans="1:12" s="203" customFormat="1" ht="15.75" x14ac:dyDescent="0.25">
      <c r="A715" s="31" t="s">
        <v>274</v>
      </c>
      <c r="B715" s="20" t="s">
        <v>264</v>
      </c>
      <c r="C715" s="20" t="s">
        <v>215</v>
      </c>
      <c r="D715" s="20" t="s">
        <v>1521</v>
      </c>
      <c r="E715" s="20" t="s">
        <v>273</v>
      </c>
      <c r="F715" s="6">
        <f>'Пр.4 ведом.21'!G800</f>
        <v>23737.600000000002</v>
      </c>
    </row>
    <row r="716" spans="1:12" ht="47.25" x14ac:dyDescent="0.25">
      <c r="A716" s="23" t="s">
        <v>900</v>
      </c>
      <c r="B716" s="24" t="s">
        <v>264</v>
      </c>
      <c r="C716" s="24" t="s">
        <v>215</v>
      </c>
      <c r="D716" s="24" t="s">
        <v>1237</v>
      </c>
      <c r="E716" s="24"/>
      <c r="F716" s="4">
        <f>F720+F723+F717</f>
        <v>2243</v>
      </c>
    </row>
    <row r="717" spans="1:12" s="203" customFormat="1" ht="94.5" x14ac:dyDescent="0.25">
      <c r="A717" s="31" t="s">
        <v>293</v>
      </c>
      <c r="B717" s="20" t="s">
        <v>264</v>
      </c>
      <c r="C717" s="20" t="s">
        <v>215</v>
      </c>
      <c r="D717" s="20" t="s">
        <v>1401</v>
      </c>
      <c r="E717" s="20"/>
      <c r="F717" s="6">
        <f>F718</f>
        <v>1400</v>
      </c>
    </row>
    <row r="718" spans="1:12" s="203" customFormat="1" ht="31.5" x14ac:dyDescent="0.25">
      <c r="A718" s="25" t="s">
        <v>272</v>
      </c>
      <c r="B718" s="20" t="s">
        <v>264</v>
      </c>
      <c r="C718" s="20" t="s">
        <v>215</v>
      </c>
      <c r="D718" s="20" t="s">
        <v>1401</v>
      </c>
      <c r="E718" s="20" t="s">
        <v>273</v>
      </c>
      <c r="F718" s="6">
        <f t="shared" ref="F718" si="81">F719</f>
        <v>1400</v>
      </c>
    </row>
    <row r="719" spans="1:12" s="203" customFormat="1" ht="15.75" x14ac:dyDescent="0.25">
      <c r="A719" s="25" t="s">
        <v>274</v>
      </c>
      <c r="B719" s="20" t="s">
        <v>264</v>
      </c>
      <c r="C719" s="20" t="s">
        <v>215</v>
      </c>
      <c r="D719" s="20" t="s">
        <v>1401</v>
      </c>
      <c r="E719" s="20" t="s">
        <v>275</v>
      </c>
      <c r="F719" s="6">
        <f>'Пр.4 ведом.21'!G804</f>
        <v>1400</v>
      </c>
    </row>
    <row r="720" spans="1:12" ht="63" x14ac:dyDescent="0.25">
      <c r="A720" s="31" t="s">
        <v>289</v>
      </c>
      <c r="B720" s="20" t="s">
        <v>264</v>
      </c>
      <c r="C720" s="20" t="s">
        <v>215</v>
      </c>
      <c r="D720" s="20" t="s">
        <v>1238</v>
      </c>
      <c r="E720" s="20"/>
      <c r="F720" s="6">
        <f t="shared" ref="F720" si="82">F721</f>
        <v>179</v>
      </c>
    </row>
    <row r="721" spans="1:6" ht="31.5" x14ac:dyDescent="0.25">
      <c r="A721" s="25" t="s">
        <v>272</v>
      </c>
      <c r="B721" s="20" t="s">
        <v>264</v>
      </c>
      <c r="C721" s="20" t="s">
        <v>215</v>
      </c>
      <c r="D721" s="20" t="s">
        <v>1238</v>
      </c>
      <c r="E721" s="20" t="s">
        <v>273</v>
      </c>
      <c r="F721" s="6">
        <f>F722</f>
        <v>179</v>
      </c>
    </row>
    <row r="722" spans="1:6" ht="15.75" x14ac:dyDescent="0.25">
      <c r="A722" s="25" t="s">
        <v>274</v>
      </c>
      <c r="B722" s="20" t="s">
        <v>264</v>
      </c>
      <c r="C722" s="20" t="s">
        <v>215</v>
      </c>
      <c r="D722" s="20" t="s">
        <v>1238</v>
      </c>
      <c r="E722" s="20" t="s">
        <v>275</v>
      </c>
      <c r="F722" s="6">
        <f>'Пр.4 ведом.21'!G807</f>
        <v>179</v>
      </c>
    </row>
    <row r="723" spans="1:6" ht="63" x14ac:dyDescent="0.25">
      <c r="A723" s="31" t="s">
        <v>291</v>
      </c>
      <c r="B723" s="20" t="s">
        <v>264</v>
      </c>
      <c r="C723" s="20" t="s">
        <v>215</v>
      </c>
      <c r="D723" s="20" t="s">
        <v>1239</v>
      </c>
      <c r="E723" s="20"/>
      <c r="F723" s="6">
        <f t="shared" ref="F723" si="83">F724</f>
        <v>664</v>
      </c>
    </row>
    <row r="724" spans="1:6" ht="31.5" x14ac:dyDescent="0.25">
      <c r="A724" s="25" t="s">
        <v>272</v>
      </c>
      <c r="B724" s="20" t="s">
        <v>264</v>
      </c>
      <c r="C724" s="20" t="s">
        <v>215</v>
      </c>
      <c r="D724" s="20" t="s">
        <v>1239</v>
      </c>
      <c r="E724" s="20" t="s">
        <v>273</v>
      </c>
      <c r="F724" s="6">
        <f>F725</f>
        <v>664</v>
      </c>
    </row>
    <row r="725" spans="1:6" ht="15.75" x14ac:dyDescent="0.25">
      <c r="A725" s="25" t="s">
        <v>274</v>
      </c>
      <c r="B725" s="20" t="s">
        <v>264</v>
      </c>
      <c r="C725" s="20" t="s">
        <v>215</v>
      </c>
      <c r="D725" s="20" t="s">
        <v>1239</v>
      </c>
      <c r="E725" s="20" t="s">
        <v>275</v>
      </c>
      <c r="F725" s="6">
        <f>'Пр.4 ведом.21'!G810</f>
        <v>664</v>
      </c>
    </row>
    <row r="726" spans="1:6" ht="31.7" hidden="1" customHeight="1" x14ac:dyDescent="0.25">
      <c r="A726" s="23" t="s">
        <v>1257</v>
      </c>
      <c r="B726" s="24" t="s">
        <v>264</v>
      </c>
      <c r="C726" s="24" t="s">
        <v>215</v>
      </c>
      <c r="D726" s="24" t="s">
        <v>1242</v>
      </c>
      <c r="E726" s="24"/>
      <c r="F726" s="4">
        <f>F727</f>
        <v>0</v>
      </c>
    </row>
    <row r="727" spans="1:6" ht="35.450000000000003" hidden="1" customHeight="1" x14ac:dyDescent="0.25">
      <c r="A727" s="45" t="s">
        <v>766</v>
      </c>
      <c r="B727" s="20" t="s">
        <v>264</v>
      </c>
      <c r="C727" s="20" t="s">
        <v>215</v>
      </c>
      <c r="D727" s="20" t="s">
        <v>1337</v>
      </c>
      <c r="E727" s="20"/>
      <c r="F727" s="6">
        <f>F728</f>
        <v>0</v>
      </c>
    </row>
    <row r="728" spans="1:6" ht="39.75" hidden="1" customHeight="1" x14ac:dyDescent="0.25">
      <c r="A728" s="31" t="s">
        <v>272</v>
      </c>
      <c r="B728" s="20" t="s">
        <v>264</v>
      </c>
      <c r="C728" s="20" t="s">
        <v>215</v>
      </c>
      <c r="D728" s="20" t="s">
        <v>1337</v>
      </c>
      <c r="E728" s="20" t="s">
        <v>273</v>
      </c>
      <c r="F728" s="6">
        <f>F729</f>
        <v>0</v>
      </c>
    </row>
    <row r="729" spans="1:6" ht="19.5" hidden="1" customHeight="1" x14ac:dyDescent="0.25">
      <c r="A729" s="31" t="s">
        <v>274</v>
      </c>
      <c r="B729" s="20" t="s">
        <v>264</v>
      </c>
      <c r="C729" s="20" t="s">
        <v>215</v>
      </c>
      <c r="D729" s="20" t="s">
        <v>1337</v>
      </c>
      <c r="E729" s="20" t="s">
        <v>275</v>
      </c>
      <c r="F729" s="6">
        <f>'Пр.4 ведом.21'!G814</f>
        <v>0</v>
      </c>
    </row>
    <row r="730" spans="1:6" ht="33" customHeight="1" x14ac:dyDescent="0.25">
      <c r="A730" s="218" t="s">
        <v>948</v>
      </c>
      <c r="B730" s="24" t="s">
        <v>264</v>
      </c>
      <c r="C730" s="24" t="s">
        <v>215</v>
      </c>
      <c r="D730" s="24" t="s">
        <v>1245</v>
      </c>
      <c r="E730" s="24"/>
      <c r="F730" s="4">
        <f>F731</f>
        <v>1100</v>
      </c>
    </row>
    <row r="731" spans="1:6" ht="38.1" customHeight="1" x14ac:dyDescent="0.25">
      <c r="A731" s="45" t="s">
        <v>764</v>
      </c>
      <c r="B731" s="20" t="s">
        <v>264</v>
      </c>
      <c r="C731" s="20" t="s">
        <v>215</v>
      </c>
      <c r="D731" s="20" t="s">
        <v>1246</v>
      </c>
      <c r="E731" s="20"/>
      <c r="F731" s="6">
        <f>F732</f>
        <v>1100</v>
      </c>
    </row>
    <row r="732" spans="1:6" ht="31.5" x14ac:dyDescent="0.25">
      <c r="A732" s="25" t="s">
        <v>272</v>
      </c>
      <c r="B732" s="20" t="s">
        <v>264</v>
      </c>
      <c r="C732" s="20" t="s">
        <v>215</v>
      </c>
      <c r="D732" s="20" t="s">
        <v>1246</v>
      </c>
      <c r="E732" s="20" t="s">
        <v>273</v>
      </c>
      <c r="F732" s="6">
        <f t="shared" ref="F732" si="84">F733</f>
        <v>1100</v>
      </c>
    </row>
    <row r="733" spans="1:6" ht="15.75" x14ac:dyDescent="0.25">
      <c r="A733" s="31" t="s">
        <v>274</v>
      </c>
      <c r="B733" s="20" t="s">
        <v>264</v>
      </c>
      <c r="C733" s="20" t="s">
        <v>215</v>
      </c>
      <c r="D733" s="20" t="s">
        <v>1246</v>
      </c>
      <c r="E733" s="20" t="s">
        <v>275</v>
      </c>
      <c r="F733" s="6">
        <f>'Пр.4 ведом.21'!G818</f>
        <v>1100</v>
      </c>
    </row>
    <row r="734" spans="1:6" s="457" customFormat="1" ht="47.25" x14ac:dyDescent="0.25">
      <c r="A734" s="34" t="s">
        <v>1748</v>
      </c>
      <c r="B734" s="465" t="s">
        <v>264</v>
      </c>
      <c r="C734" s="465" t="s">
        <v>215</v>
      </c>
      <c r="D734" s="465" t="s">
        <v>1749</v>
      </c>
      <c r="E734" s="465"/>
      <c r="F734" s="458">
        <f>F735</f>
        <v>324.92500000000001</v>
      </c>
    </row>
    <row r="735" spans="1:6" s="457" customFormat="1" ht="47.25" x14ac:dyDescent="0.25">
      <c r="A735" s="31" t="s">
        <v>1766</v>
      </c>
      <c r="B735" s="462" t="s">
        <v>264</v>
      </c>
      <c r="C735" s="462" t="s">
        <v>215</v>
      </c>
      <c r="D735" s="462" t="s">
        <v>1750</v>
      </c>
      <c r="E735" s="462"/>
      <c r="F735" s="459">
        <f>F736</f>
        <v>324.92500000000001</v>
      </c>
    </row>
    <row r="736" spans="1:6" s="457" customFormat="1" ht="31.5" x14ac:dyDescent="0.25">
      <c r="A736" s="466" t="s">
        <v>272</v>
      </c>
      <c r="B736" s="462" t="s">
        <v>264</v>
      </c>
      <c r="C736" s="462" t="s">
        <v>215</v>
      </c>
      <c r="D736" s="462" t="s">
        <v>1750</v>
      </c>
      <c r="E736" s="462" t="s">
        <v>273</v>
      </c>
      <c r="F736" s="459">
        <f>F737</f>
        <v>324.92500000000001</v>
      </c>
    </row>
    <row r="737" spans="1:6" s="457" customFormat="1" ht="31.5" x14ac:dyDescent="0.25">
      <c r="A737" s="31" t="s">
        <v>1751</v>
      </c>
      <c r="B737" s="462" t="s">
        <v>264</v>
      </c>
      <c r="C737" s="462" t="s">
        <v>215</v>
      </c>
      <c r="D737" s="462" t="s">
        <v>1750</v>
      </c>
      <c r="E737" s="462" t="s">
        <v>1752</v>
      </c>
      <c r="F737" s="459">
        <f>'Пр.4 ведом.21'!G822</f>
        <v>324.92500000000001</v>
      </c>
    </row>
    <row r="738" spans="1:6" s="203" customFormat="1" ht="34.5" customHeight="1" x14ac:dyDescent="0.25">
      <c r="A738" s="23" t="s">
        <v>1378</v>
      </c>
      <c r="B738" s="24" t="s">
        <v>264</v>
      </c>
      <c r="C738" s="24" t="s">
        <v>215</v>
      </c>
      <c r="D738" s="24" t="s">
        <v>267</v>
      </c>
      <c r="E738" s="24"/>
      <c r="F738" s="4">
        <f>F739+F753+F762+F766</f>
        <v>18089.620000000003</v>
      </c>
    </row>
    <row r="739" spans="1:6" s="203" customFormat="1" ht="36" customHeight="1" x14ac:dyDescent="0.25">
      <c r="A739" s="23" t="s">
        <v>1304</v>
      </c>
      <c r="B739" s="24" t="s">
        <v>264</v>
      </c>
      <c r="C739" s="24" t="s">
        <v>215</v>
      </c>
      <c r="D739" s="24" t="s">
        <v>1208</v>
      </c>
      <c r="E739" s="24"/>
      <c r="F739" s="4">
        <f>F740+F750+F747</f>
        <v>16445.52</v>
      </c>
    </row>
    <row r="740" spans="1:6" s="203" customFormat="1" ht="15.75" x14ac:dyDescent="0.25">
      <c r="A740" s="25" t="s">
        <v>800</v>
      </c>
      <c r="B740" s="20" t="s">
        <v>264</v>
      </c>
      <c r="C740" s="20" t="s">
        <v>215</v>
      </c>
      <c r="D740" s="20" t="s">
        <v>1209</v>
      </c>
      <c r="E740" s="20"/>
      <c r="F740" s="6">
        <f>F741+F743+F745</f>
        <v>8029.82</v>
      </c>
    </row>
    <row r="741" spans="1:6" s="203" customFormat="1" ht="78.75" x14ac:dyDescent="0.25">
      <c r="A741" s="25" t="s">
        <v>127</v>
      </c>
      <c r="B741" s="20" t="s">
        <v>264</v>
      </c>
      <c r="C741" s="20" t="s">
        <v>215</v>
      </c>
      <c r="D741" s="20" t="s">
        <v>1209</v>
      </c>
      <c r="E741" s="20" t="s">
        <v>128</v>
      </c>
      <c r="F741" s="6">
        <f>F742</f>
        <v>6013.12</v>
      </c>
    </row>
    <row r="742" spans="1:6" s="203" customFormat="1" ht="21.2" customHeight="1" x14ac:dyDescent="0.25">
      <c r="A742" s="46" t="s">
        <v>342</v>
      </c>
      <c r="B742" s="20" t="s">
        <v>264</v>
      </c>
      <c r="C742" s="20" t="s">
        <v>215</v>
      </c>
      <c r="D742" s="20" t="s">
        <v>1209</v>
      </c>
      <c r="E742" s="20" t="s">
        <v>209</v>
      </c>
      <c r="F742" s="6">
        <f>'Пр.4 ведом.21'!G324</f>
        <v>6013.12</v>
      </c>
    </row>
    <row r="743" spans="1:6" s="203" customFormat="1" ht="31.5" x14ac:dyDescent="0.25">
      <c r="A743" s="25" t="s">
        <v>131</v>
      </c>
      <c r="B743" s="20" t="s">
        <v>264</v>
      </c>
      <c r="C743" s="20" t="s">
        <v>215</v>
      </c>
      <c r="D743" s="20" t="s">
        <v>1209</v>
      </c>
      <c r="E743" s="20" t="s">
        <v>132</v>
      </c>
      <c r="F743" s="6">
        <f>F744</f>
        <v>1962.3</v>
      </c>
    </row>
    <row r="744" spans="1:6" s="203" customFormat="1" ht="31.5" x14ac:dyDescent="0.25">
      <c r="A744" s="25" t="s">
        <v>133</v>
      </c>
      <c r="B744" s="20" t="s">
        <v>264</v>
      </c>
      <c r="C744" s="20" t="s">
        <v>215</v>
      </c>
      <c r="D744" s="20" t="s">
        <v>1209</v>
      </c>
      <c r="E744" s="20" t="s">
        <v>134</v>
      </c>
      <c r="F744" s="6">
        <f>'Пр.4 ведом.21'!G326</f>
        <v>1962.3</v>
      </c>
    </row>
    <row r="745" spans="1:6" s="203" customFormat="1" ht="15.75" x14ac:dyDescent="0.25">
      <c r="A745" s="25" t="s">
        <v>135</v>
      </c>
      <c r="B745" s="20" t="s">
        <v>264</v>
      </c>
      <c r="C745" s="20" t="s">
        <v>215</v>
      </c>
      <c r="D745" s="20" t="s">
        <v>1209</v>
      </c>
      <c r="E745" s="20" t="s">
        <v>145</v>
      </c>
      <c r="F745" s="6">
        <f>F746</f>
        <v>54.400000000000006</v>
      </c>
    </row>
    <row r="746" spans="1:6" s="203" customFormat="1" ht="15.75" x14ac:dyDescent="0.25">
      <c r="A746" s="25" t="s">
        <v>704</v>
      </c>
      <c r="B746" s="20" t="s">
        <v>264</v>
      </c>
      <c r="C746" s="20" t="s">
        <v>215</v>
      </c>
      <c r="D746" s="20" t="s">
        <v>1209</v>
      </c>
      <c r="E746" s="20" t="s">
        <v>138</v>
      </c>
      <c r="F746" s="6">
        <f>'Пр.4 ведом.21'!G328</f>
        <v>54.400000000000006</v>
      </c>
    </row>
    <row r="747" spans="1:6" s="457" customFormat="1" ht="47.25" x14ac:dyDescent="0.25">
      <c r="A747" s="466" t="s">
        <v>1776</v>
      </c>
      <c r="B747" s="462" t="s">
        <v>264</v>
      </c>
      <c r="C747" s="462" t="s">
        <v>215</v>
      </c>
      <c r="D747" s="462" t="s">
        <v>1777</v>
      </c>
      <c r="E747" s="462"/>
      <c r="F747" s="459">
        <f>F748</f>
        <v>182.9</v>
      </c>
    </row>
    <row r="748" spans="1:6" s="457" customFormat="1" ht="78.75" x14ac:dyDescent="0.25">
      <c r="A748" s="466" t="s">
        <v>127</v>
      </c>
      <c r="B748" s="462" t="s">
        <v>264</v>
      </c>
      <c r="C748" s="462" t="s">
        <v>215</v>
      </c>
      <c r="D748" s="462" t="s">
        <v>1777</v>
      </c>
      <c r="E748" s="462" t="s">
        <v>128</v>
      </c>
      <c r="F748" s="459">
        <f>F749</f>
        <v>182.9</v>
      </c>
    </row>
    <row r="749" spans="1:6" s="457" customFormat="1" ht="31.5" x14ac:dyDescent="0.25">
      <c r="A749" s="46" t="s">
        <v>342</v>
      </c>
      <c r="B749" s="462" t="s">
        <v>264</v>
      </c>
      <c r="C749" s="462" t="s">
        <v>215</v>
      </c>
      <c r="D749" s="462" t="s">
        <v>1777</v>
      </c>
      <c r="E749" s="462" t="s">
        <v>209</v>
      </c>
      <c r="F749" s="459">
        <f>'Пр.4 ведом.21'!G331</f>
        <v>182.9</v>
      </c>
    </row>
    <row r="750" spans="1:6" s="203" customFormat="1" ht="31.5" x14ac:dyDescent="0.25">
      <c r="A750" s="31" t="s">
        <v>1522</v>
      </c>
      <c r="B750" s="20" t="s">
        <v>264</v>
      </c>
      <c r="C750" s="20" t="s">
        <v>215</v>
      </c>
      <c r="D750" s="20" t="s">
        <v>1494</v>
      </c>
      <c r="E750" s="20"/>
      <c r="F750" s="6">
        <f>F751</f>
        <v>8232.8000000000011</v>
      </c>
    </row>
    <row r="751" spans="1:6" s="203" customFormat="1" ht="78.75" x14ac:dyDescent="0.25">
      <c r="A751" s="25" t="s">
        <v>127</v>
      </c>
      <c r="B751" s="20" t="s">
        <v>264</v>
      </c>
      <c r="C751" s="20" t="s">
        <v>215</v>
      </c>
      <c r="D751" s="20" t="s">
        <v>1494</v>
      </c>
      <c r="E751" s="20" t="s">
        <v>128</v>
      </c>
      <c r="F751" s="6">
        <f>F752</f>
        <v>8232.8000000000011</v>
      </c>
    </row>
    <row r="752" spans="1:6" s="203" customFormat="1" ht="15.75" x14ac:dyDescent="0.25">
      <c r="A752" s="25" t="s">
        <v>208</v>
      </c>
      <c r="B752" s="20" t="s">
        <v>264</v>
      </c>
      <c r="C752" s="20" t="s">
        <v>215</v>
      </c>
      <c r="D752" s="20" t="s">
        <v>1494</v>
      </c>
      <c r="E752" s="20" t="s">
        <v>209</v>
      </c>
      <c r="F752" s="6">
        <f>'Пр.4 ведом.21'!G334</f>
        <v>8232.8000000000011</v>
      </c>
    </row>
    <row r="753" spans="1:6" s="203" customFormat="1" ht="31.5" x14ac:dyDescent="0.25">
      <c r="A753" s="215" t="s">
        <v>1307</v>
      </c>
      <c r="B753" s="24" t="s">
        <v>264</v>
      </c>
      <c r="C753" s="24" t="s">
        <v>215</v>
      </c>
      <c r="D753" s="24" t="s">
        <v>1210</v>
      </c>
      <c r="E753" s="24"/>
      <c r="F753" s="4">
        <f>F754+F757</f>
        <v>335.5</v>
      </c>
    </row>
    <row r="754" spans="1:6" s="203" customFormat="1" ht="31.5" x14ac:dyDescent="0.25">
      <c r="A754" s="195" t="s">
        <v>799</v>
      </c>
      <c r="B754" s="20" t="s">
        <v>264</v>
      </c>
      <c r="C754" s="20" t="s">
        <v>215</v>
      </c>
      <c r="D754" s="20" t="s">
        <v>1211</v>
      </c>
      <c r="E754" s="20"/>
      <c r="F754" s="6">
        <f>F755</f>
        <v>45</v>
      </c>
    </row>
    <row r="755" spans="1:6" s="203" customFormat="1" ht="20.25" customHeight="1" x14ac:dyDescent="0.25">
      <c r="A755" s="25" t="s">
        <v>248</v>
      </c>
      <c r="B755" s="20" t="s">
        <v>264</v>
      </c>
      <c r="C755" s="20" t="s">
        <v>215</v>
      </c>
      <c r="D755" s="20" t="s">
        <v>1211</v>
      </c>
      <c r="E755" s="20" t="s">
        <v>249</v>
      </c>
      <c r="F755" s="6">
        <f>F756</f>
        <v>45</v>
      </c>
    </row>
    <row r="756" spans="1:6" s="203" customFormat="1" ht="15.75" x14ac:dyDescent="0.25">
      <c r="A756" s="25" t="s">
        <v>820</v>
      </c>
      <c r="B756" s="20" t="s">
        <v>264</v>
      </c>
      <c r="C756" s="20" t="s">
        <v>215</v>
      </c>
      <c r="D756" s="20" t="s">
        <v>1211</v>
      </c>
      <c r="E756" s="20" t="s">
        <v>819</v>
      </c>
      <c r="F756" s="6">
        <f>'Пр.4 ведом.21'!G338</f>
        <v>45</v>
      </c>
    </row>
    <row r="757" spans="1:6" ht="31.5" x14ac:dyDescent="0.25">
      <c r="A757" s="31" t="s">
        <v>816</v>
      </c>
      <c r="B757" s="20" t="s">
        <v>264</v>
      </c>
      <c r="C757" s="20" t="s">
        <v>215</v>
      </c>
      <c r="D757" s="20" t="s">
        <v>1212</v>
      </c>
      <c r="E757" s="20"/>
      <c r="F757" s="6">
        <f>F758+F760</f>
        <v>290.5</v>
      </c>
    </row>
    <row r="758" spans="1:6" ht="78.75" x14ac:dyDescent="0.25">
      <c r="A758" s="25" t="s">
        <v>127</v>
      </c>
      <c r="B758" s="20" t="s">
        <v>264</v>
      </c>
      <c r="C758" s="20" t="s">
        <v>215</v>
      </c>
      <c r="D758" s="20" t="s">
        <v>1212</v>
      </c>
      <c r="E758" s="20" t="s">
        <v>128</v>
      </c>
      <c r="F758" s="6">
        <f>F759</f>
        <v>290.5</v>
      </c>
    </row>
    <row r="759" spans="1:6" s="203" customFormat="1" ht="18.75" customHeight="1" x14ac:dyDescent="0.25">
      <c r="A759" s="46" t="s">
        <v>342</v>
      </c>
      <c r="B759" s="20" t="s">
        <v>264</v>
      </c>
      <c r="C759" s="20" t="s">
        <v>215</v>
      </c>
      <c r="D759" s="20" t="s">
        <v>1212</v>
      </c>
      <c r="E759" s="20" t="s">
        <v>209</v>
      </c>
      <c r="F759" s="6">
        <f>'Пр.4 ведом.21'!G341</f>
        <v>290.5</v>
      </c>
    </row>
    <row r="760" spans="1:6" s="203" customFormat="1" ht="31.5" hidden="1" x14ac:dyDescent="0.25">
      <c r="A760" s="25" t="s">
        <v>131</v>
      </c>
      <c r="B760" s="20" t="s">
        <v>264</v>
      </c>
      <c r="C760" s="20" t="s">
        <v>215</v>
      </c>
      <c r="D760" s="20" t="s">
        <v>1212</v>
      </c>
      <c r="E760" s="20" t="s">
        <v>132</v>
      </c>
      <c r="F760" s="6">
        <f>F761</f>
        <v>0</v>
      </c>
    </row>
    <row r="761" spans="1:6" s="203" customFormat="1" ht="31.5" hidden="1" x14ac:dyDescent="0.25">
      <c r="A761" s="25" t="s">
        <v>133</v>
      </c>
      <c r="B761" s="20" t="s">
        <v>264</v>
      </c>
      <c r="C761" s="20" t="s">
        <v>215</v>
      </c>
      <c r="D761" s="20" t="s">
        <v>1212</v>
      </c>
      <c r="E761" s="20" t="s">
        <v>134</v>
      </c>
      <c r="F761" s="6">
        <f>'Пр.4 ведом.21'!G343</f>
        <v>0</v>
      </c>
    </row>
    <row r="762" spans="1:6" s="203" customFormat="1" ht="31.5" x14ac:dyDescent="0.25">
      <c r="A762" s="23" t="s">
        <v>947</v>
      </c>
      <c r="B762" s="24" t="s">
        <v>264</v>
      </c>
      <c r="C762" s="24" t="s">
        <v>215</v>
      </c>
      <c r="D762" s="24" t="s">
        <v>1213</v>
      </c>
      <c r="E762" s="24"/>
      <c r="F762" s="4">
        <f>F763</f>
        <v>233.20000000000002</v>
      </c>
    </row>
    <row r="763" spans="1:6" s="203" customFormat="1" ht="47.25" x14ac:dyDescent="0.25">
      <c r="A763" s="25" t="s">
        <v>839</v>
      </c>
      <c r="B763" s="20" t="s">
        <v>264</v>
      </c>
      <c r="C763" s="20" t="s">
        <v>215</v>
      </c>
      <c r="D763" s="20" t="s">
        <v>1214</v>
      </c>
      <c r="E763" s="20"/>
      <c r="F763" s="6">
        <f>F764</f>
        <v>233.20000000000002</v>
      </c>
    </row>
    <row r="764" spans="1:6" s="203" customFormat="1" ht="78.75" x14ac:dyDescent="0.25">
      <c r="A764" s="25" t="s">
        <v>127</v>
      </c>
      <c r="B764" s="20" t="s">
        <v>264</v>
      </c>
      <c r="C764" s="20" t="s">
        <v>215</v>
      </c>
      <c r="D764" s="20" t="s">
        <v>1214</v>
      </c>
      <c r="E764" s="20" t="s">
        <v>128</v>
      </c>
      <c r="F764" s="6">
        <f>F765</f>
        <v>233.20000000000002</v>
      </c>
    </row>
    <row r="765" spans="1:6" s="203" customFormat="1" ht="31.5" x14ac:dyDescent="0.25">
      <c r="A765" s="25" t="s">
        <v>129</v>
      </c>
      <c r="B765" s="20" t="s">
        <v>264</v>
      </c>
      <c r="C765" s="20" t="s">
        <v>215</v>
      </c>
      <c r="D765" s="20" t="s">
        <v>1214</v>
      </c>
      <c r="E765" s="20" t="s">
        <v>209</v>
      </c>
      <c r="F765" s="6">
        <f>'Пр.4 ведом.21'!G347</f>
        <v>233.20000000000002</v>
      </c>
    </row>
    <row r="766" spans="1:6" s="203" customFormat="1" ht="47.25" x14ac:dyDescent="0.25">
      <c r="A766" s="23" t="s">
        <v>900</v>
      </c>
      <c r="B766" s="24" t="s">
        <v>264</v>
      </c>
      <c r="C766" s="24" t="s">
        <v>215</v>
      </c>
      <c r="D766" s="24" t="s">
        <v>1215</v>
      </c>
      <c r="E766" s="24"/>
      <c r="F766" s="4">
        <f>F770+F773+F767</f>
        <v>1075.4000000000001</v>
      </c>
    </row>
    <row r="767" spans="1:6" s="203" customFormat="1" ht="94.5" x14ac:dyDescent="0.25">
      <c r="A767" s="31" t="s">
        <v>293</v>
      </c>
      <c r="B767" s="20" t="s">
        <v>264</v>
      </c>
      <c r="C767" s="20" t="s">
        <v>215</v>
      </c>
      <c r="D767" s="20" t="s">
        <v>1414</v>
      </c>
      <c r="E767" s="20"/>
      <c r="F767" s="6">
        <f>F768</f>
        <v>671</v>
      </c>
    </row>
    <row r="768" spans="1:6" s="203" customFormat="1" ht="78.75" x14ac:dyDescent="0.25">
      <c r="A768" s="25" t="s">
        <v>127</v>
      </c>
      <c r="B768" s="20" t="s">
        <v>264</v>
      </c>
      <c r="C768" s="20" t="s">
        <v>215</v>
      </c>
      <c r="D768" s="20" t="s">
        <v>1414</v>
      </c>
      <c r="E768" s="20" t="s">
        <v>128</v>
      </c>
      <c r="F768" s="6">
        <f>F769</f>
        <v>671</v>
      </c>
    </row>
    <row r="769" spans="1:6" s="203" customFormat="1" ht="22.7" customHeight="1" x14ac:dyDescent="0.25">
      <c r="A769" s="46" t="s">
        <v>342</v>
      </c>
      <c r="B769" s="20" t="s">
        <v>264</v>
      </c>
      <c r="C769" s="20" t="s">
        <v>215</v>
      </c>
      <c r="D769" s="20" t="s">
        <v>1414</v>
      </c>
      <c r="E769" s="20" t="s">
        <v>209</v>
      </c>
      <c r="F769" s="6">
        <f>'Пр.4 ведом.21'!G351</f>
        <v>671</v>
      </c>
    </row>
    <row r="770" spans="1:6" s="203" customFormat="1" ht="63" x14ac:dyDescent="0.25">
      <c r="A770" s="31" t="s">
        <v>289</v>
      </c>
      <c r="B770" s="20" t="s">
        <v>264</v>
      </c>
      <c r="C770" s="20" t="s">
        <v>215</v>
      </c>
      <c r="D770" s="20" t="s">
        <v>1216</v>
      </c>
      <c r="E770" s="20"/>
      <c r="F770" s="6">
        <f>F771</f>
        <v>106</v>
      </c>
    </row>
    <row r="771" spans="1:6" s="203" customFormat="1" ht="78.75" x14ac:dyDescent="0.25">
      <c r="A771" s="25" t="s">
        <v>127</v>
      </c>
      <c r="B771" s="20" t="s">
        <v>264</v>
      </c>
      <c r="C771" s="20" t="s">
        <v>215</v>
      </c>
      <c r="D771" s="20" t="s">
        <v>1216</v>
      </c>
      <c r="E771" s="20" t="s">
        <v>128</v>
      </c>
      <c r="F771" s="6">
        <f>F772</f>
        <v>106</v>
      </c>
    </row>
    <row r="772" spans="1:6" s="203" customFormat="1" ht="21.2" customHeight="1" x14ac:dyDescent="0.25">
      <c r="A772" s="46" t="s">
        <v>342</v>
      </c>
      <c r="B772" s="20" t="s">
        <v>264</v>
      </c>
      <c r="C772" s="20" t="s">
        <v>215</v>
      </c>
      <c r="D772" s="20" t="s">
        <v>1216</v>
      </c>
      <c r="E772" s="20" t="s">
        <v>209</v>
      </c>
      <c r="F772" s="6">
        <f>'Пр.4 ведом.21'!G354</f>
        <v>106</v>
      </c>
    </row>
    <row r="773" spans="1:6" s="203" customFormat="1" ht="63" x14ac:dyDescent="0.25">
      <c r="A773" s="31" t="s">
        <v>291</v>
      </c>
      <c r="B773" s="20" t="s">
        <v>264</v>
      </c>
      <c r="C773" s="20" t="s">
        <v>215</v>
      </c>
      <c r="D773" s="20" t="s">
        <v>1217</v>
      </c>
      <c r="E773" s="20"/>
      <c r="F773" s="6">
        <f>F774</f>
        <v>298.40000000000003</v>
      </c>
    </row>
    <row r="774" spans="1:6" s="203" customFormat="1" ht="78.75" x14ac:dyDescent="0.25">
      <c r="A774" s="25" t="s">
        <v>127</v>
      </c>
      <c r="B774" s="20" t="s">
        <v>264</v>
      </c>
      <c r="C774" s="20" t="s">
        <v>215</v>
      </c>
      <c r="D774" s="20" t="s">
        <v>1217</v>
      </c>
      <c r="E774" s="20" t="s">
        <v>128</v>
      </c>
      <c r="F774" s="6">
        <f>F775</f>
        <v>298.40000000000003</v>
      </c>
    </row>
    <row r="775" spans="1:6" s="203" customFormat="1" ht="21.2" customHeight="1" x14ac:dyDescent="0.25">
      <c r="A775" s="46" t="s">
        <v>342</v>
      </c>
      <c r="B775" s="20" t="s">
        <v>264</v>
      </c>
      <c r="C775" s="20" t="s">
        <v>215</v>
      </c>
      <c r="D775" s="20" t="s">
        <v>1217</v>
      </c>
      <c r="E775" s="20" t="s">
        <v>209</v>
      </c>
      <c r="F775" s="6">
        <f>'Пр.4 ведом.21'!G357</f>
        <v>298.40000000000003</v>
      </c>
    </row>
    <row r="776" spans="1:6" s="203" customFormat="1" ht="45.75" customHeight="1" x14ac:dyDescent="0.25">
      <c r="A776" s="34" t="s">
        <v>1368</v>
      </c>
      <c r="B776" s="24" t="s">
        <v>264</v>
      </c>
      <c r="C776" s="24" t="s">
        <v>215</v>
      </c>
      <c r="D776" s="24" t="s">
        <v>324</v>
      </c>
      <c r="E776" s="24"/>
      <c r="F776" s="21">
        <f>F778</f>
        <v>9.5</v>
      </c>
    </row>
    <row r="777" spans="1:6" s="203" customFormat="1" ht="63.2" customHeight="1" x14ac:dyDescent="0.25">
      <c r="A777" s="34" t="s">
        <v>1025</v>
      </c>
      <c r="B777" s="24" t="s">
        <v>264</v>
      </c>
      <c r="C777" s="24" t="s">
        <v>215</v>
      </c>
      <c r="D777" s="24" t="s">
        <v>934</v>
      </c>
      <c r="E777" s="24"/>
      <c r="F777" s="21">
        <f>F780</f>
        <v>9.5</v>
      </c>
    </row>
    <row r="778" spans="1:6" s="203" customFormat="1" ht="51" customHeight="1" x14ac:dyDescent="0.25">
      <c r="A778" s="31" t="s">
        <v>1083</v>
      </c>
      <c r="B778" s="20" t="s">
        <v>264</v>
      </c>
      <c r="C778" s="20" t="s">
        <v>215</v>
      </c>
      <c r="D778" s="20" t="s">
        <v>1026</v>
      </c>
      <c r="E778" s="20"/>
      <c r="F778" s="26">
        <f>F779</f>
        <v>9.5</v>
      </c>
    </row>
    <row r="779" spans="1:6" s="203" customFormat="1" ht="39.4" customHeight="1" x14ac:dyDescent="0.25">
      <c r="A779" s="25" t="s">
        <v>131</v>
      </c>
      <c r="B779" s="20" t="s">
        <v>264</v>
      </c>
      <c r="C779" s="20" t="s">
        <v>215</v>
      </c>
      <c r="D779" s="20" t="s">
        <v>1026</v>
      </c>
      <c r="E779" s="20" t="s">
        <v>132</v>
      </c>
      <c r="F779" s="26">
        <f>F780</f>
        <v>9.5</v>
      </c>
    </row>
    <row r="780" spans="1:6" s="203" customFormat="1" ht="35.450000000000003" customHeight="1" x14ac:dyDescent="0.25">
      <c r="A780" s="25" t="s">
        <v>133</v>
      </c>
      <c r="B780" s="20" t="s">
        <v>264</v>
      </c>
      <c r="C780" s="20" t="s">
        <v>215</v>
      </c>
      <c r="D780" s="20" t="s">
        <v>1026</v>
      </c>
      <c r="E780" s="20" t="s">
        <v>134</v>
      </c>
      <c r="F780" s="26">
        <f>'Пр.4 ведом.21'!G362</f>
        <v>9.5</v>
      </c>
    </row>
    <row r="781" spans="1:6" s="203" customFormat="1" ht="47.25" x14ac:dyDescent="0.25">
      <c r="A781" s="41" t="s">
        <v>1363</v>
      </c>
      <c r="B781" s="24" t="s">
        <v>264</v>
      </c>
      <c r="C781" s="24" t="s">
        <v>215</v>
      </c>
      <c r="D781" s="24" t="s">
        <v>705</v>
      </c>
      <c r="E781" s="24"/>
      <c r="F781" s="4">
        <f>F782</f>
        <v>790.7</v>
      </c>
    </row>
    <row r="782" spans="1:6" s="203" customFormat="1" ht="47.25" x14ac:dyDescent="0.25">
      <c r="A782" s="41" t="s">
        <v>890</v>
      </c>
      <c r="B782" s="24" t="s">
        <v>264</v>
      </c>
      <c r="C782" s="24" t="s">
        <v>215</v>
      </c>
      <c r="D782" s="24" t="s">
        <v>888</v>
      </c>
      <c r="E782" s="24"/>
      <c r="F782" s="4">
        <f>F783+F786</f>
        <v>790.7</v>
      </c>
    </row>
    <row r="783" spans="1:6" s="203" customFormat="1" ht="35.450000000000003" customHeight="1" x14ac:dyDescent="0.25">
      <c r="A783" s="98" t="s">
        <v>1004</v>
      </c>
      <c r="B783" s="20" t="s">
        <v>264</v>
      </c>
      <c r="C783" s="20" t="s">
        <v>215</v>
      </c>
      <c r="D783" s="20" t="s">
        <v>889</v>
      </c>
      <c r="E783" s="32"/>
      <c r="F783" s="6">
        <f>F784</f>
        <v>494.4</v>
      </c>
    </row>
    <row r="784" spans="1:6" s="203" customFormat="1" ht="31.5" x14ac:dyDescent="0.25">
      <c r="A784" s="25" t="s">
        <v>131</v>
      </c>
      <c r="B784" s="20" t="s">
        <v>264</v>
      </c>
      <c r="C784" s="20" t="s">
        <v>215</v>
      </c>
      <c r="D784" s="20" t="s">
        <v>889</v>
      </c>
      <c r="E784" s="32" t="s">
        <v>132</v>
      </c>
      <c r="F784" s="6">
        <f>F785</f>
        <v>494.4</v>
      </c>
    </row>
    <row r="785" spans="1:6" s="203" customFormat="1" ht="36.75" customHeight="1" x14ac:dyDescent="0.25">
      <c r="A785" s="25" t="s">
        <v>133</v>
      </c>
      <c r="B785" s="20" t="s">
        <v>264</v>
      </c>
      <c r="C785" s="20" t="s">
        <v>215</v>
      </c>
      <c r="D785" s="20" t="s">
        <v>889</v>
      </c>
      <c r="E785" s="32" t="s">
        <v>134</v>
      </c>
      <c r="F785" s="6">
        <f>'Пр.4 ведом.21'!G367</f>
        <v>494.4</v>
      </c>
    </row>
    <row r="786" spans="1:6" s="203" customFormat="1" ht="47.25" x14ac:dyDescent="0.25">
      <c r="A786" s="98" t="s">
        <v>780</v>
      </c>
      <c r="B786" s="20" t="s">
        <v>264</v>
      </c>
      <c r="C786" s="20" t="s">
        <v>215</v>
      </c>
      <c r="D786" s="20" t="s">
        <v>936</v>
      </c>
      <c r="E786" s="32"/>
      <c r="F786" s="6">
        <f>F787</f>
        <v>296.3</v>
      </c>
    </row>
    <row r="787" spans="1:6" s="203" customFormat="1" ht="31.5" x14ac:dyDescent="0.25">
      <c r="A787" s="29" t="s">
        <v>272</v>
      </c>
      <c r="B787" s="20" t="s">
        <v>264</v>
      </c>
      <c r="C787" s="20" t="s">
        <v>215</v>
      </c>
      <c r="D787" s="20" t="s">
        <v>936</v>
      </c>
      <c r="E787" s="32" t="s">
        <v>273</v>
      </c>
      <c r="F787" s="6">
        <f>F788</f>
        <v>296.3</v>
      </c>
    </row>
    <row r="788" spans="1:6" s="203" customFormat="1" ht="15.75" x14ac:dyDescent="0.25">
      <c r="A788" s="182" t="s">
        <v>274</v>
      </c>
      <c r="B788" s="20" t="s">
        <v>264</v>
      </c>
      <c r="C788" s="20" t="s">
        <v>215</v>
      </c>
      <c r="D788" s="20" t="s">
        <v>936</v>
      </c>
      <c r="E788" s="32" t="s">
        <v>275</v>
      </c>
      <c r="F788" s="6">
        <f>'Пр.4 ведом.21'!G827</f>
        <v>296.3</v>
      </c>
    </row>
    <row r="789" spans="1:6" s="203" customFormat="1" ht="15.75" x14ac:dyDescent="0.25">
      <c r="A789" s="23" t="s">
        <v>466</v>
      </c>
      <c r="B789" s="24" t="s">
        <v>264</v>
      </c>
      <c r="C789" s="24" t="s">
        <v>264</v>
      </c>
      <c r="D789" s="24"/>
      <c r="E789" s="221"/>
      <c r="F789" s="4">
        <f>F790+F812</f>
        <v>7096.4500000000007</v>
      </c>
    </row>
    <row r="790" spans="1:6" s="203" customFormat="1" ht="47.25" x14ac:dyDescent="0.25">
      <c r="A790" s="23" t="s">
        <v>1389</v>
      </c>
      <c r="B790" s="24" t="s">
        <v>264</v>
      </c>
      <c r="C790" s="24" t="s">
        <v>264</v>
      </c>
      <c r="D790" s="24" t="s">
        <v>344</v>
      </c>
      <c r="E790" s="24"/>
      <c r="F790" s="4">
        <f>F791</f>
        <v>1052.55</v>
      </c>
    </row>
    <row r="791" spans="1:6" s="203" customFormat="1" ht="31.5" x14ac:dyDescent="0.25">
      <c r="A791" s="23" t="s">
        <v>345</v>
      </c>
      <c r="B791" s="24" t="s">
        <v>264</v>
      </c>
      <c r="C791" s="24" t="s">
        <v>264</v>
      </c>
      <c r="D791" s="24" t="s">
        <v>346</v>
      </c>
      <c r="E791" s="24"/>
      <c r="F791" s="4">
        <f>F792+F799+F808</f>
        <v>1052.55</v>
      </c>
    </row>
    <row r="792" spans="1:6" s="203" customFormat="1" ht="47.25" x14ac:dyDescent="0.25">
      <c r="A792" s="210" t="s">
        <v>1031</v>
      </c>
      <c r="B792" s="24" t="s">
        <v>264</v>
      </c>
      <c r="C792" s="24" t="s">
        <v>264</v>
      </c>
      <c r="D792" s="24" t="s">
        <v>892</v>
      </c>
      <c r="E792" s="24"/>
      <c r="F792" s="4">
        <f>F793+F796</f>
        <v>267.3</v>
      </c>
    </row>
    <row r="793" spans="1:6" s="203" customFormat="1" ht="31.5" x14ac:dyDescent="0.25">
      <c r="A793" s="98" t="s">
        <v>1037</v>
      </c>
      <c r="B793" s="20" t="s">
        <v>264</v>
      </c>
      <c r="C793" s="20" t="s">
        <v>264</v>
      </c>
      <c r="D793" s="20" t="s">
        <v>893</v>
      </c>
      <c r="E793" s="20"/>
      <c r="F793" s="6">
        <f>F794</f>
        <v>267.3</v>
      </c>
    </row>
    <row r="794" spans="1:6" s="203" customFormat="1" ht="78.75" x14ac:dyDescent="0.25">
      <c r="A794" s="25" t="s">
        <v>127</v>
      </c>
      <c r="B794" s="20" t="s">
        <v>264</v>
      </c>
      <c r="C794" s="20" t="s">
        <v>264</v>
      </c>
      <c r="D794" s="20" t="s">
        <v>893</v>
      </c>
      <c r="E794" s="20" t="s">
        <v>128</v>
      </c>
      <c r="F794" s="6">
        <f>F795</f>
        <v>267.3</v>
      </c>
    </row>
    <row r="795" spans="1:6" s="203" customFormat="1" ht="17.45" customHeight="1" x14ac:dyDescent="0.25">
      <c r="A795" s="25" t="s">
        <v>342</v>
      </c>
      <c r="B795" s="20" t="s">
        <v>264</v>
      </c>
      <c r="C795" s="20" t="s">
        <v>264</v>
      </c>
      <c r="D795" s="20" t="s">
        <v>893</v>
      </c>
      <c r="E795" s="20" t="s">
        <v>209</v>
      </c>
      <c r="F795" s="6">
        <f>'Пр.4 ведом.21'!G374</f>
        <v>267.3</v>
      </c>
    </row>
    <row r="796" spans="1:6" s="203" customFormat="1" ht="19.5" hidden="1" customHeight="1" x14ac:dyDescent="0.25">
      <c r="A796" s="25" t="s">
        <v>1032</v>
      </c>
      <c r="B796" s="20" t="s">
        <v>264</v>
      </c>
      <c r="C796" s="20" t="s">
        <v>264</v>
      </c>
      <c r="D796" s="20" t="s">
        <v>1049</v>
      </c>
      <c r="E796" s="20"/>
      <c r="F796" s="6">
        <f>F797</f>
        <v>0</v>
      </c>
    </row>
    <row r="797" spans="1:6" s="203" customFormat="1" ht="31.5" hidden="1" x14ac:dyDescent="0.25">
      <c r="A797" s="25" t="s">
        <v>131</v>
      </c>
      <c r="B797" s="20" t="s">
        <v>264</v>
      </c>
      <c r="C797" s="20" t="s">
        <v>264</v>
      </c>
      <c r="D797" s="20" t="s">
        <v>1049</v>
      </c>
      <c r="E797" s="20" t="s">
        <v>132</v>
      </c>
      <c r="F797" s="6">
        <f>F798</f>
        <v>0</v>
      </c>
    </row>
    <row r="798" spans="1:6" s="203" customFormat="1" ht="31.5" hidden="1" x14ac:dyDescent="0.25">
      <c r="A798" s="25" t="s">
        <v>133</v>
      </c>
      <c r="B798" s="20" t="s">
        <v>264</v>
      </c>
      <c r="C798" s="20" t="s">
        <v>264</v>
      </c>
      <c r="D798" s="20" t="s">
        <v>1049</v>
      </c>
      <c r="E798" s="20" t="s">
        <v>134</v>
      </c>
      <c r="F798" s="6">
        <f>'Пр.4 ведом.21'!G377</f>
        <v>0</v>
      </c>
    </row>
    <row r="799" spans="1:6" s="203" customFormat="1" ht="63" x14ac:dyDescent="0.25">
      <c r="A799" s="23" t="s">
        <v>1033</v>
      </c>
      <c r="B799" s="24" t="s">
        <v>264</v>
      </c>
      <c r="C799" s="24" t="s">
        <v>264</v>
      </c>
      <c r="D799" s="24" t="s">
        <v>894</v>
      </c>
      <c r="E799" s="24"/>
      <c r="F799" s="4">
        <f>F800+F805</f>
        <v>760.25</v>
      </c>
    </row>
    <row r="800" spans="1:6" s="203" customFormat="1" ht="15.75" x14ac:dyDescent="0.25">
      <c r="A800" s="25" t="s">
        <v>1034</v>
      </c>
      <c r="B800" s="20" t="s">
        <v>264</v>
      </c>
      <c r="C800" s="20" t="s">
        <v>264</v>
      </c>
      <c r="D800" s="20" t="s">
        <v>901</v>
      </c>
      <c r="E800" s="20"/>
      <c r="F800" s="6">
        <f>F801+F803</f>
        <v>462.02299999999997</v>
      </c>
    </row>
    <row r="801" spans="1:6" s="203" customFormat="1" ht="78.75" x14ac:dyDescent="0.25">
      <c r="A801" s="25" t="s">
        <v>127</v>
      </c>
      <c r="B801" s="20" t="s">
        <v>264</v>
      </c>
      <c r="C801" s="20" t="s">
        <v>264</v>
      </c>
      <c r="D801" s="20" t="s">
        <v>901</v>
      </c>
      <c r="E801" s="20" t="s">
        <v>128</v>
      </c>
      <c r="F801" s="6">
        <f>F802</f>
        <v>18.623000000000001</v>
      </c>
    </row>
    <row r="802" spans="1:6" s="203" customFormat="1" ht="18.75" customHeight="1" x14ac:dyDescent="0.25">
      <c r="A802" s="25" t="s">
        <v>342</v>
      </c>
      <c r="B802" s="20" t="s">
        <v>264</v>
      </c>
      <c r="C802" s="20" t="s">
        <v>264</v>
      </c>
      <c r="D802" s="20" t="s">
        <v>901</v>
      </c>
      <c r="E802" s="20" t="s">
        <v>209</v>
      </c>
      <c r="F802" s="6">
        <f>'Пр.4 ведом.21'!G381</f>
        <v>18.623000000000001</v>
      </c>
    </row>
    <row r="803" spans="1:6" s="203" customFormat="1" ht="31.5" x14ac:dyDescent="0.25">
      <c r="A803" s="25" t="s">
        <v>131</v>
      </c>
      <c r="B803" s="20" t="s">
        <v>264</v>
      </c>
      <c r="C803" s="20" t="s">
        <v>264</v>
      </c>
      <c r="D803" s="20" t="s">
        <v>901</v>
      </c>
      <c r="E803" s="20" t="s">
        <v>132</v>
      </c>
      <c r="F803" s="6">
        <f>F804</f>
        <v>443.4</v>
      </c>
    </row>
    <row r="804" spans="1:6" s="203" customFormat="1" ht="31.5" x14ac:dyDescent="0.25">
      <c r="A804" s="25" t="s">
        <v>133</v>
      </c>
      <c r="B804" s="20" t="s">
        <v>264</v>
      </c>
      <c r="C804" s="20" t="s">
        <v>264</v>
      </c>
      <c r="D804" s="20" t="s">
        <v>901</v>
      </c>
      <c r="E804" s="20" t="s">
        <v>134</v>
      </c>
      <c r="F804" s="6">
        <f>'Пр.4 ведом.21'!G383</f>
        <v>443.4</v>
      </c>
    </row>
    <row r="805" spans="1:6" s="457" customFormat="1" ht="15.75" x14ac:dyDescent="0.25">
      <c r="A805" s="466" t="s">
        <v>1767</v>
      </c>
      <c r="B805" s="462" t="s">
        <v>264</v>
      </c>
      <c r="C805" s="462" t="s">
        <v>264</v>
      </c>
      <c r="D805" s="462" t="s">
        <v>1768</v>
      </c>
      <c r="E805" s="462"/>
      <c r="F805" s="459">
        <f>F806</f>
        <v>298.22699999999998</v>
      </c>
    </row>
    <row r="806" spans="1:6" s="457" customFormat="1" ht="31.5" x14ac:dyDescent="0.25">
      <c r="A806" s="466" t="s">
        <v>131</v>
      </c>
      <c r="B806" s="462" t="s">
        <v>264</v>
      </c>
      <c r="C806" s="462" t="s">
        <v>264</v>
      </c>
      <c r="D806" s="462" t="s">
        <v>1768</v>
      </c>
      <c r="E806" s="462" t="s">
        <v>132</v>
      </c>
      <c r="F806" s="459">
        <f>F807</f>
        <v>298.22699999999998</v>
      </c>
    </row>
    <row r="807" spans="1:6" s="457" customFormat="1" ht="31.5" x14ac:dyDescent="0.25">
      <c r="A807" s="466" t="s">
        <v>133</v>
      </c>
      <c r="B807" s="462" t="s">
        <v>264</v>
      </c>
      <c r="C807" s="462" t="s">
        <v>264</v>
      </c>
      <c r="D807" s="462" t="s">
        <v>1768</v>
      </c>
      <c r="E807" s="462" t="s">
        <v>134</v>
      </c>
      <c r="F807" s="459">
        <f>'Пр.4 ведом.21'!G386</f>
        <v>298.22699999999998</v>
      </c>
    </row>
    <row r="808" spans="1:6" s="203" customFormat="1" ht="31.5" x14ac:dyDescent="0.25">
      <c r="A808" s="23" t="s">
        <v>1417</v>
      </c>
      <c r="B808" s="24" t="s">
        <v>264</v>
      </c>
      <c r="C808" s="24" t="s">
        <v>264</v>
      </c>
      <c r="D808" s="24" t="s">
        <v>1035</v>
      </c>
      <c r="E808" s="24"/>
      <c r="F808" s="4">
        <f>F809</f>
        <v>25</v>
      </c>
    </row>
    <row r="809" spans="1:6" s="203" customFormat="1" ht="47.25" x14ac:dyDescent="0.25">
      <c r="A809" s="230" t="s">
        <v>1036</v>
      </c>
      <c r="B809" s="20" t="s">
        <v>264</v>
      </c>
      <c r="C809" s="20" t="s">
        <v>264</v>
      </c>
      <c r="D809" s="20" t="s">
        <v>1050</v>
      </c>
      <c r="E809" s="20"/>
      <c r="F809" s="6">
        <f>F810</f>
        <v>25</v>
      </c>
    </row>
    <row r="810" spans="1:6" s="203" customFormat="1" ht="21.2" customHeight="1" x14ac:dyDescent="0.25">
      <c r="A810" s="25" t="s">
        <v>248</v>
      </c>
      <c r="B810" s="20" t="s">
        <v>264</v>
      </c>
      <c r="C810" s="20" t="s">
        <v>264</v>
      </c>
      <c r="D810" s="20" t="s">
        <v>1050</v>
      </c>
      <c r="E810" s="20" t="s">
        <v>249</v>
      </c>
      <c r="F810" s="6">
        <f>F811</f>
        <v>25</v>
      </c>
    </row>
    <row r="811" spans="1:6" s="203" customFormat="1" ht="31.5" x14ac:dyDescent="0.25">
      <c r="A811" s="25" t="s">
        <v>348</v>
      </c>
      <c r="B811" s="20" t="s">
        <v>264</v>
      </c>
      <c r="C811" s="20" t="s">
        <v>264</v>
      </c>
      <c r="D811" s="20" t="s">
        <v>1050</v>
      </c>
      <c r="E811" s="20" t="s">
        <v>349</v>
      </c>
      <c r="F811" s="6">
        <f>'Пр.4 ведом.21'!G390</f>
        <v>25</v>
      </c>
    </row>
    <row r="812" spans="1:6" ht="36.75" customHeight="1" x14ac:dyDescent="0.25">
      <c r="A812" s="23" t="s">
        <v>1367</v>
      </c>
      <c r="B812" s="24" t="s">
        <v>264</v>
      </c>
      <c r="C812" s="24" t="s">
        <v>264</v>
      </c>
      <c r="D812" s="24" t="s">
        <v>406</v>
      </c>
      <c r="E812" s="24"/>
      <c r="F812" s="4">
        <f>F813</f>
        <v>6043.9000000000005</v>
      </c>
    </row>
    <row r="813" spans="1:6" ht="31.5" x14ac:dyDescent="0.25">
      <c r="A813" s="23" t="s">
        <v>943</v>
      </c>
      <c r="B813" s="24" t="s">
        <v>264</v>
      </c>
      <c r="C813" s="24" t="s">
        <v>264</v>
      </c>
      <c r="D813" s="24" t="s">
        <v>1244</v>
      </c>
      <c r="E813" s="24"/>
      <c r="F813" s="4">
        <f>F814</f>
        <v>6043.9000000000005</v>
      </c>
    </row>
    <row r="814" spans="1:6" ht="42" customHeight="1" x14ac:dyDescent="0.25">
      <c r="A814" s="31" t="s">
        <v>1062</v>
      </c>
      <c r="B814" s="20" t="s">
        <v>264</v>
      </c>
      <c r="C814" s="20" t="s">
        <v>264</v>
      </c>
      <c r="D814" s="20" t="s">
        <v>1266</v>
      </c>
      <c r="E814" s="20"/>
      <c r="F814" s="6">
        <f>F815</f>
        <v>6043.9000000000005</v>
      </c>
    </row>
    <row r="815" spans="1:6" ht="35.450000000000003" customHeight="1" x14ac:dyDescent="0.25">
      <c r="A815" s="25" t="s">
        <v>272</v>
      </c>
      <c r="B815" s="20" t="s">
        <v>264</v>
      </c>
      <c r="C815" s="20" t="s">
        <v>264</v>
      </c>
      <c r="D815" s="20" t="s">
        <v>1266</v>
      </c>
      <c r="E815" s="20" t="s">
        <v>273</v>
      </c>
      <c r="F815" s="6">
        <f>F816</f>
        <v>6043.9000000000005</v>
      </c>
    </row>
    <row r="816" spans="1:6" ht="15.75" x14ac:dyDescent="0.25">
      <c r="A816" s="25" t="s">
        <v>274</v>
      </c>
      <c r="B816" s="20" t="s">
        <v>264</v>
      </c>
      <c r="C816" s="20" t="s">
        <v>264</v>
      </c>
      <c r="D816" s="20" t="s">
        <v>1266</v>
      </c>
      <c r="E816" s="20" t="s">
        <v>275</v>
      </c>
      <c r="F816" s="6">
        <f>'Пр.4 ведом.21'!G833</f>
        <v>6043.9000000000005</v>
      </c>
    </row>
    <row r="817" spans="1:6" ht="15" customHeight="1" x14ac:dyDescent="0.25">
      <c r="A817" s="23" t="s">
        <v>295</v>
      </c>
      <c r="B817" s="24" t="s">
        <v>264</v>
      </c>
      <c r="C817" s="24" t="s">
        <v>219</v>
      </c>
      <c r="D817" s="24"/>
      <c r="E817" s="24"/>
      <c r="F817" s="4">
        <f>F818+F831</f>
        <v>23055.641</v>
      </c>
    </row>
    <row r="818" spans="1:6" ht="31.5" x14ac:dyDescent="0.25">
      <c r="A818" s="23" t="s">
        <v>917</v>
      </c>
      <c r="B818" s="24" t="s">
        <v>264</v>
      </c>
      <c r="C818" s="24" t="s">
        <v>219</v>
      </c>
      <c r="D818" s="24" t="s">
        <v>858</v>
      </c>
      <c r="E818" s="24"/>
      <c r="F818" s="4">
        <f>F819</f>
        <v>6933.6795999999995</v>
      </c>
    </row>
    <row r="819" spans="1:6" ht="15.75" x14ac:dyDescent="0.25">
      <c r="A819" s="23" t="s">
        <v>918</v>
      </c>
      <c r="B819" s="24" t="s">
        <v>264</v>
      </c>
      <c r="C819" s="24" t="s">
        <v>219</v>
      </c>
      <c r="D819" s="24" t="s">
        <v>859</v>
      </c>
      <c r="E819" s="24"/>
      <c r="F819" s="4">
        <f>F820+F825+F828</f>
        <v>6933.6795999999995</v>
      </c>
    </row>
    <row r="820" spans="1:6" ht="31.5" x14ac:dyDescent="0.25">
      <c r="A820" s="25" t="s">
        <v>897</v>
      </c>
      <c r="B820" s="20" t="s">
        <v>264</v>
      </c>
      <c r="C820" s="20" t="s">
        <v>219</v>
      </c>
      <c r="D820" s="20" t="s">
        <v>860</v>
      </c>
      <c r="E820" s="20"/>
      <c r="F820" s="6">
        <f>F821+F823</f>
        <v>6420.5999999999995</v>
      </c>
    </row>
    <row r="821" spans="1:6" ht="78.75" x14ac:dyDescent="0.25">
      <c r="A821" s="25" t="s">
        <v>127</v>
      </c>
      <c r="B821" s="20" t="s">
        <v>264</v>
      </c>
      <c r="C821" s="20" t="s">
        <v>219</v>
      </c>
      <c r="D821" s="20" t="s">
        <v>860</v>
      </c>
      <c r="E821" s="20" t="s">
        <v>128</v>
      </c>
      <c r="F821" s="6">
        <f>F822</f>
        <v>6208.5999999999995</v>
      </c>
    </row>
    <row r="822" spans="1:6" ht="36.75" customHeight="1" x14ac:dyDescent="0.25">
      <c r="A822" s="25" t="s">
        <v>129</v>
      </c>
      <c r="B822" s="20" t="s">
        <v>264</v>
      </c>
      <c r="C822" s="20" t="s">
        <v>219</v>
      </c>
      <c r="D822" s="20" t="s">
        <v>860</v>
      </c>
      <c r="E822" s="20" t="s">
        <v>130</v>
      </c>
      <c r="F822" s="6">
        <f>'Пр.4 ведом.21'!G839</f>
        <v>6208.5999999999995</v>
      </c>
    </row>
    <row r="823" spans="1:6" ht="31.5" x14ac:dyDescent="0.25">
      <c r="A823" s="25" t="s">
        <v>131</v>
      </c>
      <c r="B823" s="20" t="s">
        <v>264</v>
      </c>
      <c r="C823" s="20" t="s">
        <v>219</v>
      </c>
      <c r="D823" s="20" t="s">
        <v>860</v>
      </c>
      <c r="E823" s="20" t="s">
        <v>132</v>
      </c>
      <c r="F823" s="6">
        <f>F824</f>
        <v>212</v>
      </c>
    </row>
    <row r="824" spans="1:6" ht="31.5" x14ac:dyDescent="0.25">
      <c r="A824" s="25" t="s">
        <v>133</v>
      </c>
      <c r="B824" s="20" t="s">
        <v>264</v>
      </c>
      <c r="C824" s="20" t="s">
        <v>219</v>
      </c>
      <c r="D824" s="20" t="s">
        <v>860</v>
      </c>
      <c r="E824" s="20" t="s">
        <v>134</v>
      </c>
      <c r="F824" s="6">
        <f>'Пр.4 ведом.21'!G841</f>
        <v>212</v>
      </c>
    </row>
    <row r="825" spans="1:6" ht="47.25" x14ac:dyDescent="0.25">
      <c r="A825" s="25" t="s">
        <v>839</v>
      </c>
      <c r="B825" s="20" t="s">
        <v>264</v>
      </c>
      <c r="C825" s="20" t="s">
        <v>219</v>
      </c>
      <c r="D825" s="20" t="s">
        <v>862</v>
      </c>
      <c r="E825" s="20"/>
      <c r="F825" s="6">
        <f>F826</f>
        <v>443.15</v>
      </c>
    </row>
    <row r="826" spans="1:6" ht="78.75" x14ac:dyDescent="0.25">
      <c r="A826" s="25" t="s">
        <v>127</v>
      </c>
      <c r="B826" s="20" t="s">
        <v>264</v>
      </c>
      <c r="C826" s="20" t="s">
        <v>219</v>
      </c>
      <c r="D826" s="20" t="s">
        <v>862</v>
      </c>
      <c r="E826" s="20" t="s">
        <v>128</v>
      </c>
      <c r="F826" s="6">
        <f>F827</f>
        <v>443.15</v>
      </c>
    </row>
    <row r="827" spans="1:6" ht="31.5" x14ac:dyDescent="0.25">
      <c r="A827" s="25" t="s">
        <v>129</v>
      </c>
      <c r="B827" s="20" t="s">
        <v>264</v>
      </c>
      <c r="C827" s="20" t="s">
        <v>219</v>
      </c>
      <c r="D827" s="20" t="s">
        <v>862</v>
      </c>
      <c r="E827" s="20" t="s">
        <v>130</v>
      </c>
      <c r="F827" s="6">
        <f>'Пр.4 ведом.21'!G844</f>
        <v>443.15</v>
      </c>
    </row>
    <row r="828" spans="1:6" s="457" customFormat="1" ht="31.5" x14ac:dyDescent="0.25">
      <c r="A828" s="466" t="s">
        <v>1793</v>
      </c>
      <c r="B828" s="462" t="s">
        <v>264</v>
      </c>
      <c r="C828" s="462" t="s">
        <v>219</v>
      </c>
      <c r="D828" s="462" t="s">
        <v>1794</v>
      </c>
      <c r="E828" s="462"/>
      <c r="F828" s="459">
        <f>F829</f>
        <v>69.929599999999994</v>
      </c>
    </row>
    <row r="829" spans="1:6" s="457" customFormat="1" ht="78.75" x14ac:dyDescent="0.25">
      <c r="A829" s="466" t="s">
        <v>127</v>
      </c>
      <c r="B829" s="462" t="s">
        <v>264</v>
      </c>
      <c r="C829" s="462" t="s">
        <v>219</v>
      </c>
      <c r="D829" s="462" t="s">
        <v>1794</v>
      </c>
      <c r="E829" s="462" t="s">
        <v>128</v>
      </c>
      <c r="F829" s="459">
        <f>F830</f>
        <v>69.929599999999994</v>
      </c>
    </row>
    <row r="830" spans="1:6" s="457" customFormat="1" ht="31.5" x14ac:dyDescent="0.25">
      <c r="A830" s="466" t="s">
        <v>129</v>
      </c>
      <c r="B830" s="462" t="s">
        <v>264</v>
      </c>
      <c r="C830" s="462" t="s">
        <v>219</v>
      </c>
      <c r="D830" s="462" t="s">
        <v>1794</v>
      </c>
      <c r="E830" s="462" t="s">
        <v>130</v>
      </c>
      <c r="F830" s="459">
        <f>'Пр.4 ведом.21'!G847</f>
        <v>69.929599999999994</v>
      </c>
    </row>
    <row r="831" spans="1:6" ht="15.75" x14ac:dyDescent="0.25">
      <c r="A831" s="23" t="s">
        <v>141</v>
      </c>
      <c r="B831" s="24" t="s">
        <v>264</v>
      </c>
      <c r="C831" s="24" t="s">
        <v>219</v>
      </c>
      <c r="D831" s="24" t="s">
        <v>866</v>
      </c>
      <c r="E831" s="24"/>
      <c r="F831" s="4">
        <f>F832+F841</f>
        <v>16121.9614</v>
      </c>
    </row>
    <row r="832" spans="1:6" ht="31.5" x14ac:dyDescent="0.25">
      <c r="A832" s="23" t="s">
        <v>870</v>
      </c>
      <c r="B832" s="24" t="s">
        <v>264</v>
      </c>
      <c r="C832" s="24" t="s">
        <v>219</v>
      </c>
      <c r="D832" s="24" t="s">
        <v>865</v>
      </c>
      <c r="E832" s="24"/>
      <c r="F832" s="4">
        <f>F836+F833</f>
        <v>770.5</v>
      </c>
    </row>
    <row r="833" spans="1:6" s="457" customFormat="1" ht="47.25" x14ac:dyDescent="0.25">
      <c r="A833" s="31" t="s">
        <v>1687</v>
      </c>
      <c r="B833" s="462" t="s">
        <v>264</v>
      </c>
      <c r="C833" s="462" t="s">
        <v>219</v>
      </c>
      <c r="D833" s="462" t="s">
        <v>1686</v>
      </c>
      <c r="E833" s="462"/>
      <c r="F833" s="459">
        <f>F834</f>
        <v>315</v>
      </c>
    </row>
    <row r="834" spans="1:6" s="457" customFormat="1" ht="31.5" x14ac:dyDescent="0.25">
      <c r="A834" s="466" t="s">
        <v>131</v>
      </c>
      <c r="B834" s="462" t="s">
        <v>264</v>
      </c>
      <c r="C834" s="462" t="s">
        <v>219</v>
      </c>
      <c r="D834" s="462" t="s">
        <v>1686</v>
      </c>
      <c r="E834" s="462" t="s">
        <v>132</v>
      </c>
      <c r="F834" s="459">
        <f>F835</f>
        <v>315</v>
      </c>
    </row>
    <row r="835" spans="1:6" s="457" customFormat="1" ht="31.5" x14ac:dyDescent="0.25">
      <c r="A835" s="466" t="s">
        <v>133</v>
      </c>
      <c r="B835" s="462" t="s">
        <v>264</v>
      </c>
      <c r="C835" s="462" t="s">
        <v>219</v>
      </c>
      <c r="D835" s="462" t="s">
        <v>1686</v>
      </c>
      <c r="E835" s="462" t="s">
        <v>134</v>
      </c>
      <c r="F835" s="459">
        <f>'Пр.4 ведом.21'!G395</f>
        <v>315</v>
      </c>
    </row>
    <row r="836" spans="1:6" ht="15.75" x14ac:dyDescent="0.25">
      <c r="A836" s="25" t="s">
        <v>478</v>
      </c>
      <c r="B836" s="20" t="s">
        <v>264</v>
      </c>
      <c r="C836" s="20" t="s">
        <v>219</v>
      </c>
      <c r="D836" s="20" t="s">
        <v>944</v>
      </c>
      <c r="E836" s="20"/>
      <c r="F836" s="6">
        <f>F837+F839</f>
        <v>455.5</v>
      </c>
    </row>
    <row r="837" spans="1:6" s="457" customFormat="1" ht="78.75" x14ac:dyDescent="0.25">
      <c r="A837" s="466" t="s">
        <v>127</v>
      </c>
      <c r="B837" s="462" t="s">
        <v>264</v>
      </c>
      <c r="C837" s="462" t="s">
        <v>219</v>
      </c>
      <c r="D837" s="462" t="s">
        <v>944</v>
      </c>
      <c r="E837" s="462" t="s">
        <v>128</v>
      </c>
      <c r="F837" s="459">
        <f>F838</f>
        <v>66.509999999999991</v>
      </c>
    </row>
    <row r="838" spans="1:6" s="457" customFormat="1" ht="31.5" x14ac:dyDescent="0.25">
      <c r="A838" s="466" t="s">
        <v>342</v>
      </c>
      <c r="B838" s="462" t="s">
        <v>264</v>
      </c>
      <c r="C838" s="462" t="s">
        <v>219</v>
      </c>
      <c r="D838" s="462" t="s">
        <v>944</v>
      </c>
      <c r="E838" s="462" t="s">
        <v>209</v>
      </c>
      <c r="F838" s="459">
        <f>'Пр.4 ведом.21'!G852</f>
        <v>66.509999999999991</v>
      </c>
    </row>
    <row r="839" spans="1:6" ht="31.5" x14ac:dyDescent="0.25">
      <c r="A839" s="25" t="s">
        <v>131</v>
      </c>
      <c r="B839" s="20" t="s">
        <v>264</v>
      </c>
      <c r="C839" s="20" t="s">
        <v>219</v>
      </c>
      <c r="D839" s="20" t="s">
        <v>944</v>
      </c>
      <c r="E839" s="20" t="s">
        <v>132</v>
      </c>
      <c r="F839" s="6">
        <f>F840</f>
        <v>388.99</v>
      </c>
    </row>
    <row r="840" spans="1:6" ht="39.75" customHeight="1" x14ac:dyDescent="0.25">
      <c r="A840" s="25" t="s">
        <v>133</v>
      </c>
      <c r="B840" s="20" t="s">
        <v>264</v>
      </c>
      <c r="C840" s="20" t="s">
        <v>219</v>
      </c>
      <c r="D840" s="20" t="s">
        <v>944</v>
      </c>
      <c r="E840" s="20" t="s">
        <v>134</v>
      </c>
      <c r="F840" s="6">
        <f>'Пр.4 ведом.21'!G854</f>
        <v>388.99</v>
      </c>
    </row>
    <row r="841" spans="1:6" ht="36.75" customHeight="1" x14ac:dyDescent="0.25">
      <c r="A841" s="23" t="s">
        <v>929</v>
      </c>
      <c r="B841" s="24" t="s">
        <v>264</v>
      </c>
      <c r="C841" s="24" t="s">
        <v>219</v>
      </c>
      <c r="D841" s="24" t="s">
        <v>914</v>
      </c>
      <c r="E841" s="24"/>
      <c r="F841" s="4">
        <f>F842+F849+F852</f>
        <v>15351.4614</v>
      </c>
    </row>
    <row r="842" spans="1:6" ht="31.5" x14ac:dyDescent="0.25">
      <c r="A842" s="25" t="s">
        <v>903</v>
      </c>
      <c r="B842" s="20" t="s">
        <v>264</v>
      </c>
      <c r="C842" s="20" t="s">
        <v>219</v>
      </c>
      <c r="D842" s="20" t="s">
        <v>915</v>
      </c>
      <c r="E842" s="20"/>
      <c r="F842" s="378">
        <f>F843+F845+F847</f>
        <v>14720.65</v>
      </c>
    </row>
    <row r="843" spans="1:6" ht="78.75" x14ac:dyDescent="0.25">
      <c r="A843" s="25" t="s">
        <v>127</v>
      </c>
      <c r="B843" s="20" t="s">
        <v>264</v>
      </c>
      <c r="C843" s="20" t="s">
        <v>219</v>
      </c>
      <c r="D843" s="20" t="s">
        <v>915</v>
      </c>
      <c r="E843" s="20" t="s">
        <v>128</v>
      </c>
      <c r="F843" s="378">
        <f>F844</f>
        <v>13257.17</v>
      </c>
    </row>
    <row r="844" spans="1:6" ht="24" customHeight="1" x14ac:dyDescent="0.25">
      <c r="A844" s="25" t="s">
        <v>342</v>
      </c>
      <c r="B844" s="20" t="s">
        <v>264</v>
      </c>
      <c r="C844" s="20" t="s">
        <v>219</v>
      </c>
      <c r="D844" s="20" t="s">
        <v>915</v>
      </c>
      <c r="E844" s="20" t="s">
        <v>209</v>
      </c>
      <c r="F844" s="6">
        <f>'Пр.4 ведом.21'!G858</f>
        <v>13257.17</v>
      </c>
    </row>
    <row r="845" spans="1:6" ht="31.5" x14ac:dyDescent="0.25">
      <c r="A845" s="25" t="s">
        <v>131</v>
      </c>
      <c r="B845" s="20" t="s">
        <v>264</v>
      </c>
      <c r="C845" s="20" t="s">
        <v>219</v>
      </c>
      <c r="D845" s="20" t="s">
        <v>915</v>
      </c>
      <c r="E845" s="20" t="s">
        <v>132</v>
      </c>
      <c r="F845" s="6">
        <f>F846</f>
        <v>1448.48</v>
      </c>
    </row>
    <row r="846" spans="1:6" ht="31.7" customHeight="1" x14ac:dyDescent="0.25">
      <c r="A846" s="25" t="s">
        <v>133</v>
      </c>
      <c r="B846" s="20" t="s">
        <v>264</v>
      </c>
      <c r="C846" s="20" t="s">
        <v>219</v>
      </c>
      <c r="D846" s="20" t="s">
        <v>915</v>
      </c>
      <c r="E846" s="20" t="s">
        <v>134</v>
      </c>
      <c r="F846" s="6">
        <f>'Пр.4 ведом.21'!G860</f>
        <v>1448.48</v>
      </c>
    </row>
    <row r="847" spans="1:6" ht="22.7" customHeight="1" x14ac:dyDescent="0.25">
      <c r="A847" s="25" t="s">
        <v>135</v>
      </c>
      <c r="B847" s="20" t="s">
        <v>264</v>
      </c>
      <c r="C847" s="20" t="s">
        <v>219</v>
      </c>
      <c r="D847" s="20" t="s">
        <v>915</v>
      </c>
      <c r="E847" s="20" t="s">
        <v>145</v>
      </c>
      <c r="F847" s="6">
        <f t="shared" ref="F847" si="85">F848</f>
        <v>15</v>
      </c>
    </row>
    <row r="848" spans="1:6" ht="15.75" customHeight="1" x14ac:dyDescent="0.25">
      <c r="A848" s="25" t="s">
        <v>568</v>
      </c>
      <c r="B848" s="20" t="s">
        <v>264</v>
      </c>
      <c r="C848" s="20" t="s">
        <v>219</v>
      </c>
      <c r="D848" s="20" t="s">
        <v>915</v>
      </c>
      <c r="E848" s="20" t="s">
        <v>138</v>
      </c>
      <c r="F848" s="6">
        <f>'Пр.4 ведом.21'!G862</f>
        <v>15</v>
      </c>
    </row>
    <row r="849" spans="1:12" ht="47.25" customHeight="1" x14ac:dyDescent="0.25">
      <c r="A849" s="25" t="s">
        <v>839</v>
      </c>
      <c r="B849" s="20" t="s">
        <v>264</v>
      </c>
      <c r="C849" s="20" t="s">
        <v>219</v>
      </c>
      <c r="D849" s="20" t="s">
        <v>916</v>
      </c>
      <c r="E849" s="20"/>
      <c r="F849" s="6">
        <f>F850</f>
        <v>372.75</v>
      </c>
    </row>
    <row r="850" spans="1:12" ht="78.75" x14ac:dyDescent="0.25">
      <c r="A850" s="25" t="s">
        <v>127</v>
      </c>
      <c r="B850" s="20" t="s">
        <v>264</v>
      </c>
      <c r="C850" s="20" t="s">
        <v>219</v>
      </c>
      <c r="D850" s="20" t="s">
        <v>916</v>
      </c>
      <c r="E850" s="20" t="s">
        <v>128</v>
      </c>
      <c r="F850" s="6">
        <f>F851</f>
        <v>372.75</v>
      </c>
    </row>
    <row r="851" spans="1:12" ht="31.5" x14ac:dyDescent="0.25">
      <c r="A851" s="25" t="s">
        <v>129</v>
      </c>
      <c r="B851" s="20" t="s">
        <v>264</v>
      </c>
      <c r="C851" s="20" t="s">
        <v>219</v>
      </c>
      <c r="D851" s="20" t="s">
        <v>916</v>
      </c>
      <c r="E851" s="20" t="s">
        <v>130</v>
      </c>
      <c r="F851" s="6">
        <f>'Пр.4 ведом.21'!G865</f>
        <v>372.75</v>
      </c>
    </row>
    <row r="852" spans="1:12" s="457" customFormat="1" ht="31.5" x14ac:dyDescent="0.25">
      <c r="A852" s="466" t="s">
        <v>1793</v>
      </c>
      <c r="B852" s="462" t="s">
        <v>264</v>
      </c>
      <c r="C852" s="462" t="s">
        <v>219</v>
      </c>
      <c r="D852" s="462" t="s">
        <v>1797</v>
      </c>
      <c r="E852" s="462"/>
      <c r="F852" s="459">
        <f>F853</f>
        <v>258.06139999999999</v>
      </c>
    </row>
    <row r="853" spans="1:12" s="457" customFormat="1" ht="78.75" x14ac:dyDescent="0.25">
      <c r="A853" s="466" t="s">
        <v>127</v>
      </c>
      <c r="B853" s="462" t="s">
        <v>264</v>
      </c>
      <c r="C853" s="462" t="s">
        <v>219</v>
      </c>
      <c r="D853" s="462" t="s">
        <v>1797</v>
      </c>
      <c r="E853" s="462" t="s">
        <v>128</v>
      </c>
      <c r="F853" s="459">
        <f>F854</f>
        <v>258.06139999999999</v>
      </c>
    </row>
    <row r="854" spans="1:12" s="457" customFormat="1" ht="31.5" x14ac:dyDescent="0.25">
      <c r="A854" s="466" t="s">
        <v>342</v>
      </c>
      <c r="B854" s="462" t="s">
        <v>264</v>
      </c>
      <c r="C854" s="462" t="s">
        <v>219</v>
      </c>
      <c r="D854" s="462" t="s">
        <v>1797</v>
      </c>
      <c r="E854" s="462" t="s">
        <v>209</v>
      </c>
      <c r="F854" s="459">
        <f>'Пр.4 ведом.21'!G868</f>
        <v>258.06139999999999</v>
      </c>
    </row>
    <row r="855" spans="1:12" ht="15.75" x14ac:dyDescent="0.25">
      <c r="A855" s="41" t="s">
        <v>298</v>
      </c>
      <c r="B855" s="7" t="s">
        <v>299</v>
      </c>
      <c r="C855" s="7"/>
      <c r="D855" s="7"/>
      <c r="E855" s="7"/>
      <c r="F855" s="4">
        <f>F856+F915</f>
        <v>85236.564099999989</v>
      </c>
      <c r="H855" s="22"/>
      <c r="K855" s="231">
        <f>F855-F879-'Пр.4 ведом.21'!M1249-'Пр.4 ведом.21'!O1249-'Пр.4 ведом.21'!K1259-'Пр.4 ведом.21'!U1259</f>
        <v>69354.064099999989</v>
      </c>
      <c r="L855" s="231">
        <f>F866+F879+F891-'Пр.4 ведом.21'!M1248-'Пр.4 ведом.21'!O1248-'Пр.4 ведом.21'!K1258-'Пр.4 ведом.21'!U1258</f>
        <v>5882.4999999999964</v>
      </c>
    </row>
    <row r="856" spans="1:12" ht="15.75" x14ac:dyDescent="0.25">
      <c r="A856" s="41" t="s">
        <v>300</v>
      </c>
      <c r="B856" s="7" t="s">
        <v>299</v>
      </c>
      <c r="C856" s="7" t="s">
        <v>118</v>
      </c>
      <c r="D856" s="7"/>
      <c r="E856" s="7"/>
      <c r="F856" s="4">
        <f>F857+F905+F910</f>
        <v>64414.369999999995</v>
      </c>
      <c r="G856" s="22"/>
      <c r="H856" s="22"/>
      <c r="I856" s="22"/>
      <c r="J856" s="22"/>
    </row>
    <row r="857" spans="1:12" ht="34.5" customHeight="1" x14ac:dyDescent="0.25">
      <c r="A857" s="23" t="s">
        <v>1362</v>
      </c>
      <c r="B857" s="24" t="s">
        <v>299</v>
      </c>
      <c r="C857" s="24" t="s">
        <v>118</v>
      </c>
      <c r="D857" s="24" t="s">
        <v>267</v>
      </c>
      <c r="E857" s="24"/>
      <c r="F857" s="4">
        <f>F858+F869+F875+F879+F886+F890+F898+F894</f>
        <v>63518.369999999995</v>
      </c>
      <c r="H857" s="198"/>
    </row>
    <row r="858" spans="1:12" ht="34.5" customHeight="1" x14ac:dyDescent="0.25">
      <c r="A858" s="23" t="s">
        <v>1304</v>
      </c>
      <c r="B858" s="24" t="s">
        <v>299</v>
      </c>
      <c r="C858" s="24" t="s">
        <v>118</v>
      </c>
      <c r="D858" s="24" t="s">
        <v>1208</v>
      </c>
      <c r="E858" s="24"/>
      <c r="F858" s="4">
        <f>F859+F866</f>
        <v>49138.27</v>
      </c>
    </row>
    <row r="859" spans="1:12" ht="15.75" x14ac:dyDescent="0.25">
      <c r="A859" s="25" t="s">
        <v>800</v>
      </c>
      <c r="B859" s="20" t="s">
        <v>299</v>
      </c>
      <c r="C859" s="20" t="s">
        <v>118</v>
      </c>
      <c r="D859" s="20" t="s">
        <v>1209</v>
      </c>
      <c r="E859" s="20"/>
      <c r="F859" s="6">
        <f>F860+F862+F864</f>
        <v>13252.969999999996</v>
      </c>
    </row>
    <row r="860" spans="1:12" ht="78.75" x14ac:dyDescent="0.25">
      <c r="A860" s="25" t="s">
        <v>127</v>
      </c>
      <c r="B860" s="20" t="s">
        <v>299</v>
      </c>
      <c r="C860" s="20" t="s">
        <v>118</v>
      </c>
      <c r="D860" s="20" t="s">
        <v>1209</v>
      </c>
      <c r="E860" s="20" t="s">
        <v>128</v>
      </c>
      <c r="F860" s="6">
        <f>F861</f>
        <v>2811.87</v>
      </c>
    </row>
    <row r="861" spans="1:12" ht="15.75" x14ac:dyDescent="0.25">
      <c r="A861" s="25" t="s">
        <v>208</v>
      </c>
      <c r="B861" s="20" t="s">
        <v>299</v>
      </c>
      <c r="C861" s="20" t="s">
        <v>118</v>
      </c>
      <c r="D861" s="20" t="s">
        <v>1209</v>
      </c>
      <c r="E861" s="20" t="s">
        <v>209</v>
      </c>
      <c r="F861" s="6">
        <f>'Пр.4 ведом.21'!G402</f>
        <v>2811.87</v>
      </c>
    </row>
    <row r="862" spans="1:12" ht="31.5" x14ac:dyDescent="0.25">
      <c r="A862" s="25" t="s">
        <v>131</v>
      </c>
      <c r="B862" s="20" t="s">
        <v>299</v>
      </c>
      <c r="C862" s="20" t="s">
        <v>118</v>
      </c>
      <c r="D862" s="20" t="s">
        <v>1209</v>
      </c>
      <c r="E862" s="20" t="s">
        <v>132</v>
      </c>
      <c r="F862" s="6">
        <f>F863</f>
        <v>10301.199999999997</v>
      </c>
      <c r="G862" s="22"/>
      <c r="L862" s="22"/>
    </row>
    <row r="863" spans="1:12" ht="31.5" x14ac:dyDescent="0.25">
      <c r="A863" s="25" t="s">
        <v>133</v>
      </c>
      <c r="B863" s="20" t="s">
        <v>299</v>
      </c>
      <c r="C863" s="20" t="s">
        <v>118</v>
      </c>
      <c r="D863" s="20" t="s">
        <v>1209</v>
      </c>
      <c r="E863" s="20" t="s">
        <v>134</v>
      </c>
      <c r="F863" s="6">
        <f>'Пр.4 ведом.21'!G404</f>
        <v>10301.199999999997</v>
      </c>
    </row>
    <row r="864" spans="1:12" ht="15.75" x14ac:dyDescent="0.25">
      <c r="A864" s="25" t="s">
        <v>135</v>
      </c>
      <c r="B864" s="20" t="s">
        <v>299</v>
      </c>
      <c r="C864" s="20" t="s">
        <v>118</v>
      </c>
      <c r="D864" s="20" t="s">
        <v>1209</v>
      </c>
      <c r="E864" s="20" t="s">
        <v>145</v>
      </c>
      <c r="F864" s="6">
        <f t="shared" ref="F864" si="86">F865</f>
        <v>139.9</v>
      </c>
    </row>
    <row r="865" spans="1:6" ht="15.75" x14ac:dyDescent="0.25">
      <c r="A865" s="25" t="s">
        <v>568</v>
      </c>
      <c r="B865" s="20" t="s">
        <v>299</v>
      </c>
      <c r="C865" s="20" t="s">
        <v>118</v>
      </c>
      <c r="D865" s="20" t="s">
        <v>1209</v>
      </c>
      <c r="E865" s="20" t="s">
        <v>138</v>
      </c>
      <c r="F865" s="6">
        <f>'Пр.4 ведом.21'!G406</f>
        <v>139.9</v>
      </c>
    </row>
    <row r="866" spans="1:6" s="203" customFormat="1" ht="29.85" customHeight="1" x14ac:dyDescent="0.25">
      <c r="A866" s="31" t="s">
        <v>1522</v>
      </c>
      <c r="B866" s="20" t="s">
        <v>299</v>
      </c>
      <c r="C866" s="20" t="s">
        <v>118</v>
      </c>
      <c r="D866" s="20" t="s">
        <v>1494</v>
      </c>
      <c r="E866" s="20"/>
      <c r="F866" s="6">
        <f>F867</f>
        <v>35885.300000000003</v>
      </c>
    </row>
    <row r="867" spans="1:6" s="203" customFormat="1" ht="78.75" x14ac:dyDescent="0.25">
      <c r="A867" s="25" t="s">
        <v>127</v>
      </c>
      <c r="B867" s="20" t="s">
        <v>299</v>
      </c>
      <c r="C867" s="20" t="s">
        <v>118</v>
      </c>
      <c r="D867" s="20" t="s">
        <v>1494</v>
      </c>
      <c r="E867" s="20" t="s">
        <v>128</v>
      </c>
      <c r="F867" s="6">
        <f>F868</f>
        <v>35885.300000000003</v>
      </c>
    </row>
    <row r="868" spans="1:6" s="203" customFormat="1" ht="15.75" x14ac:dyDescent="0.25">
      <c r="A868" s="25" t="s">
        <v>208</v>
      </c>
      <c r="B868" s="20" t="s">
        <v>299</v>
      </c>
      <c r="C868" s="20" t="s">
        <v>118</v>
      </c>
      <c r="D868" s="20" t="s">
        <v>1494</v>
      </c>
      <c r="E868" s="20" t="s">
        <v>209</v>
      </c>
      <c r="F868" s="6">
        <f>'Пр.4 ведом.21'!G409</f>
        <v>35885.300000000003</v>
      </c>
    </row>
    <row r="869" spans="1:6" ht="31.5" x14ac:dyDescent="0.25">
      <c r="A869" s="216" t="s">
        <v>1306</v>
      </c>
      <c r="B869" s="24" t="s">
        <v>299</v>
      </c>
      <c r="C869" s="24" t="s">
        <v>118</v>
      </c>
      <c r="D869" s="24" t="s">
        <v>1210</v>
      </c>
      <c r="E869" s="24"/>
      <c r="F869" s="4">
        <f>F870</f>
        <v>864.40000000000009</v>
      </c>
    </row>
    <row r="870" spans="1:6" ht="31.5" x14ac:dyDescent="0.25">
      <c r="A870" s="31" t="s">
        <v>816</v>
      </c>
      <c r="B870" s="20" t="s">
        <v>299</v>
      </c>
      <c r="C870" s="20" t="s">
        <v>118</v>
      </c>
      <c r="D870" s="20" t="s">
        <v>1212</v>
      </c>
      <c r="E870" s="20"/>
      <c r="F870" s="6">
        <f>F871+F873</f>
        <v>864.40000000000009</v>
      </c>
    </row>
    <row r="871" spans="1:6" ht="78.75" x14ac:dyDescent="0.25">
      <c r="A871" s="25" t="s">
        <v>127</v>
      </c>
      <c r="B871" s="20" t="s">
        <v>299</v>
      </c>
      <c r="C871" s="20" t="s">
        <v>118</v>
      </c>
      <c r="D871" s="20" t="s">
        <v>1212</v>
      </c>
      <c r="E871" s="20" t="s">
        <v>128</v>
      </c>
      <c r="F871" s="6">
        <f>F872</f>
        <v>487.40000000000009</v>
      </c>
    </row>
    <row r="872" spans="1:6" ht="15.75" x14ac:dyDescent="0.25">
      <c r="A872" s="25" t="s">
        <v>208</v>
      </c>
      <c r="B872" s="20" t="s">
        <v>299</v>
      </c>
      <c r="C872" s="20" t="s">
        <v>118</v>
      </c>
      <c r="D872" s="20" t="s">
        <v>1212</v>
      </c>
      <c r="E872" s="20" t="s">
        <v>209</v>
      </c>
      <c r="F872" s="6">
        <f>'Пр.4 ведом.21'!G413</f>
        <v>487.40000000000009</v>
      </c>
    </row>
    <row r="873" spans="1:6" ht="31.5" hidden="1" x14ac:dyDescent="0.25">
      <c r="A873" s="25" t="s">
        <v>131</v>
      </c>
      <c r="B873" s="20" t="s">
        <v>299</v>
      </c>
      <c r="C873" s="20" t="s">
        <v>118</v>
      </c>
      <c r="D873" s="20" t="s">
        <v>1212</v>
      </c>
      <c r="E873" s="20" t="s">
        <v>132</v>
      </c>
      <c r="F873" s="6">
        <f>F874</f>
        <v>377</v>
      </c>
    </row>
    <row r="874" spans="1:6" ht="31.5" hidden="1" x14ac:dyDescent="0.25">
      <c r="A874" s="25" t="s">
        <v>133</v>
      </c>
      <c r="B874" s="20" t="s">
        <v>299</v>
      </c>
      <c r="C874" s="20" t="s">
        <v>118</v>
      </c>
      <c r="D874" s="20" t="s">
        <v>1212</v>
      </c>
      <c r="E874" s="20" t="s">
        <v>134</v>
      </c>
      <c r="F874" s="6">
        <f>'Пр.4 ведом.21'!G415</f>
        <v>377</v>
      </c>
    </row>
    <row r="875" spans="1:6" ht="31.5" x14ac:dyDescent="0.25">
      <c r="A875" s="23" t="s">
        <v>947</v>
      </c>
      <c r="B875" s="24" t="s">
        <v>299</v>
      </c>
      <c r="C875" s="24" t="s">
        <v>118</v>
      </c>
      <c r="D875" s="24" t="s">
        <v>1213</v>
      </c>
      <c r="E875" s="24"/>
      <c r="F875" s="4">
        <f>F876</f>
        <v>955.00000000000011</v>
      </c>
    </row>
    <row r="876" spans="1:6" ht="47.25" x14ac:dyDescent="0.25">
      <c r="A876" s="25" t="s">
        <v>839</v>
      </c>
      <c r="B876" s="20" t="s">
        <v>299</v>
      </c>
      <c r="C876" s="20" t="s">
        <v>118</v>
      </c>
      <c r="D876" s="20" t="s">
        <v>1214</v>
      </c>
      <c r="E876" s="20"/>
      <c r="F876" s="6">
        <f>F877</f>
        <v>955.00000000000011</v>
      </c>
    </row>
    <row r="877" spans="1:6" ht="78.75" x14ac:dyDescent="0.25">
      <c r="A877" s="25" t="s">
        <v>127</v>
      </c>
      <c r="B877" s="20" t="s">
        <v>299</v>
      </c>
      <c r="C877" s="20" t="s">
        <v>118</v>
      </c>
      <c r="D877" s="20" t="s">
        <v>1214</v>
      </c>
      <c r="E877" s="20" t="s">
        <v>128</v>
      </c>
      <c r="F877" s="6">
        <f>F878</f>
        <v>955.00000000000011</v>
      </c>
    </row>
    <row r="878" spans="1:6" ht="31.5" x14ac:dyDescent="0.25">
      <c r="A878" s="25" t="s">
        <v>129</v>
      </c>
      <c r="B878" s="20" t="s">
        <v>299</v>
      </c>
      <c r="C878" s="20" t="s">
        <v>118</v>
      </c>
      <c r="D878" s="20" t="s">
        <v>1214</v>
      </c>
      <c r="E878" s="20" t="s">
        <v>209</v>
      </c>
      <c r="F878" s="6">
        <f>'Пр.4 ведом.21'!G419</f>
        <v>955.00000000000011</v>
      </c>
    </row>
    <row r="879" spans="1:6" ht="47.25" x14ac:dyDescent="0.25">
      <c r="A879" s="217" t="s">
        <v>900</v>
      </c>
      <c r="B879" s="24" t="s">
        <v>299</v>
      </c>
      <c r="C879" s="24" t="s">
        <v>118</v>
      </c>
      <c r="D879" s="24" t="s">
        <v>1215</v>
      </c>
      <c r="E879" s="24"/>
      <c r="F879" s="4">
        <f>F880+F883</f>
        <v>2442</v>
      </c>
    </row>
    <row r="880" spans="1:6" s="203" customFormat="1" ht="94.5" x14ac:dyDescent="0.25">
      <c r="A880" s="31" t="s">
        <v>293</v>
      </c>
      <c r="B880" s="20" t="s">
        <v>299</v>
      </c>
      <c r="C880" s="20" t="s">
        <v>118</v>
      </c>
      <c r="D880" s="20" t="s">
        <v>1414</v>
      </c>
      <c r="E880" s="20"/>
      <c r="F880" s="6">
        <f>F881</f>
        <v>2100.6</v>
      </c>
    </row>
    <row r="881" spans="1:6" s="203" customFormat="1" ht="78.75" x14ac:dyDescent="0.25">
      <c r="A881" s="25" t="s">
        <v>127</v>
      </c>
      <c r="B881" s="20" t="s">
        <v>299</v>
      </c>
      <c r="C881" s="20" t="s">
        <v>118</v>
      </c>
      <c r="D881" s="20" t="s">
        <v>1414</v>
      </c>
      <c r="E881" s="20" t="s">
        <v>128</v>
      </c>
      <c r="F881" s="6">
        <f>F882</f>
        <v>2100.6</v>
      </c>
    </row>
    <row r="882" spans="1:6" s="203" customFormat="1" ht="15.75" x14ac:dyDescent="0.25">
      <c r="A882" s="25" t="s">
        <v>208</v>
      </c>
      <c r="B882" s="20" t="s">
        <v>299</v>
      </c>
      <c r="C882" s="20" t="s">
        <v>118</v>
      </c>
      <c r="D882" s="20" t="s">
        <v>1414</v>
      </c>
      <c r="E882" s="20" t="s">
        <v>209</v>
      </c>
      <c r="F882" s="6">
        <f>'Пр.4 ведом.21'!G423</f>
        <v>2100.6</v>
      </c>
    </row>
    <row r="883" spans="1:6" s="203" customFormat="1" ht="78.75" x14ac:dyDescent="0.25">
      <c r="A883" s="25" t="s">
        <v>331</v>
      </c>
      <c r="B883" s="20" t="s">
        <v>299</v>
      </c>
      <c r="C883" s="20" t="s">
        <v>118</v>
      </c>
      <c r="D883" s="20" t="s">
        <v>1296</v>
      </c>
      <c r="E883" s="20"/>
      <c r="F883" s="26">
        <f>F884</f>
        <v>341.4</v>
      </c>
    </row>
    <row r="884" spans="1:6" s="203" customFormat="1" ht="78.75" x14ac:dyDescent="0.25">
      <c r="A884" s="25" t="s">
        <v>127</v>
      </c>
      <c r="B884" s="20" t="s">
        <v>299</v>
      </c>
      <c r="C884" s="20" t="s">
        <v>118</v>
      </c>
      <c r="D884" s="20" t="s">
        <v>1296</v>
      </c>
      <c r="E884" s="20" t="s">
        <v>128</v>
      </c>
      <c r="F884" s="26">
        <f>F885</f>
        <v>341.4</v>
      </c>
    </row>
    <row r="885" spans="1:6" s="203" customFormat="1" ht="15.75" x14ac:dyDescent="0.25">
      <c r="A885" s="25" t="s">
        <v>208</v>
      </c>
      <c r="B885" s="20" t="s">
        <v>299</v>
      </c>
      <c r="C885" s="20" t="s">
        <v>118</v>
      </c>
      <c r="D885" s="20" t="s">
        <v>1296</v>
      </c>
      <c r="E885" s="20" t="s">
        <v>209</v>
      </c>
      <c r="F885" s="26">
        <f>'Пр.4 ведом.21'!G426</f>
        <v>341.4</v>
      </c>
    </row>
    <row r="886" spans="1:6" s="203" customFormat="1" ht="31.5" x14ac:dyDescent="0.25">
      <c r="A886" s="23" t="s">
        <v>902</v>
      </c>
      <c r="B886" s="24" t="s">
        <v>299</v>
      </c>
      <c r="C886" s="24" t="s">
        <v>118</v>
      </c>
      <c r="D886" s="24" t="s">
        <v>1220</v>
      </c>
      <c r="E886" s="24"/>
      <c r="F886" s="4">
        <f>F887</f>
        <v>50</v>
      </c>
    </row>
    <row r="887" spans="1:6" s="203" customFormat="1" ht="31.5" x14ac:dyDescent="0.25">
      <c r="A887" s="25" t="s">
        <v>821</v>
      </c>
      <c r="B887" s="20" t="s">
        <v>299</v>
      </c>
      <c r="C887" s="20" t="s">
        <v>118</v>
      </c>
      <c r="D887" s="20" t="s">
        <v>1221</v>
      </c>
      <c r="E887" s="20"/>
      <c r="F887" s="6">
        <f>F888</f>
        <v>50</v>
      </c>
    </row>
    <row r="888" spans="1:6" s="203" customFormat="1" ht="31.5" x14ac:dyDescent="0.25">
      <c r="A888" s="25" t="s">
        <v>131</v>
      </c>
      <c r="B888" s="20" t="s">
        <v>299</v>
      </c>
      <c r="C888" s="20" t="s">
        <v>118</v>
      </c>
      <c r="D888" s="20" t="s">
        <v>1221</v>
      </c>
      <c r="E888" s="20" t="s">
        <v>132</v>
      </c>
      <c r="F888" s="6">
        <f>F889</f>
        <v>50</v>
      </c>
    </row>
    <row r="889" spans="1:6" s="203" customFormat="1" ht="31.5" x14ac:dyDescent="0.25">
      <c r="A889" s="25" t="s">
        <v>133</v>
      </c>
      <c r="B889" s="20" t="s">
        <v>299</v>
      </c>
      <c r="C889" s="20" t="s">
        <v>118</v>
      </c>
      <c r="D889" s="20" t="s">
        <v>1221</v>
      </c>
      <c r="E889" s="20" t="s">
        <v>134</v>
      </c>
      <c r="F889" s="6">
        <f>'Пр.4 ведом.21'!G430</f>
        <v>50</v>
      </c>
    </row>
    <row r="890" spans="1:6" s="203" customFormat="1" ht="31.5" x14ac:dyDescent="0.25">
      <c r="A890" s="23" t="s">
        <v>1010</v>
      </c>
      <c r="B890" s="24" t="s">
        <v>299</v>
      </c>
      <c r="C890" s="24" t="s">
        <v>118</v>
      </c>
      <c r="D890" s="24" t="s">
        <v>1222</v>
      </c>
      <c r="E890" s="24"/>
      <c r="F890" s="4">
        <f>F891</f>
        <v>68.7</v>
      </c>
    </row>
    <row r="891" spans="1:6" s="203" customFormat="1" ht="31.5" x14ac:dyDescent="0.25">
      <c r="A891" s="25" t="s">
        <v>1497</v>
      </c>
      <c r="B891" s="20" t="s">
        <v>299</v>
      </c>
      <c r="C891" s="20" t="s">
        <v>118</v>
      </c>
      <c r="D891" s="20" t="s">
        <v>1223</v>
      </c>
      <c r="E891" s="20"/>
      <c r="F891" s="6">
        <f>F892</f>
        <v>68.7</v>
      </c>
    </row>
    <row r="892" spans="1:6" s="203" customFormat="1" ht="31.5" x14ac:dyDescent="0.25">
      <c r="A892" s="25" t="s">
        <v>131</v>
      </c>
      <c r="B892" s="20" t="s">
        <v>299</v>
      </c>
      <c r="C892" s="20" t="s">
        <v>118</v>
      </c>
      <c r="D892" s="20" t="s">
        <v>1223</v>
      </c>
      <c r="E892" s="20" t="s">
        <v>132</v>
      </c>
      <c r="F892" s="6">
        <f>F893</f>
        <v>68.7</v>
      </c>
    </row>
    <row r="893" spans="1:6" s="203" customFormat="1" ht="31.5" x14ac:dyDescent="0.25">
      <c r="A893" s="25" t="s">
        <v>133</v>
      </c>
      <c r="B893" s="20" t="s">
        <v>299</v>
      </c>
      <c r="C893" s="20" t="s">
        <v>118</v>
      </c>
      <c r="D893" s="20" t="s">
        <v>1223</v>
      </c>
      <c r="E893" s="20" t="s">
        <v>134</v>
      </c>
      <c r="F893" s="6">
        <f>'Пр.4 ведом.21'!G434</f>
        <v>68.7</v>
      </c>
    </row>
    <row r="894" spans="1:6" s="457" customFormat="1" ht="31.5" hidden="1" x14ac:dyDescent="0.25">
      <c r="A894" s="34" t="s">
        <v>1668</v>
      </c>
      <c r="B894" s="465" t="s">
        <v>299</v>
      </c>
      <c r="C894" s="465" t="s">
        <v>118</v>
      </c>
      <c r="D894" s="465" t="s">
        <v>1670</v>
      </c>
      <c r="E894" s="465"/>
      <c r="F894" s="458">
        <f>F895</f>
        <v>0</v>
      </c>
    </row>
    <row r="895" spans="1:6" s="457" customFormat="1" ht="63" hidden="1" x14ac:dyDescent="0.25">
      <c r="A895" s="31" t="s">
        <v>1669</v>
      </c>
      <c r="B895" s="462" t="s">
        <v>299</v>
      </c>
      <c r="C895" s="462" t="s">
        <v>118</v>
      </c>
      <c r="D895" s="462" t="s">
        <v>1671</v>
      </c>
      <c r="E895" s="462"/>
      <c r="F895" s="459">
        <f>F896</f>
        <v>0</v>
      </c>
    </row>
    <row r="896" spans="1:6" s="457" customFormat="1" ht="31.5" hidden="1" x14ac:dyDescent="0.25">
      <c r="A896" s="466" t="s">
        <v>131</v>
      </c>
      <c r="B896" s="462" t="s">
        <v>299</v>
      </c>
      <c r="C896" s="462" t="s">
        <v>118</v>
      </c>
      <c r="D896" s="462" t="s">
        <v>1671</v>
      </c>
      <c r="E896" s="462" t="s">
        <v>132</v>
      </c>
      <c r="F896" s="459">
        <f>F897</f>
        <v>0</v>
      </c>
    </row>
    <row r="897" spans="1:8" s="457" customFormat="1" ht="31.5" hidden="1" x14ac:dyDescent="0.25">
      <c r="A897" s="466" t="s">
        <v>133</v>
      </c>
      <c r="B897" s="462" t="s">
        <v>299</v>
      </c>
      <c r="C897" s="462" t="s">
        <v>118</v>
      </c>
      <c r="D897" s="462" t="s">
        <v>1671</v>
      </c>
      <c r="E897" s="462" t="s">
        <v>134</v>
      </c>
      <c r="F897" s="459">
        <f>'Пр.4 ведом.21'!G438</f>
        <v>0</v>
      </c>
    </row>
    <row r="898" spans="1:8" s="203" customFormat="1" ht="31.5" x14ac:dyDescent="0.25">
      <c r="A898" s="210" t="s">
        <v>1184</v>
      </c>
      <c r="B898" s="24" t="s">
        <v>299</v>
      </c>
      <c r="C898" s="24" t="s">
        <v>118</v>
      </c>
      <c r="D898" s="24" t="s">
        <v>1218</v>
      </c>
      <c r="E898" s="24"/>
      <c r="F898" s="21">
        <f>F899+F902</f>
        <v>10000</v>
      </c>
    </row>
    <row r="899" spans="1:8" s="203" customFormat="1" ht="15.75" hidden="1" x14ac:dyDescent="0.25">
      <c r="A899" s="98" t="s">
        <v>1191</v>
      </c>
      <c r="B899" s="20" t="s">
        <v>299</v>
      </c>
      <c r="C899" s="20" t="s">
        <v>118</v>
      </c>
      <c r="D899" s="20" t="s">
        <v>1219</v>
      </c>
      <c r="E899" s="20"/>
      <c r="F899" s="26">
        <f t="shared" ref="F899" si="87">F900</f>
        <v>0</v>
      </c>
    </row>
    <row r="900" spans="1:8" s="203" customFormat="1" ht="31.5" hidden="1" x14ac:dyDescent="0.25">
      <c r="A900" s="25" t="s">
        <v>131</v>
      </c>
      <c r="B900" s="20" t="s">
        <v>299</v>
      </c>
      <c r="C900" s="20" t="s">
        <v>118</v>
      </c>
      <c r="D900" s="20" t="s">
        <v>1219</v>
      </c>
      <c r="E900" s="20" t="s">
        <v>132</v>
      </c>
      <c r="F900" s="26">
        <f>F901</f>
        <v>0</v>
      </c>
    </row>
    <row r="901" spans="1:8" s="203" customFormat="1" ht="31.5" hidden="1" x14ac:dyDescent="0.25">
      <c r="A901" s="25" t="s">
        <v>133</v>
      </c>
      <c r="B901" s="20" t="s">
        <v>299</v>
      </c>
      <c r="C901" s="20" t="s">
        <v>118</v>
      </c>
      <c r="D901" s="20" t="s">
        <v>1219</v>
      </c>
      <c r="E901" s="20" t="s">
        <v>134</v>
      </c>
      <c r="F901" s="26">
        <f>'Пр.4 ведом.21'!G442</f>
        <v>0</v>
      </c>
    </row>
    <row r="902" spans="1:8" ht="42.75" customHeight="1" x14ac:dyDescent="0.25">
      <c r="A902" s="584" t="s">
        <v>1761</v>
      </c>
      <c r="B902" s="462" t="s">
        <v>299</v>
      </c>
      <c r="C902" s="462" t="s">
        <v>118</v>
      </c>
      <c r="D902" s="462" t="s">
        <v>1760</v>
      </c>
      <c r="E902" s="462"/>
      <c r="F902" s="467">
        <f>F903</f>
        <v>10000</v>
      </c>
    </row>
    <row r="903" spans="1:8" ht="15.75" customHeight="1" x14ac:dyDescent="0.25">
      <c r="A903" s="466" t="s">
        <v>131</v>
      </c>
      <c r="B903" s="462" t="s">
        <v>299</v>
      </c>
      <c r="C903" s="462" t="s">
        <v>118</v>
      </c>
      <c r="D903" s="462" t="s">
        <v>1760</v>
      </c>
      <c r="E903" s="462" t="s">
        <v>132</v>
      </c>
      <c r="F903" s="26">
        <f>F904</f>
        <v>10000</v>
      </c>
    </row>
    <row r="904" spans="1:8" ht="31.5" x14ac:dyDescent="0.25">
      <c r="A904" s="466" t="s">
        <v>133</v>
      </c>
      <c r="B904" s="462" t="s">
        <v>299</v>
      </c>
      <c r="C904" s="462" t="s">
        <v>118</v>
      </c>
      <c r="D904" s="462" t="s">
        <v>1760</v>
      </c>
      <c r="E904" s="462" t="s">
        <v>134</v>
      </c>
      <c r="F904" s="26">
        <f>'Пр.4 ведом.21'!G446</f>
        <v>10000</v>
      </c>
    </row>
    <row r="905" spans="1:8" ht="47.25" hidden="1" x14ac:dyDescent="0.25">
      <c r="A905" s="34" t="s">
        <v>1368</v>
      </c>
      <c r="B905" s="24" t="s">
        <v>299</v>
      </c>
      <c r="C905" s="24" t="s">
        <v>118</v>
      </c>
      <c r="D905" s="24" t="s">
        <v>324</v>
      </c>
      <c r="E905" s="24"/>
      <c r="F905" s="380">
        <f>F906</f>
        <v>0</v>
      </c>
    </row>
    <row r="906" spans="1:8" ht="63" hidden="1" x14ac:dyDescent="0.25">
      <c r="A906" s="34" t="s">
        <v>1025</v>
      </c>
      <c r="B906" s="24" t="s">
        <v>299</v>
      </c>
      <c r="C906" s="24" t="s">
        <v>118</v>
      </c>
      <c r="D906" s="24" t="s">
        <v>934</v>
      </c>
      <c r="E906" s="24"/>
      <c r="F906" s="4">
        <f>F907</f>
        <v>0</v>
      </c>
      <c r="H906" s="22"/>
    </row>
    <row r="907" spans="1:8" ht="47.25" hidden="1" x14ac:dyDescent="0.25">
      <c r="A907" s="31" t="s">
        <v>1082</v>
      </c>
      <c r="B907" s="20" t="s">
        <v>299</v>
      </c>
      <c r="C907" s="20" t="s">
        <v>118</v>
      </c>
      <c r="D907" s="20" t="s">
        <v>1026</v>
      </c>
      <c r="E907" s="20"/>
      <c r="F907" s="6">
        <f>F908</f>
        <v>0</v>
      </c>
    </row>
    <row r="908" spans="1:8" ht="31.5" hidden="1" x14ac:dyDescent="0.25">
      <c r="A908" s="25" t="s">
        <v>131</v>
      </c>
      <c r="B908" s="20" t="s">
        <v>299</v>
      </c>
      <c r="C908" s="20" t="s">
        <v>118</v>
      </c>
      <c r="D908" s="20" t="s">
        <v>1026</v>
      </c>
      <c r="E908" s="20" t="s">
        <v>132</v>
      </c>
      <c r="F908" s="6">
        <f>F909</f>
        <v>0</v>
      </c>
    </row>
    <row r="909" spans="1:8" ht="31.5" hidden="1" x14ac:dyDescent="0.25">
      <c r="A909" s="25" t="s">
        <v>133</v>
      </c>
      <c r="B909" s="20" t="s">
        <v>299</v>
      </c>
      <c r="C909" s="20" t="s">
        <v>118</v>
      </c>
      <c r="D909" s="20" t="s">
        <v>1026</v>
      </c>
      <c r="E909" s="20" t="s">
        <v>134</v>
      </c>
      <c r="F909" s="6">
        <f>'Пр.4 ведом.21'!G451</f>
        <v>0</v>
      </c>
    </row>
    <row r="910" spans="1:8" ht="47.25" x14ac:dyDescent="0.25">
      <c r="A910" s="41" t="s">
        <v>1363</v>
      </c>
      <c r="B910" s="24" t="s">
        <v>299</v>
      </c>
      <c r="C910" s="24" t="s">
        <v>118</v>
      </c>
      <c r="D910" s="24" t="s">
        <v>705</v>
      </c>
      <c r="E910" s="221"/>
      <c r="F910" s="4">
        <f t="shared" ref="F910" si="88">F911</f>
        <v>896</v>
      </c>
    </row>
    <row r="911" spans="1:8" ht="47.25" x14ac:dyDescent="0.25">
      <c r="A911" s="41" t="s">
        <v>890</v>
      </c>
      <c r="B911" s="24" t="s">
        <v>299</v>
      </c>
      <c r="C911" s="24" t="s">
        <v>118</v>
      </c>
      <c r="D911" s="24" t="s">
        <v>888</v>
      </c>
      <c r="E911" s="221"/>
      <c r="F911" s="4">
        <f>F912</f>
        <v>896</v>
      </c>
      <c r="G911" s="183"/>
      <c r="H911" s="106"/>
    </row>
    <row r="912" spans="1:8" ht="47.25" x14ac:dyDescent="0.25">
      <c r="A912" s="98" t="s">
        <v>1022</v>
      </c>
      <c r="B912" s="20" t="s">
        <v>299</v>
      </c>
      <c r="C912" s="20" t="s">
        <v>118</v>
      </c>
      <c r="D912" s="20" t="s">
        <v>889</v>
      </c>
      <c r="E912" s="32"/>
      <c r="F912" s="378">
        <f>F913</f>
        <v>896</v>
      </c>
    </row>
    <row r="913" spans="1:6" ht="31.5" x14ac:dyDescent="0.25">
      <c r="A913" s="25" t="s">
        <v>131</v>
      </c>
      <c r="B913" s="20" t="s">
        <v>299</v>
      </c>
      <c r="C913" s="20" t="s">
        <v>118</v>
      </c>
      <c r="D913" s="20" t="s">
        <v>889</v>
      </c>
      <c r="E913" s="32" t="s">
        <v>132</v>
      </c>
      <c r="F913" s="6">
        <f>F914</f>
        <v>896</v>
      </c>
    </row>
    <row r="914" spans="1:6" ht="31.5" x14ac:dyDescent="0.25">
      <c r="A914" s="25" t="s">
        <v>133</v>
      </c>
      <c r="B914" s="20" t="s">
        <v>299</v>
      </c>
      <c r="C914" s="20" t="s">
        <v>118</v>
      </c>
      <c r="D914" s="20" t="s">
        <v>889</v>
      </c>
      <c r="E914" s="32" t="s">
        <v>134</v>
      </c>
      <c r="F914" s="6">
        <f>'Пр.4 ведом.21'!G456</f>
        <v>896</v>
      </c>
    </row>
    <row r="915" spans="1:6" s="203" customFormat="1" ht="31.5" x14ac:dyDescent="0.25">
      <c r="A915" s="23" t="s">
        <v>333</v>
      </c>
      <c r="B915" s="24" t="s">
        <v>299</v>
      </c>
      <c r="C915" s="24" t="s">
        <v>150</v>
      </c>
      <c r="D915" s="24"/>
      <c r="E915" s="32"/>
      <c r="F915" s="4">
        <f>F916+F929+F950+F956</f>
        <v>20822.194099999997</v>
      </c>
    </row>
    <row r="916" spans="1:6" s="203" customFormat="1" ht="31.5" x14ac:dyDescent="0.25">
      <c r="A916" s="23" t="s">
        <v>917</v>
      </c>
      <c r="B916" s="24" t="s">
        <v>299</v>
      </c>
      <c r="C916" s="24" t="s">
        <v>150</v>
      </c>
      <c r="D916" s="24" t="s">
        <v>858</v>
      </c>
      <c r="E916" s="32"/>
      <c r="F916" s="4">
        <f>F917</f>
        <v>7046.3579999999993</v>
      </c>
    </row>
    <row r="917" spans="1:6" s="203" customFormat="1" ht="15.75" x14ac:dyDescent="0.25">
      <c r="A917" s="23" t="s">
        <v>918</v>
      </c>
      <c r="B917" s="24" t="s">
        <v>299</v>
      </c>
      <c r="C917" s="24" t="s">
        <v>150</v>
      </c>
      <c r="D917" s="24" t="s">
        <v>859</v>
      </c>
      <c r="E917" s="32"/>
      <c r="F917" s="4">
        <f>F918+F923+F926</f>
        <v>7046.3579999999993</v>
      </c>
    </row>
    <row r="918" spans="1:6" s="203" customFormat="1" ht="31.5" x14ac:dyDescent="0.25">
      <c r="A918" s="25" t="s">
        <v>897</v>
      </c>
      <c r="B918" s="20" t="s">
        <v>299</v>
      </c>
      <c r="C918" s="20" t="s">
        <v>150</v>
      </c>
      <c r="D918" s="20" t="s">
        <v>860</v>
      </c>
      <c r="E918" s="32"/>
      <c r="F918" s="6">
        <f>F919+F921</f>
        <v>6703.5999999999995</v>
      </c>
    </row>
    <row r="919" spans="1:6" s="203" customFormat="1" ht="78.75" x14ac:dyDescent="0.25">
      <c r="A919" s="25" t="s">
        <v>127</v>
      </c>
      <c r="B919" s="20" t="s">
        <v>299</v>
      </c>
      <c r="C919" s="20" t="s">
        <v>150</v>
      </c>
      <c r="D919" s="20" t="s">
        <v>860</v>
      </c>
      <c r="E919" s="32" t="s">
        <v>128</v>
      </c>
      <c r="F919" s="6">
        <f>F920</f>
        <v>6703.5999999999995</v>
      </c>
    </row>
    <row r="920" spans="1:6" ht="31.5" x14ac:dyDescent="0.25">
      <c r="A920" s="25" t="s">
        <v>129</v>
      </c>
      <c r="B920" s="20" t="s">
        <v>299</v>
      </c>
      <c r="C920" s="20" t="s">
        <v>150</v>
      </c>
      <c r="D920" s="20" t="s">
        <v>860</v>
      </c>
      <c r="E920" s="40" t="s">
        <v>130</v>
      </c>
      <c r="F920" s="6">
        <f>'Пр.4 ведом.21'!G462</f>
        <v>6703.5999999999995</v>
      </c>
    </row>
    <row r="921" spans="1:6" ht="31.5" hidden="1" x14ac:dyDescent="0.25">
      <c r="A921" s="25" t="s">
        <v>131</v>
      </c>
      <c r="B921" s="20" t="s">
        <v>299</v>
      </c>
      <c r="C921" s="20" t="s">
        <v>150</v>
      </c>
      <c r="D921" s="20" t="s">
        <v>860</v>
      </c>
      <c r="E921" s="40" t="s">
        <v>132</v>
      </c>
      <c r="F921" s="6">
        <f>F922</f>
        <v>0</v>
      </c>
    </row>
    <row r="922" spans="1:6" ht="31.5" hidden="1" x14ac:dyDescent="0.25">
      <c r="A922" s="25" t="s">
        <v>133</v>
      </c>
      <c r="B922" s="20" t="s">
        <v>299</v>
      </c>
      <c r="C922" s="20" t="s">
        <v>150</v>
      </c>
      <c r="D922" s="20" t="s">
        <v>860</v>
      </c>
      <c r="E922" s="40" t="s">
        <v>134</v>
      </c>
      <c r="F922" s="6">
        <f>'Пр.4 ведом.21'!G464</f>
        <v>0</v>
      </c>
    </row>
    <row r="923" spans="1:6" ht="47.25" x14ac:dyDescent="0.25">
      <c r="A923" s="25" t="s">
        <v>839</v>
      </c>
      <c r="B923" s="20" t="s">
        <v>299</v>
      </c>
      <c r="C923" s="20" t="s">
        <v>150</v>
      </c>
      <c r="D923" s="20" t="s">
        <v>862</v>
      </c>
      <c r="E923" s="40"/>
      <c r="F923" s="6">
        <f>F924</f>
        <v>215.20000000000002</v>
      </c>
    </row>
    <row r="924" spans="1:6" ht="78.75" x14ac:dyDescent="0.25">
      <c r="A924" s="25" t="s">
        <v>127</v>
      </c>
      <c r="B924" s="20" t="s">
        <v>299</v>
      </c>
      <c r="C924" s="20" t="s">
        <v>150</v>
      </c>
      <c r="D924" s="20" t="s">
        <v>862</v>
      </c>
      <c r="E924" s="40" t="s">
        <v>128</v>
      </c>
      <c r="F924" s="6">
        <f t="shared" ref="F924" si="89">F925</f>
        <v>215.20000000000002</v>
      </c>
    </row>
    <row r="925" spans="1:6" ht="31.5" x14ac:dyDescent="0.25">
      <c r="A925" s="25" t="s">
        <v>129</v>
      </c>
      <c r="B925" s="20" t="s">
        <v>299</v>
      </c>
      <c r="C925" s="20" t="s">
        <v>150</v>
      </c>
      <c r="D925" s="20" t="s">
        <v>862</v>
      </c>
      <c r="E925" s="40" t="s">
        <v>130</v>
      </c>
      <c r="F925" s="6">
        <f>'Пр.4 ведом.21'!G467</f>
        <v>215.20000000000002</v>
      </c>
    </row>
    <row r="926" spans="1:6" s="457" customFormat="1" ht="31.5" x14ac:dyDescent="0.25">
      <c r="A926" s="466" t="s">
        <v>1793</v>
      </c>
      <c r="B926" s="462" t="s">
        <v>299</v>
      </c>
      <c r="C926" s="462" t="s">
        <v>150</v>
      </c>
      <c r="D926" s="462" t="s">
        <v>1794</v>
      </c>
      <c r="E926" s="462"/>
      <c r="F926" s="459">
        <f>F927</f>
        <v>127.55800000000001</v>
      </c>
    </row>
    <row r="927" spans="1:6" s="457" customFormat="1" ht="78.75" x14ac:dyDescent="0.25">
      <c r="A927" s="466" t="s">
        <v>127</v>
      </c>
      <c r="B927" s="462" t="s">
        <v>299</v>
      </c>
      <c r="C927" s="462" t="s">
        <v>150</v>
      </c>
      <c r="D927" s="462" t="s">
        <v>1794</v>
      </c>
      <c r="E927" s="462" t="s">
        <v>128</v>
      </c>
      <c r="F927" s="459">
        <f>F928</f>
        <v>127.55800000000001</v>
      </c>
    </row>
    <row r="928" spans="1:6" s="457" customFormat="1" ht="31.5" x14ac:dyDescent="0.25">
      <c r="A928" s="466" t="s">
        <v>129</v>
      </c>
      <c r="B928" s="462" t="s">
        <v>299</v>
      </c>
      <c r="C928" s="462" t="s">
        <v>150</v>
      </c>
      <c r="D928" s="462" t="s">
        <v>1794</v>
      </c>
      <c r="E928" s="462" t="s">
        <v>130</v>
      </c>
      <c r="F928" s="459">
        <f>'Пр.4 ведом.21'!G470</f>
        <v>127.55800000000001</v>
      </c>
    </row>
    <row r="929" spans="1:6" ht="15.75" x14ac:dyDescent="0.25">
      <c r="A929" s="23" t="s">
        <v>926</v>
      </c>
      <c r="B929" s="24" t="s">
        <v>299</v>
      </c>
      <c r="C929" s="24" t="s">
        <v>150</v>
      </c>
      <c r="D929" s="24" t="s">
        <v>866</v>
      </c>
      <c r="E929" s="40"/>
      <c r="F929" s="4">
        <f>F934+F930</f>
        <v>13593.836099999999</v>
      </c>
    </row>
    <row r="930" spans="1:6" s="457" customFormat="1" ht="31.5" x14ac:dyDescent="0.25">
      <c r="A930" s="34" t="s">
        <v>870</v>
      </c>
      <c r="B930" s="465" t="s">
        <v>299</v>
      </c>
      <c r="C930" s="465" t="s">
        <v>150</v>
      </c>
      <c r="D930" s="465" t="s">
        <v>865</v>
      </c>
      <c r="E930" s="7"/>
      <c r="F930" s="458">
        <f>F931</f>
        <v>1185</v>
      </c>
    </row>
    <row r="931" spans="1:6" s="457" customFormat="1" ht="47.25" x14ac:dyDescent="0.25">
      <c r="A931" s="31" t="s">
        <v>1687</v>
      </c>
      <c r="B931" s="462" t="s">
        <v>299</v>
      </c>
      <c r="C931" s="462" t="s">
        <v>150</v>
      </c>
      <c r="D931" s="462" t="s">
        <v>1686</v>
      </c>
      <c r="E931" s="469"/>
      <c r="F931" s="459">
        <f>F932</f>
        <v>1185</v>
      </c>
    </row>
    <row r="932" spans="1:6" s="457" customFormat="1" ht="31.5" x14ac:dyDescent="0.25">
      <c r="A932" s="466" t="s">
        <v>131</v>
      </c>
      <c r="B932" s="462" t="s">
        <v>299</v>
      </c>
      <c r="C932" s="462" t="s">
        <v>150</v>
      </c>
      <c r="D932" s="462" t="s">
        <v>1686</v>
      </c>
      <c r="E932" s="469" t="s">
        <v>132</v>
      </c>
      <c r="F932" s="459">
        <f>F933</f>
        <v>1185</v>
      </c>
    </row>
    <row r="933" spans="1:6" s="457" customFormat="1" ht="31.5" x14ac:dyDescent="0.25">
      <c r="A933" s="466" t="s">
        <v>133</v>
      </c>
      <c r="B933" s="462" t="s">
        <v>299</v>
      </c>
      <c r="C933" s="462" t="s">
        <v>150</v>
      </c>
      <c r="D933" s="462" t="s">
        <v>1686</v>
      </c>
      <c r="E933" s="469" t="s">
        <v>134</v>
      </c>
      <c r="F933" s="459">
        <f>'Пр.4 ведом.21'!G475</f>
        <v>1185</v>
      </c>
    </row>
    <row r="934" spans="1:6" ht="31.5" x14ac:dyDescent="0.25">
      <c r="A934" s="23" t="s">
        <v>929</v>
      </c>
      <c r="B934" s="24" t="s">
        <v>299</v>
      </c>
      <c r="C934" s="24" t="s">
        <v>150</v>
      </c>
      <c r="D934" s="24" t="s">
        <v>914</v>
      </c>
      <c r="E934" s="40"/>
      <c r="F934" s="4">
        <f>F935+F944+F947</f>
        <v>12408.836099999999</v>
      </c>
    </row>
    <row r="935" spans="1:6" ht="31.5" x14ac:dyDescent="0.25">
      <c r="A935" s="25" t="s">
        <v>903</v>
      </c>
      <c r="B935" s="20" t="s">
        <v>299</v>
      </c>
      <c r="C935" s="20" t="s">
        <v>150</v>
      </c>
      <c r="D935" s="20" t="s">
        <v>915</v>
      </c>
      <c r="E935" s="40"/>
      <c r="F935" s="6">
        <f>F936+F938+F942+F940</f>
        <v>11930.699999999999</v>
      </c>
    </row>
    <row r="936" spans="1:6" ht="78.75" x14ac:dyDescent="0.25">
      <c r="A936" s="25" t="s">
        <v>127</v>
      </c>
      <c r="B936" s="20" t="s">
        <v>299</v>
      </c>
      <c r="C936" s="20" t="s">
        <v>150</v>
      </c>
      <c r="D936" s="20" t="s">
        <v>915</v>
      </c>
      <c r="E936" s="40" t="s">
        <v>128</v>
      </c>
      <c r="F936" s="6">
        <f t="shared" ref="F936" si="90">F937</f>
        <v>9857.4</v>
      </c>
    </row>
    <row r="937" spans="1:6" ht="21.75" customHeight="1" x14ac:dyDescent="0.25">
      <c r="A937" s="25" t="s">
        <v>342</v>
      </c>
      <c r="B937" s="20" t="s">
        <v>299</v>
      </c>
      <c r="C937" s="20" t="s">
        <v>150</v>
      </c>
      <c r="D937" s="20" t="s">
        <v>915</v>
      </c>
      <c r="E937" s="40" t="s">
        <v>209</v>
      </c>
      <c r="F937" s="6">
        <f>'Пр.4 ведом.21'!G479</f>
        <v>9857.4</v>
      </c>
    </row>
    <row r="938" spans="1:6" ht="31.5" x14ac:dyDescent="0.25">
      <c r="A938" s="25" t="s">
        <v>131</v>
      </c>
      <c r="B938" s="20" t="s">
        <v>299</v>
      </c>
      <c r="C938" s="20" t="s">
        <v>150</v>
      </c>
      <c r="D938" s="20" t="s">
        <v>915</v>
      </c>
      <c r="E938" s="40" t="s">
        <v>132</v>
      </c>
      <c r="F938" s="6">
        <f t="shared" ref="F938:F942" si="91">F939</f>
        <v>1908.1999999999998</v>
      </c>
    </row>
    <row r="939" spans="1:6" ht="31.5" x14ac:dyDescent="0.25">
      <c r="A939" s="25" t="s">
        <v>133</v>
      </c>
      <c r="B939" s="20" t="s">
        <v>299</v>
      </c>
      <c r="C939" s="20" t="s">
        <v>150</v>
      </c>
      <c r="D939" s="20" t="s">
        <v>915</v>
      </c>
      <c r="E939" s="40" t="s">
        <v>134</v>
      </c>
      <c r="F939" s="6">
        <f>'Пр.4 ведом.21'!G481</f>
        <v>1908.1999999999998</v>
      </c>
    </row>
    <row r="940" spans="1:6" s="457" customFormat="1" ht="31.5" x14ac:dyDescent="0.25">
      <c r="A940" s="466" t="s">
        <v>248</v>
      </c>
      <c r="B940" s="462" t="s">
        <v>299</v>
      </c>
      <c r="C940" s="462" t="s">
        <v>150</v>
      </c>
      <c r="D940" s="462" t="s">
        <v>915</v>
      </c>
      <c r="E940" s="462" t="s">
        <v>249</v>
      </c>
      <c r="F940" s="27">
        <f>F941</f>
        <v>147</v>
      </c>
    </row>
    <row r="941" spans="1:6" s="457" customFormat="1" ht="31.5" x14ac:dyDescent="0.25">
      <c r="A941" s="466" t="s">
        <v>250</v>
      </c>
      <c r="B941" s="462" t="s">
        <v>299</v>
      </c>
      <c r="C941" s="462" t="s">
        <v>150</v>
      </c>
      <c r="D941" s="462" t="s">
        <v>915</v>
      </c>
      <c r="E941" s="462" t="s">
        <v>251</v>
      </c>
      <c r="F941" s="27">
        <f>'Пр.4 ведом.21'!G483</f>
        <v>147</v>
      </c>
    </row>
    <row r="942" spans="1:6" ht="15.75" x14ac:dyDescent="0.25">
      <c r="A942" s="25" t="s">
        <v>135</v>
      </c>
      <c r="B942" s="20" t="s">
        <v>299</v>
      </c>
      <c r="C942" s="20" t="s">
        <v>150</v>
      </c>
      <c r="D942" s="20" t="s">
        <v>915</v>
      </c>
      <c r="E942" s="40" t="s">
        <v>145</v>
      </c>
      <c r="F942" s="6">
        <f t="shared" si="91"/>
        <v>18.100000000000001</v>
      </c>
    </row>
    <row r="943" spans="1:6" ht="15.75" x14ac:dyDescent="0.25">
      <c r="A943" s="25" t="s">
        <v>568</v>
      </c>
      <c r="B943" s="20" t="s">
        <v>299</v>
      </c>
      <c r="C943" s="20" t="s">
        <v>150</v>
      </c>
      <c r="D943" s="20" t="s">
        <v>915</v>
      </c>
      <c r="E943" s="40" t="s">
        <v>138</v>
      </c>
      <c r="F943" s="6">
        <f>'Пр.4 ведом.21'!G485</f>
        <v>18.100000000000001</v>
      </c>
    </row>
    <row r="944" spans="1:6" ht="47.25" x14ac:dyDescent="0.25">
      <c r="A944" s="25" t="s">
        <v>839</v>
      </c>
      <c r="B944" s="20" t="s">
        <v>299</v>
      </c>
      <c r="C944" s="20" t="s">
        <v>150</v>
      </c>
      <c r="D944" s="20" t="s">
        <v>916</v>
      </c>
      <c r="E944" s="40"/>
      <c r="F944" s="6">
        <f>F945</f>
        <v>357.6</v>
      </c>
    </row>
    <row r="945" spans="1:6" ht="78.75" x14ac:dyDescent="0.25">
      <c r="A945" s="25" t="s">
        <v>127</v>
      </c>
      <c r="B945" s="20" t="s">
        <v>299</v>
      </c>
      <c r="C945" s="20" t="s">
        <v>150</v>
      </c>
      <c r="D945" s="20" t="s">
        <v>916</v>
      </c>
      <c r="E945" s="40" t="s">
        <v>128</v>
      </c>
      <c r="F945" s="6">
        <f t="shared" ref="F945" si="92">F946</f>
        <v>357.6</v>
      </c>
    </row>
    <row r="946" spans="1:6" ht="31.5" x14ac:dyDescent="0.25">
      <c r="A946" s="25" t="s">
        <v>129</v>
      </c>
      <c r="B946" s="20" t="s">
        <v>299</v>
      </c>
      <c r="C946" s="20" t="s">
        <v>150</v>
      </c>
      <c r="D946" s="20" t="s">
        <v>916</v>
      </c>
      <c r="E946" s="40" t="s">
        <v>209</v>
      </c>
      <c r="F946" s="6">
        <f>'Пр.4 ведом.21'!G488</f>
        <v>357.6</v>
      </c>
    </row>
    <row r="947" spans="1:6" s="457" customFormat="1" ht="31.5" x14ac:dyDescent="0.25">
      <c r="A947" s="466" t="s">
        <v>1793</v>
      </c>
      <c r="B947" s="462" t="s">
        <v>299</v>
      </c>
      <c r="C947" s="462" t="s">
        <v>150</v>
      </c>
      <c r="D947" s="462" t="s">
        <v>1797</v>
      </c>
      <c r="E947" s="462"/>
      <c r="F947" s="459">
        <f>F948</f>
        <v>120.5361</v>
      </c>
    </row>
    <row r="948" spans="1:6" s="457" customFormat="1" ht="78.75" x14ac:dyDescent="0.25">
      <c r="A948" s="466" t="s">
        <v>127</v>
      </c>
      <c r="B948" s="462" t="s">
        <v>299</v>
      </c>
      <c r="C948" s="462" t="s">
        <v>150</v>
      </c>
      <c r="D948" s="462" t="s">
        <v>1797</v>
      </c>
      <c r="E948" s="462" t="s">
        <v>128</v>
      </c>
      <c r="F948" s="459">
        <f>F949</f>
        <v>120.5361</v>
      </c>
    </row>
    <row r="949" spans="1:6" s="457" customFormat="1" ht="15.75" x14ac:dyDescent="0.25">
      <c r="A949" s="466" t="s">
        <v>208</v>
      </c>
      <c r="B949" s="462" t="s">
        <v>299</v>
      </c>
      <c r="C949" s="462" t="s">
        <v>150</v>
      </c>
      <c r="D949" s="462" t="s">
        <v>1797</v>
      </c>
      <c r="E949" s="462" t="s">
        <v>209</v>
      </c>
      <c r="F949" s="459">
        <f>'Пр.4 ведом.21'!G491</f>
        <v>120.5361</v>
      </c>
    </row>
    <row r="950" spans="1:6" ht="47.25" x14ac:dyDescent="0.25">
      <c r="A950" s="23" t="s">
        <v>1358</v>
      </c>
      <c r="B950" s="24" t="s">
        <v>299</v>
      </c>
      <c r="C950" s="24" t="s">
        <v>150</v>
      </c>
      <c r="D950" s="24" t="s">
        <v>344</v>
      </c>
      <c r="E950" s="40"/>
      <c r="F950" s="4">
        <f>F951</f>
        <v>178</v>
      </c>
    </row>
    <row r="951" spans="1:6" ht="31.5" x14ac:dyDescent="0.25">
      <c r="A951" s="23" t="s">
        <v>355</v>
      </c>
      <c r="B951" s="24" t="s">
        <v>299</v>
      </c>
      <c r="C951" s="24" t="s">
        <v>150</v>
      </c>
      <c r="D951" s="24" t="s">
        <v>362</v>
      </c>
      <c r="E951" s="40"/>
      <c r="F951" s="4">
        <f>F952</f>
        <v>178</v>
      </c>
    </row>
    <row r="952" spans="1:6" ht="31.5" x14ac:dyDescent="0.25">
      <c r="A952" s="23" t="s">
        <v>997</v>
      </c>
      <c r="B952" s="24" t="s">
        <v>299</v>
      </c>
      <c r="C952" s="24" t="s">
        <v>150</v>
      </c>
      <c r="D952" s="24" t="s">
        <v>1226</v>
      </c>
      <c r="E952" s="40"/>
      <c r="F952" s="4">
        <f>F953</f>
        <v>178</v>
      </c>
    </row>
    <row r="953" spans="1:6" ht="31.5" x14ac:dyDescent="0.25">
      <c r="A953" s="25" t="s">
        <v>996</v>
      </c>
      <c r="B953" s="20" t="s">
        <v>299</v>
      </c>
      <c r="C953" s="20" t="s">
        <v>150</v>
      </c>
      <c r="D953" s="20" t="s">
        <v>1227</v>
      </c>
      <c r="E953" s="40"/>
      <c r="F953" s="6">
        <f t="shared" ref="F953" si="93">F954</f>
        <v>178</v>
      </c>
    </row>
    <row r="954" spans="1:6" ht="31.5" x14ac:dyDescent="0.25">
      <c r="A954" s="25" t="s">
        <v>131</v>
      </c>
      <c r="B954" s="20" t="s">
        <v>299</v>
      </c>
      <c r="C954" s="20" t="s">
        <v>150</v>
      </c>
      <c r="D954" s="20" t="s">
        <v>1227</v>
      </c>
      <c r="E954" s="40" t="s">
        <v>132</v>
      </c>
      <c r="F954" s="6">
        <f>F955</f>
        <v>178</v>
      </c>
    </row>
    <row r="955" spans="1:6" ht="31.5" x14ac:dyDescent="0.25">
      <c r="A955" s="25" t="s">
        <v>133</v>
      </c>
      <c r="B955" s="20" t="s">
        <v>299</v>
      </c>
      <c r="C955" s="20" t="s">
        <v>150</v>
      </c>
      <c r="D955" s="20" t="s">
        <v>1227</v>
      </c>
      <c r="E955" s="40" t="s">
        <v>134</v>
      </c>
      <c r="F955" s="6">
        <f>'Пр.4 ведом.21'!G497</f>
        <v>178</v>
      </c>
    </row>
    <row r="956" spans="1:6" s="203" customFormat="1" ht="47.25" x14ac:dyDescent="0.25">
      <c r="A956" s="34" t="s">
        <v>1368</v>
      </c>
      <c r="B956" s="24" t="s">
        <v>299</v>
      </c>
      <c r="C956" s="24" t="s">
        <v>150</v>
      </c>
      <c r="D956" s="24" t="s">
        <v>324</v>
      </c>
      <c r="E956" s="24"/>
      <c r="F956" s="21">
        <f>F958</f>
        <v>4</v>
      </c>
    </row>
    <row r="957" spans="1:6" s="203" customFormat="1" ht="63" x14ac:dyDescent="0.25">
      <c r="A957" s="34" t="s">
        <v>1025</v>
      </c>
      <c r="B957" s="24" t="s">
        <v>299</v>
      </c>
      <c r="C957" s="24" t="s">
        <v>150</v>
      </c>
      <c r="D957" s="24" t="s">
        <v>934</v>
      </c>
      <c r="E957" s="24"/>
      <c r="F957" s="21">
        <f>F960</f>
        <v>4</v>
      </c>
    </row>
    <row r="958" spans="1:6" s="203" customFormat="1" ht="47.25" x14ac:dyDescent="0.25">
      <c r="A958" s="31" t="s">
        <v>1083</v>
      </c>
      <c r="B958" s="20" t="s">
        <v>299</v>
      </c>
      <c r="C958" s="20" t="s">
        <v>150</v>
      </c>
      <c r="D958" s="20" t="s">
        <v>1026</v>
      </c>
      <c r="E958" s="20"/>
      <c r="F958" s="26">
        <f>F959</f>
        <v>4</v>
      </c>
    </row>
    <row r="959" spans="1:6" s="203" customFormat="1" ht="31.5" x14ac:dyDescent="0.25">
      <c r="A959" s="25" t="s">
        <v>131</v>
      </c>
      <c r="B959" s="20" t="s">
        <v>299</v>
      </c>
      <c r="C959" s="20" t="s">
        <v>150</v>
      </c>
      <c r="D959" s="20" t="s">
        <v>1026</v>
      </c>
      <c r="E959" s="20" t="s">
        <v>132</v>
      </c>
      <c r="F959" s="26">
        <f>F960</f>
        <v>4</v>
      </c>
    </row>
    <row r="960" spans="1:6" s="203" customFormat="1" ht="31.5" x14ac:dyDescent="0.25">
      <c r="A960" s="25" t="s">
        <v>133</v>
      </c>
      <c r="B960" s="20" t="s">
        <v>299</v>
      </c>
      <c r="C960" s="20" t="s">
        <v>150</v>
      </c>
      <c r="D960" s="20" t="s">
        <v>1026</v>
      </c>
      <c r="E960" s="20" t="s">
        <v>134</v>
      </c>
      <c r="F960" s="26">
        <f>'Пр.4 ведом.21'!G502</f>
        <v>4</v>
      </c>
    </row>
    <row r="961" spans="1:12" s="203" customFormat="1" ht="15.75" x14ac:dyDescent="0.25">
      <c r="A961" s="23" t="s">
        <v>243</v>
      </c>
      <c r="B961" s="24" t="s">
        <v>244</v>
      </c>
      <c r="C961" s="24"/>
      <c r="D961" s="24"/>
      <c r="E961" s="24"/>
      <c r="F961" s="4">
        <f>F962+F968+F1002+F997</f>
        <v>16120.630000000001</v>
      </c>
      <c r="G961" s="203">
        <v>17213.900000000001</v>
      </c>
      <c r="H961" s="22"/>
      <c r="K961" s="231">
        <f>F961-'Пр.4 ведом.21'!N1249-'Пр.4 ведом.21'!W1259-F998-F1004</f>
        <v>12501.43</v>
      </c>
      <c r="L961" s="231">
        <f>F994+F999+F1005-'Пр.4 ведом.21'!N1248-'Пр.4 ведом.21'!W1258</f>
        <v>3609.2000000000007</v>
      </c>
    </row>
    <row r="962" spans="1:12" s="203" customFormat="1" ht="15.75" x14ac:dyDescent="0.25">
      <c r="A962" s="23" t="s">
        <v>245</v>
      </c>
      <c r="B962" s="24" t="s">
        <v>244</v>
      </c>
      <c r="C962" s="24" t="s">
        <v>118</v>
      </c>
      <c r="D962" s="24"/>
      <c r="E962" s="24"/>
      <c r="F962" s="4">
        <f>F963</f>
        <v>11049.23</v>
      </c>
    </row>
    <row r="963" spans="1:12" s="203" customFormat="1" ht="15.75" x14ac:dyDescent="0.25">
      <c r="A963" s="23" t="s">
        <v>141</v>
      </c>
      <c r="B963" s="24" t="s">
        <v>244</v>
      </c>
      <c r="C963" s="24" t="s">
        <v>118</v>
      </c>
      <c r="D963" s="24" t="s">
        <v>866</v>
      </c>
      <c r="E963" s="24"/>
      <c r="F963" s="4">
        <f>F964</f>
        <v>11049.23</v>
      </c>
    </row>
    <row r="964" spans="1:12" s="203" customFormat="1" ht="31.5" x14ac:dyDescent="0.25">
      <c r="A964" s="23" t="s">
        <v>870</v>
      </c>
      <c r="B964" s="24" t="s">
        <v>244</v>
      </c>
      <c r="C964" s="24" t="s">
        <v>118</v>
      </c>
      <c r="D964" s="24" t="s">
        <v>865</v>
      </c>
      <c r="E964" s="24"/>
      <c r="F964" s="4">
        <f>F965</f>
        <v>11049.23</v>
      </c>
    </row>
    <row r="965" spans="1:12" s="203" customFormat="1" ht="15.75" x14ac:dyDescent="0.25">
      <c r="A965" s="25" t="s">
        <v>246</v>
      </c>
      <c r="B965" s="20" t="s">
        <v>244</v>
      </c>
      <c r="C965" s="20" t="s">
        <v>118</v>
      </c>
      <c r="D965" s="20" t="s">
        <v>881</v>
      </c>
      <c r="E965" s="20"/>
      <c r="F965" s="6">
        <f>F966</f>
        <v>11049.23</v>
      </c>
    </row>
    <row r="966" spans="1:12" s="203" customFormat="1" ht="18" customHeight="1" x14ac:dyDescent="0.25">
      <c r="A966" s="25" t="s">
        <v>248</v>
      </c>
      <c r="B966" s="20" t="s">
        <v>244</v>
      </c>
      <c r="C966" s="20" t="s">
        <v>118</v>
      </c>
      <c r="D966" s="20" t="s">
        <v>881</v>
      </c>
      <c r="E966" s="20" t="s">
        <v>249</v>
      </c>
      <c r="F966" s="6">
        <f>F967</f>
        <v>11049.23</v>
      </c>
    </row>
    <row r="967" spans="1:12" s="203" customFormat="1" ht="31.5" x14ac:dyDescent="0.25">
      <c r="A967" s="25" t="s">
        <v>250</v>
      </c>
      <c r="B967" s="20" t="s">
        <v>244</v>
      </c>
      <c r="C967" s="20" t="s">
        <v>118</v>
      </c>
      <c r="D967" s="20" t="s">
        <v>881</v>
      </c>
      <c r="E967" s="20" t="s">
        <v>251</v>
      </c>
      <c r="F967" s="6">
        <f>'Пр.4 ведом.21'!G244</f>
        <v>11049.23</v>
      </c>
    </row>
    <row r="968" spans="1:12" ht="15.75" x14ac:dyDescent="0.25">
      <c r="A968" s="23" t="s">
        <v>252</v>
      </c>
      <c r="B968" s="24" t="s">
        <v>244</v>
      </c>
      <c r="C968" s="24" t="s">
        <v>215</v>
      </c>
      <c r="D968" s="24"/>
      <c r="E968" s="24"/>
      <c r="F968" s="4">
        <f>F969+F992</f>
        <v>1452.2</v>
      </c>
    </row>
    <row r="969" spans="1:12" ht="47.25" x14ac:dyDescent="0.25">
      <c r="A969" s="23" t="s">
        <v>1383</v>
      </c>
      <c r="B969" s="24" t="s">
        <v>244</v>
      </c>
      <c r="C969" s="24" t="s">
        <v>215</v>
      </c>
      <c r="D969" s="24" t="s">
        <v>344</v>
      </c>
      <c r="E969" s="24"/>
      <c r="F969" s="4">
        <f>F970+F975</f>
        <v>1452.2</v>
      </c>
    </row>
    <row r="970" spans="1:12" ht="31.5" hidden="1" x14ac:dyDescent="0.25">
      <c r="A970" s="23" t="s">
        <v>352</v>
      </c>
      <c r="B970" s="24" t="s">
        <v>244</v>
      </c>
      <c r="C970" s="24" t="s">
        <v>215</v>
      </c>
      <c r="D970" s="24" t="s">
        <v>353</v>
      </c>
      <c r="E970" s="24"/>
      <c r="F970" s="4">
        <f t="shared" ref="F970" si="94">F971</f>
        <v>0</v>
      </c>
    </row>
    <row r="971" spans="1:12" ht="30.2" hidden="1" customHeight="1" x14ac:dyDescent="0.25">
      <c r="A971" s="23" t="s">
        <v>905</v>
      </c>
      <c r="B971" s="24" t="s">
        <v>244</v>
      </c>
      <c r="C971" s="24" t="s">
        <v>215</v>
      </c>
      <c r="D971" s="24" t="s">
        <v>904</v>
      </c>
      <c r="E971" s="24"/>
      <c r="F971" s="4">
        <f>F972</f>
        <v>0</v>
      </c>
    </row>
    <row r="972" spans="1:12" ht="31.5" hidden="1" x14ac:dyDescent="0.25">
      <c r="A972" s="25" t="s">
        <v>824</v>
      </c>
      <c r="B972" s="20" t="s">
        <v>244</v>
      </c>
      <c r="C972" s="20" t="s">
        <v>215</v>
      </c>
      <c r="D972" s="20" t="s">
        <v>906</v>
      </c>
      <c r="E972" s="20"/>
      <c r="F972" s="6">
        <f>F973</f>
        <v>0</v>
      </c>
    </row>
    <row r="973" spans="1:12" ht="19.5" hidden="1" customHeight="1" x14ac:dyDescent="0.25">
      <c r="A973" s="25" t="s">
        <v>248</v>
      </c>
      <c r="B973" s="20" t="s">
        <v>244</v>
      </c>
      <c r="C973" s="20" t="s">
        <v>215</v>
      </c>
      <c r="D973" s="20" t="s">
        <v>906</v>
      </c>
      <c r="E973" s="20" t="s">
        <v>249</v>
      </c>
      <c r="F973" s="6">
        <f t="shared" ref="F973" si="95">F974</f>
        <v>0</v>
      </c>
    </row>
    <row r="974" spans="1:12" ht="31.5" hidden="1" x14ac:dyDescent="0.25">
      <c r="A974" s="25" t="s">
        <v>250</v>
      </c>
      <c r="B974" s="20" t="s">
        <v>244</v>
      </c>
      <c r="C974" s="20" t="s">
        <v>215</v>
      </c>
      <c r="D974" s="20" t="s">
        <v>906</v>
      </c>
      <c r="E974" s="20" t="s">
        <v>251</v>
      </c>
      <c r="F974" s="6">
        <f>'Пр.4 ведом.21'!G510</f>
        <v>0</v>
      </c>
    </row>
    <row r="975" spans="1:12" ht="37.5" customHeight="1" x14ac:dyDescent="0.25">
      <c r="A975" s="23" t="s">
        <v>355</v>
      </c>
      <c r="B975" s="19">
        <v>10</v>
      </c>
      <c r="C975" s="24" t="s">
        <v>215</v>
      </c>
      <c r="D975" s="24" t="s">
        <v>362</v>
      </c>
      <c r="E975" s="24"/>
      <c r="F975" s="4">
        <f>F976+F982+F988</f>
        <v>1452.2</v>
      </c>
    </row>
    <row r="976" spans="1:12" ht="31.5" x14ac:dyDescent="0.25">
      <c r="A976" s="23" t="s">
        <v>1040</v>
      </c>
      <c r="B976" s="24" t="s">
        <v>244</v>
      </c>
      <c r="C976" s="24" t="s">
        <v>215</v>
      </c>
      <c r="D976" s="24" t="s">
        <v>913</v>
      </c>
      <c r="E976" s="24"/>
      <c r="F976" s="21">
        <f>F977</f>
        <v>1027.2</v>
      </c>
    </row>
    <row r="977" spans="1:6" ht="47.25" x14ac:dyDescent="0.25">
      <c r="A977" s="98" t="s">
        <v>1041</v>
      </c>
      <c r="B977" s="20" t="s">
        <v>244</v>
      </c>
      <c r="C977" s="20" t="s">
        <v>215</v>
      </c>
      <c r="D977" s="20" t="s">
        <v>1229</v>
      </c>
      <c r="E977" s="20"/>
      <c r="F977" s="26">
        <f>F980+F978</f>
        <v>1027.2</v>
      </c>
    </row>
    <row r="978" spans="1:6" s="203" customFormat="1" ht="31.5" x14ac:dyDescent="0.25">
      <c r="A978" s="25" t="s">
        <v>131</v>
      </c>
      <c r="B978" s="20" t="s">
        <v>244</v>
      </c>
      <c r="C978" s="20" t="s">
        <v>215</v>
      </c>
      <c r="D978" s="20" t="s">
        <v>1229</v>
      </c>
      <c r="E978" s="20" t="s">
        <v>132</v>
      </c>
      <c r="F978" s="26">
        <f>F979</f>
        <v>529.20000000000005</v>
      </c>
    </row>
    <row r="979" spans="1:6" s="203" customFormat="1" ht="31.5" x14ac:dyDescent="0.25">
      <c r="A979" s="25" t="s">
        <v>133</v>
      </c>
      <c r="B979" s="20" t="s">
        <v>244</v>
      </c>
      <c r="C979" s="20" t="s">
        <v>215</v>
      </c>
      <c r="D979" s="20" t="s">
        <v>1229</v>
      </c>
      <c r="E979" s="20" t="s">
        <v>134</v>
      </c>
      <c r="F979" s="26">
        <f>'Пр.4 ведом.21'!G515</f>
        <v>529.20000000000005</v>
      </c>
    </row>
    <row r="980" spans="1:6" ht="18.75" customHeight="1" x14ac:dyDescent="0.25">
      <c r="A980" s="25" t="s">
        <v>248</v>
      </c>
      <c r="B980" s="20" t="s">
        <v>244</v>
      </c>
      <c r="C980" s="20" t="s">
        <v>215</v>
      </c>
      <c r="D980" s="20" t="s">
        <v>1229</v>
      </c>
      <c r="E980" s="20" t="s">
        <v>249</v>
      </c>
      <c r="F980" s="26">
        <f>F981</f>
        <v>497.99999999999994</v>
      </c>
    </row>
    <row r="981" spans="1:6" ht="31.7" customHeight="1" x14ac:dyDescent="0.25">
      <c r="A981" s="25" t="s">
        <v>348</v>
      </c>
      <c r="B981" s="20" t="s">
        <v>244</v>
      </c>
      <c r="C981" s="20" t="s">
        <v>215</v>
      </c>
      <c r="D981" s="20" t="s">
        <v>1229</v>
      </c>
      <c r="E981" s="20" t="s">
        <v>349</v>
      </c>
      <c r="F981" s="26">
        <f>'Пр.4 ведом.21'!G517</f>
        <v>497.99999999999994</v>
      </c>
    </row>
    <row r="982" spans="1:6" ht="31.5" x14ac:dyDescent="0.25">
      <c r="A982" s="23" t="s">
        <v>1233</v>
      </c>
      <c r="B982" s="19">
        <v>10</v>
      </c>
      <c r="C982" s="24" t="s">
        <v>215</v>
      </c>
      <c r="D982" s="24" t="s">
        <v>1231</v>
      </c>
      <c r="E982" s="24"/>
      <c r="F982" s="21">
        <f>F983</f>
        <v>205</v>
      </c>
    </row>
    <row r="983" spans="1:6" ht="35.450000000000003" customHeight="1" x14ac:dyDescent="0.25">
      <c r="A983" s="25" t="s">
        <v>1230</v>
      </c>
      <c r="B983" s="20" t="s">
        <v>244</v>
      </c>
      <c r="C983" s="20" t="s">
        <v>215</v>
      </c>
      <c r="D983" s="20" t="s">
        <v>1232</v>
      </c>
      <c r="E983" s="20"/>
      <c r="F983" s="26">
        <f>F985+F987</f>
        <v>205</v>
      </c>
    </row>
    <row r="984" spans="1:6" ht="36" hidden="1" customHeight="1" x14ac:dyDescent="0.25">
      <c r="A984" s="25" t="s">
        <v>131</v>
      </c>
      <c r="B984" s="20" t="s">
        <v>244</v>
      </c>
      <c r="C984" s="20" t="s">
        <v>215</v>
      </c>
      <c r="D984" s="20" t="s">
        <v>1232</v>
      </c>
      <c r="E984" s="20" t="s">
        <v>132</v>
      </c>
      <c r="F984" s="26">
        <f>F985</f>
        <v>0</v>
      </c>
    </row>
    <row r="985" spans="1:6" ht="39.75" hidden="1" customHeight="1" x14ac:dyDescent="0.25">
      <c r="A985" s="25" t="s">
        <v>133</v>
      </c>
      <c r="B985" s="20" t="s">
        <v>244</v>
      </c>
      <c r="C985" s="20" t="s">
        <v>215</v>
      </c>
      <c r="D985" s="20" t="s">
        <v>1232</v>
      </c>
      <c r="E985" s="20" t="s">
        <v>134</v>
      </c>
      <c r="F985" s="26">
        <f>'Пр.4 ведом.21'!G521</f>
        <v>0</v>
      </c>
    </row>
    <row r="986" spans="1:6" ht="19.5" customHeight="1" x14ac:dyDescent="0.25">
      <c r="A986" s="25" t="s">
        <v>248</v>
      </c>
      <c r="B986" s="20" t="s">
        <v>244</v>
      </c>
      <c r="C986" s="20" t="s">
        <v>215</v>
      </c>
      <c r="D986" s="20" t="s">
        <v>1232</v>
      </c>
      <c r="E986" s="20" t="s">
        <v>249</v>
      </c>
      <c r="F986" s="26">
        <f>F987</f>
        <v>205</v>
      </c>
    </row>
    <row r="987" spans="1:6" ht="31.5" x14ac:dyDescent="0.25">
      <c r="A987" s="25" t="s">
        <v>348</v>
      </c>
      <c r="B987" s="20" t="s">
        <v>244</v>
      </c>
      <c r="C987" s="20" t="s">
        <v>215</v>
      </c>
      <c r="D987" s="20" t="s">
        <v>1232</v>
      </c>
      <c r="E987" s="20" t="s">
        <v>349</v>
      </c>
      <c r="F987" s="26">
        <f>'Пр.4 ведом.21'!G523</f>
        <v>205</v>
      </c>
    </row>
    <row r="988" spans="1:6" ht="31.5" x14ac:dyDescent="0.25">
      <c r="A988" s="23" t="s">
        <v>997</v>
      </c>
      <c r="B988" s="19">
        <v>10</v>
      </c>
      <c r="C988" s="24" t="s">
        <v>215</v>
      </c>
      <c r="D988" s="24" t="s">
        <v>1226</v>
      </c>
      <c r="E988" s="24"/>
      <c r="F988" s="21">
        <f>F989</f>
        <v>220</v>
      </c>
    </row>
    <row r="989" spans="1:6" ht="15.75" x14ac:dyDescent="0.25">
      <c r="A989" s="25" t="s">
        <v>1038</v>
      </c>
      <c r="B989" s="20" t="s">
        <v>244</v>
      </c>
      <c r="C989" s="20" t="s">
        <v>215</v>
      </c>
      <c r="D989" s="20" t="s">
        <v>1228</v>
      </c>
      <c r="E989" s="20"/>
      <c r="F989" s="26">
        <f>F990</f>
        <v>220</v>
      </c>
    </row>
    <row r="990" spans="1:6" s="203" customFormat="1" ht="21.75" customHeight="1" x14ac:dyDescent="0.25">
      <c r="A990" s="25" t="s">
        <v>248</v>
      </c>
      <c r="B990" s="20" t="s">
        <v>244</v>
      </c>
      <c r="C990" s="20" t="s">
        <v>215</v>
      </c>
      <c r="D990" s="20" t="s">
        <v>1228</v>
      </c>
      <c r="E990" s="20" t="s">
        <v>249</v>
      </c>
      <c r="F990" s="26">
        <f>F991</f>
        <v>220</v>
      </c>
    </row>
    <row r="991" spans="1:6" s="203" customFormat="1" ht="31.5" x14ac:dyDescent="0.25">
      <c r="A991" s="25" t="s">
        <v>348</v>
      </c>
      <c r="B991" s="20" t="s">
        <v>244</v>
      </c>
      <c r="C991" s="20" t="s">
        <v>215</v>
      </c>
      <c r="D991" s="20" t="s">
        <v>1228</v>
      </c>
      <c r="E991" s="20" t="s">
        <v>349</v>
      </c>
      <c r="F991" s="26">
        <f>'Пр.4 ведом.21'!G527</f>
        <v>220</v>
      </c>
    </row>
    <row r="992" spans="1:6" ht="69" hidden="1" customHeight="1" x14ac:dyDescent="0.25">
      <c r="A992" s="23" t="s">
        <v>1357</v>
      </c>
      <c r="B992" s="24" t="s">
        <v>244</v>
      </c>
      <c r="C992" s="24" t="s">
        <v>215</v>
      </c>
      <c r="D992" s="24" t="s">
        <v>254</v>
      </c>
      <c r="E992" s="24"/>
      <c r="F992" s="4">
        <f t="shared" ref="F992:F994" si="96">F993</f>
        <v>0</v>
      </c>
    </row>
    <row r="993" spans="1:6" ht="47.25" hidden="1" x14ac:dyDescent="0.25">
      <c r="A993" s="23" t="s">
        <v>884</v>
      </c>
      <c r="B993" s="24" t="s">
        <v>244</v>
      </c>
      <c r="C993" s="24" t="s">
        <v>215</v>
      </c>
      <c r="D993" s="24" t="s">
        <v>882</v>
      </c>
      <c r="E993" s="24"/>
      <c r="F993" s="4">
        <f>F994</f>
        <v>0</v>
      </c>
    </row>
    <row r="994" spans="1:6" ht="31.5" hidden="1" x14ac:dyDescent="0.25">
      <c r="A994" s="25" t="s">
        <v>883</v>
      </c>
      <c r="B994" s="20" t="s">
        <v>244</v>
      </c>
      <c r="C994" s="20" t="s">
        <v>215</v>
      </c>
      <c r="D994" s="20" t="s">
        <v>1193</v>
      </c>
      <c r="E994" s="20"/>
      <c r="F994" s="6">
        <f t="shared" si="96"/>
        <v>0</v>
      </c>
    </row>
    <row r="995" spans="1:6" ht="19.5" hidden="1" customHeight="1" x14ac:dyDescent="0.25">
      <c r="A995" s="25" t="s">
        <v>248</v>
      </c>
      <c r="B995" s="20" t="s">
        <v>244</v>
      </c>
      <c r="C995" s="20" t="s">
        <v>215</v>
      </c>
      <c r="D995" s="20" t="s">
        <v>1193</v>
      </c>
      <c r="E995" s="20" t="s">
        <v>249</v>
      </c>
      <c r="F995" s="6">
        <f>F996</f>
        <v>0</v>
      </c>
    </row>
    <row r="996" spans="1:6" ht="31.5" hidden="1" x14ac:dyDescent="0.25">
      <c r="A996" s="25" t="s">
        <v>250</v>
      </c>
      <c r="B996" s="20" t="s">
        <v>244</v>
      </c>
      <c r="C996" s="20" t="s">
        <v>215</v>
      </c>
      <c r="D996" s="20" t="s">
        <v>1193</v>
      </c>
      <c r="E996" s="20" t="s">
        <v>251</v>
      </c>
      <c r="F996" s="6">
        <f>'Пр.4 ведом.21'!G250</f>
        <v>0</v>
      </c>
    </row>
    <row r="997" spans="1:6" s="203" customFormat="1" ht="15.75" hidden="1" x14ac:dyDescent="0.25">
      <c r="A997" s="23" t="s">
        <v>400</v>
      </c>
      <c r="B997" s="24" t="s">
        <v>244</v>
      </c>
      <c r="C997" s="24" t="s">
        <v>150</v>
      </c>
      <c r="D997" s="24"/>
      <c r="E997" s="24"/>
      <c r="F997" s="4">
        <f>F998</f>
        <v>0</v>
      </c>
    </row>
    <row r="998" spans="1:6" s="203" customFormat="1" ht="31.5" hidden="1" x14ac:dyDescent="0.25">
      <c r="A998" s="23" t="s">
        <v>885</v>
      </c>
      <c r="B998" s="24" t="s">
        <v>244</v>
      </c>
      <c r="C998" s="24" t="s">
        <v>150</v>
      </c>
      <c r="D998" s="24" t="s">
        <v>863</v>
      </c>
      <c r="E998" s="20"/>
      <c r="F998" s="21">
        <f>F999</f>
        <v>0</v>
      </c>
    </row>
    <row r="999" spans="1:6" s="203" customFormat="1" ht="47.25" hidden="1" x14ac:dyDescent="0.25">
      <c r="A999" s="25" t="s">
        <v>1176</v>
      </c>
      <c r="B999" s="20" t="s">
        <v>244</v>
      </c>
      <c r="C999" s="20" t="s">
        <v>150</v>
      </c>
      <c r="D999" s="20" t="s">
        <v>1175</v>
      </c>
      <c r="E999" s="20"/>
      <c r="F999" s="26">
        <f>F1000</f>
        <v>0</v>
      </c>
    </row>
    <row r="1000" spans="1:6" s="203" customFormat="1" ht="31.5" hidden="1" x14ac:dyDescent="0.25">
      <c r="A1000" s="25" t="s">
        <v>131</v>
      </c>
      <c r="B1000" s="20" t="s">
        <v>244</v>
      </c>
      <c r="C1000" s="20" t="s">
        <v>150</v>
      </c>
      <c r="D1000" s="20" t="s">
        <v>1175</v>
      </c>
      <c r="E1000" s="20" t="s">
        <v>132</v>
      </c>
      <c r="F1000" s="26">
        <f>F1001</f>
        <v>0</v>
      </c>
    </row>
    <row r="1001" spans="1:6" s="203" customFormat="1" ht="31.5" hidden="1" x14ac:dyDescent="0.25">
      <c r="A1001" s="25" t="s">
        <v>133</v>
      </c>
      <c r="B1001" s="20" t="s">
        <v>244</v>
      </c>
      <c r="C1001" s="20" t="s">
        <v>150</v>
      </c>
      <c r="D1001" s="20" t="s">
        <v>1175</v>
      </c>
      <c r="E1001" s="20" t="s">
        <v>134</v>
      </c>
      <c r="F1001" s="26">
        <f>'Пр.4 ведом.21'!G620</f>
        <v>0</v>
      </c>
    </row>
    <row r="1002" spans="1:6" s="203" customFormat="1" ht="15.75" x14ac:dyDescent="0.25">
      <c r="A1002" s="23" t="s">
        <v>258</v>
      </c>
      <c r="B1002" s="24" t="s">
        <v>244</v>
      </c>
      <c r="C1002" s="24" t="s">
        <v>120</v>
      </c>
      <c r="D1002" s="24"/>
      <c r="E1002" s="24"/>
      <c r="F1002" s="4">
        <f>F1003+F1010</f>
        <v>3619.2000000000007</v>
      </c>
    </row>
    <row r="1003" spans="1:6" s="203" customFormat="1" ht="31.5" x14ac:dyDescent="0.25">
      <c r="A1003" s="23" t="s">
        <v>917</v>
      </c>
      <c r="B1003" s="24" t="s">
        <v>244</v>
      </c>
      <c r="C1003" s="24" t="s">
        <v>120</v>
      </c>
      <c r="D1003" s="24" t="s">
        <v>858</v>
      </c>
      <c r="E1003" s="24"/>
      <c r="F1003" s="4">
        <f>F1004</f>
        <v>3619.2000000000007</v>
      </c>
    </row>
    <row r="1004" spans="1:6" ht="31.5" x14ac:dyDescent="0.25">
      <c r="A1004" s="23" t="s">
        <v>885</v>
      </c>
      <c r="B1004" s="24" t="s">
        <v>244</v>
      </c>
      <c r="C1004" s="24" t="s">
        <v>120</v>
      </c>
      <c r="D1004" s="24" t="s">
        <v>863</v>
      </c>
      <c r="E1004" s="24"/>
      <c r="F1004" s="4">
        <f>F1005</f>
        <v>3619.2000000000007</v>
      </c>
    </row>
    <row r="1005" spans="1:6" ht="43.5" customHeight="1" x14ac:dyDescent="0.25">
      <c r="A1005" s="31" t="s">
        <v>259</v>
      </c>
      <c r="B1005" s="20" t="s">
        <v>244</v>
      </c>
      <c r="C1005" s="20" t="s">
        <v>120</v>
      </c>
      <c r="D1005" s="20" t="s">
        <v>925</v>
      </c>
      <c r="E1005" s="20"/>
      <c r="F1005" s="6">
        <f>F1006+F1008</f>
        <v>3619.2000000000007</v>
      </c>
    </row>
    <row r="1006" spans="1:6" ht="78.75" x14ac:dyDescent="0.25">
      <c r="A1006" s="25" t="s">
        <v>127</v>
      </c>
      <c r="B1006" s="20" t="s">
        <v>244</v>
      </c>
      <c r="C1006" s="20" t="s">
        <v>120</v>
      </c>
      <c r="D1006" s="20" t="s">
        <v>925</v>
      </c>
      <c r="E1006" s="20" t="s">
        <v>128</v>
      </c>
      <c r="F1006" s="6">
        <f t="shared" ref="F1006" si="97">F1007</f>
        <v>3313.0000000000005</v>
      </c>
    </row>
    <row r="1007" spans="1:6" ht="31.5" x14ac:dyDescent="0.25">
      <c r="A1007" s="25" t="s">
        <v>129</v>
      </c>
      <c r="B1007" s="20" t="s">
        <v>244</v>
      </c>
      <c r="C1007" s="20" t="s">
        <v>120</v>
      </c>
      <c r="D1007" s="20" t="s">
        <v>925</v>
      </c>
      <c r="E1007" s="20" t="s">
        <v>130</v>
      </c>
      <c r="F1007" s="6">
        <f>'Пр.4 ведом.21'!G256</f>
        <v>3313.0000000000005</v>
      </c>
    </row>
    <row r="1008" spans="1:6" ht="32.25" customHeight="1" x14ac:dyDescent="0.25">
      <c r="A1008" s="25" t="s">
        <v>131</v>
      </c>
      <c r="B1008" s="20" t="s">
        <v>244</v>
      </c>
      <c r="C1008" s="20" t="s">
        <v>120</v>
      </c>
      <c r="D1008" s="20" t="s">
        <v>925</v>
      </c>
      <c r="E1008" s="20" t="s">
        <v>132</v>
      </c>
      <c r="F1008" s="6">
        <f t="shared" ref="F1008" si="98">F1009</f>
        <v>306.20000000000005</v>
      </c>
    </row>
    <row r="1009" spans="1:12" ht="31.7" customHeight="1" x14ac:dyDescent="0.25">
      <c r="A1009" s="25" t="s">
        <v>133</v>
      </c>
      <c r="B1009" s="20" t="s">
        <v>244</v>
      </c>
      <c r="C1009" s="20" t="s">
        <v>120</v>
      </c>
      <c r="D1009" s="20" t="s">
        <v>925</v>
      </c>
      <c r="E1009" s="20" t="s">
        <v>134</v>
      </c>
      <c r="F1009" s="6">
        <f>'Пр.4 ведом.21'!G258</f>
        <v>306.20000000000005</v>
      </c>
    </row>
    <row r="1010" spans="1:12" s="203" customFormat="1" ht="15" hidden="1" customHeight="1" x14ac:dyDescent="0.25">
      <c r="A1010" s="23" t="s">
        <v>141</v>
      </c>
      <c r="B1010" s="24" t="s">
        <v>244</v>
      </c>
      <c r="C1010" s="24" t="s">
        <v>120</v>
      </c>
      <c r="D1010" s="24" t="s">
        <v>866</v>
      </c>
      <c r="E1010" s="24"/>
      <c r="F1010" s="4">
        <f>F1011</f>
        <v>0</v>
      </c>
    </row>
    <row r="1011" spans="1:12" ht="37.5" hidden="1" customHeight="1" x14ac:dyDescent="0.25">
      <c r="A1011" s="23" t="s">
        <v>870</v>
      </c>
      <c r="B1011" s="24" t="s">
        <v>244</v>
      </c>
      <c r="C1011" s="24" t="s">
        <v>120</v>
      </c>
      <c r="D1011" s="24" t="s">
        <v>865</v>
      </c>
      <c r="E1011" s="24"/>
      <c r="F1011" s="4">
        <f>F1012</f>
        <v>0</v>
      </c>
    </row>
    <row r="1012" spans="1:12" ht="15.75" hidden="1" customHeight="1" x14ac:dyDescent="0.25">
      <c r="A1012" s="25" t="s">
        <v>572</v>
      </c>
      <c r="B1012" s="20" t="s">
        <v>244</v>
      </c>
      <c r="C1012" s="20" t="s">
        <v>120</v>
      </c>
      <c r="D1012" s="20" t="s">
        <v>985</v>
      </c>
      <c r="E1012" s="20"/>
      <c r="F1012" s="6">
        <f>F1013</f>
        <v>0</v>
      </c>
    </row>
    <row r="1013" spans="1:12" ht="31.7" hidden="1" customHeight="1" x14ac:dyDescent="0.25">
      <c r="A1013" s="25" t="s">
        <v>131</v>
      </c>
      <c r="B1013" s="20" t="s">
        <v>244</v>
      </c>
      <c r="C1013" s="20" t="s">
        <v>120</v>
      </c>
      <c r="D1013" s="20" t="s">
        <v>985</v>
      </c>
      <c r="E1013" s="20" t="s">
        <v>132</v>
      </c>
      <c r="F1013" s="6">
        <f>F1014</f>
        <v>0</v>
      </c>
    </row>
    <row r="1014" spans="1:12" ht="35.450000000000003" hidden="1" customHeight="1" x14ac:dyDescent="0.25">
      <c r="A1014" s="25" t="s">
        <v>133</v>
      </c>
      <c r="B1014" s="20" t="s">
        <v>244</v>
      </c>
      <c r="C1014" s="20" t="s">
        <v>120</v>
      </c>
      <c r="D1014" s="20" t="s">
        <v>985</v>
      </c>
      <c r="E1014" s="20" t="s">
        <v>134</v>
      </c>
      <c r="F1014" s="6">
        <f>'Пр.4 ведом.21'!G1212</f>
        <v>0</v>
      </c>
    </row>
    <row r="1015" spans="1:12" ht="15.75" x14ac:dyDescent="0.25">
      <c r="A1015" s="41" t="s">
        <v>490</v>
      </c>
      <c r="B1015" s="7" t="s">
        <v>491</v>
      </c>
      <c r="C1015" s="40"/>
      <c r="D1015" s="40"/>
      <c r="E1015" s="40"/>
      <c r="F1015" s="4">
        <f>F1016+F1062</f>
        <v>70582.803799999994</v>
      </c>
      <c r="G1015">
        <v>64422.1</v>
      </c>
      <c r="H1015" s="22">
        <f>G1015-F1015</f>
        <v>-6160.7037999999957</v>
      </c>
      <c r="K1015" s="231">
        <f>F1015-F1045-'Пр.4 ведом.21'!T1249</f>
        <v>69119.303799999994</v>
      </c>
      <c r="L1015" s="231">
        <f>F1045+F1054-'Пр.4 ведом.21'!T1248</f>
        <v>1463.5</v>
      </c>
    </row>
    <row r="1016" spans="1:12" ht="15.75" x14ac:dyDescent="0.25">
      <c r="A1016" s="23" t="s">
        <v>492</v>
      </c>
      <c r="B1016" s="24" t="s">
        <v>491</v>
      </c>
      <c r="C1016" s="24" t="s">
        <v>118</v>
      </c>
      <c r="D1016" s="20"/>
      <c r="E1016" s="20"/>
      <c r="F1016" s="4">
        <f>F1017+F1057</f>
        <v>56758.36</v>
      </c>
      <c r="G1016" s="22"/>
      <c r="H1016" s="22"/>
      <c r="I1016" s="22"/>
      <c r="J1016" s="22"/>
    </row>
    <row r="1017" spans="1:12" ht="47.25" x14ac:dyDescent="0.25">
      <c r="A1017" s="23" t="s">
        <v>1380</v>
      </c>
      <c r="B1017" s="24" t="s">
        <v>491</v>
      </c>
      <c r="C1017" s="24" t="s">
        <v>118</v>
      </c>
      <c r="D1017" s="24" t="s">
        <v>482</v>
      </c>
      <c r="E1017" s="24"/>
      <c r="F1017" s="4">
        <f>F1018+F1025+F1038+F1045+F1053+F1049</f>
        <v>56216.06</v>
      </c>
      <c r="H1017" s="22"/>
    </row>
    <row r="1018" spans="1:12" ht="31.5" x14ac:dyDescent="0.25">
      <c r="A1018" s="23" t="s">
        <v>937</v>
      </c>
      <c r="B1018" s="24" t="s">
        <v>491</v>
      </c>
      <c r="C1018" s="24" t="s">
        <v>118</v>
      </c>
      <c r="D1018" s="24" t="s">
        <v>1268</v>
      </c>
      <c r="E1018" s="24"/>
      <c r="F1018" s="4">
        <f>F1019+F1022</f>
        <v>47847.829999999994</v>
      </c>
    </row>
    <row r="1019" spans="1:12" ht="31.5" x14ac:dyDescent="0.25">
      <c r="A1019" s="25" t="s">
        <v>1298</v>
      </c>
      <c r="B1019" s="20" t="s">
        <v>491</v>
      </c>
      <c r="C1019" s="20" t="s">
        <v>118</v>
      </c>
      <c r="D1019" s="20" t="s">
        <v>1269</v>
      </c>
      <c r="E1019" s="20"/>
      <c r="F1019" s="6">
        <f>F1020</f>
        <v>46925.63</v>
      </c>
    </row>
    <row r="1020" spans="1:12" ht="31.5" x14ac:dyDescent="0.25">
      <c r="A1020" s="25" t="s">
        <v>272</v>
      </c>
      <c r="B1020" s="20" t="s">
        <v>491</v>
      </c>
      <c r="C1020" s="20" t="s">
        <v>118</v>
      </c>
      <c r="D1020" s="20" t="s">
        <v>1269</v>
      </c>
      <c r="E1020" s="20" t="s">
        <v>273</v>
      </c>
      <c r="F1020" s="6">
        <f>F1021</f>
        <v>46925.63</v>
      </c>
    </row>
    <row r="1021" spans="1:12" ht="15.75" x14ac:dyDescent="0.25">
      <c r="A1021" s="25" t="s">
        <v>274</v>
      </c>
      <c r="B1021" s="20" t="s">
        <v>491</v>
      </c>
      <c r="C1021" s="20" t="s">
        <v>118</v>
      </c>
      <c r="D1021" s="20" t="s">
        <v>1269</v>
      </c>
      <c r="E1021" s="20" t="s">
        <v>275</v>
      </c>
      <c r="F1021" s="6">
        <f>'Пр.4 ведом.21'!G883</f>
        <v>46925.63</v>
      </c>
      <c r="H1021" s="22"/>
    </row>
    <row r="1022" spans="1:12" s="457" customFormat="1" ht="47.25" x14ac:dyDescent="0.25">
      <c r="A1022" s="466" t="s">
        <v>1776</v>
      </c>
      <c r="B1022" s="462" t="s">
        <v>491</v>
      </c>
      <c r="C1022" s="462" t="s">
        <v>118</v>
      </c>
      <c r="D1022" s="462" t="s">
        <v>1781</v>
      </c>
      <c r="E1022" s="462"/>
      <c r="F1022" s="459">
        <f>F1023</f>
        <v>922.2</v>
      </c>
      <c r="H1022" s="22"/>
    </row>
    <row r="1023" spans="1:12" s="457" customFormat="1" ht="31.5" x14ac:dyDescent="0.25">
      <c r="A1023" s="466" t="s">
        <v>272</v>
      </c>
      <c r="B1023" s="462" t="s">
        <v>491</v>
      </c>
      <c r="C1023" s="462" t="s">
        <v>118</v>
      </c>
      <c r="D1023" s="462" t="s">
        <v>1781</v>
      </c>
      <c r="E1023" s="462" t="s">
        <v>273</v>
      </c>
      <c r="F1023" s="459">
        <f>F1024</f>
        <v>922.2</v>
      </c>
      <c r="H1023" s="22"/>
    </row>
    <row r="1024" spans="1:12" s="457" customFormat="1" ht="15.75" x14ac:dyDescent="0.25">
      <c r="A1024" s="466" t="s">
        <v>274</v>
      </c>
      <c r="B1024" s="462" t="s">
        <v>491</v>
      </c>
      <c r="C1024" s="462" t="s">
        <v>118</v>
      </c>
      <c r="D1024" s="462" t="s">
        <v>1781</v>
      </c>
      <c r="E1024" s="462" t="s">
        <v>275</v>
      </c>
      <c r="F1024" s="459">
        <f>'Пр.4 ведом.21'!G886</f>
        <v>922.2</v>
      </c>
      <c r="H1024" s="22"/>
    </row>
    <row r="1025" spans="1:6" ht="31.5" x14ac:dyDescent="0.25">
      <c r="A1025" s="23" t="s">
        <v>945</v>
      </c>
      <c r="B1025" s="24" t="s">
        <v>491</v>
      </c>
      <c r="C1025" s="24" t="s">
        <v>118</v>
      </c>
      <c r="D1025" s="24" t="s">
        <v>1270</v>
      </c>
      <c r="E1025" s="24"/>
      <c r="F1025" s="4">
        <f>F1026+F1029+F1032+F1035</f>
        <v>1211.5</v>
      </c>
    </row>
    <row r="1026" spans="1:6" ht="31.5" x14ac:dyDescent="0.25">
      <c r="A1026" s="25" t="s">
        <v>278</v>
      </c>
      <c r="B1026" s="20" t="s">
        <v>491</v>
      </c>
      <c r="C1026" s="20" t="s">
        <v>118</v>
      </c>
      <c r="D1026" s="20" t="s">
        <v>1330</v>
      </c>
      <c r="E1026" s="20"/>
      <c r="F1026" s="6">
        <f t="shared" ref="F1026" si="99">F1027</f>
        <v>232.9</v>
      </c>
    </row>
    <row r="1027" spans="1:6" ht="31.5" x14ac:dyDescent="0.25">
      <c r="A1027" s="25" t="s">
        <v>272</v>
      </c>
      <c r="B1027" s="20" t="s">
        <v>491</v>
      </c>
      <c r="C1027" s="20" t="s">
        <v>118</v>
      </c>
      <c r="D1027" s="20" t="s">
        <v>1330</v>
      </c>
      <c r="E1027" s="20" t="s">
        <v>273</v>
      </c>
      <c r="F1027" s="6">
        <f>'Пр.4 ведом.21'!G890</f>
        <v>232.9</v>
      </c>
    </row>
    <row r="1028" spans="1:6" ht="20.25" customHeight="1" x14ac:dyDescent="0.25">
      <c r="A1028" s="25" t="s">
        <v>274</v>
      </c>
      <c r="B1028" s="20" t="s">
        <v>491</v>
      </c>
      <c r="C1028" s="20" t="s">
        <v>118</v>
      </c>
      <c r="D1028" s="20" t="s">
        <v>1330</v>
      </c>
      <c r="E1028" s="20" t="s">
        <v>275</v>
      </c>
      <c r="F1028" s="6">
        <f>'Пр.4 ведом.21'!G890</f>
        <v>232.9</v>
      </c>
    </row>
    <row r="1029" spans="1:6" ht="33" customHeight="1" x14ac:dyDescent="0.25">
      <c r="A1029" s="25" t="s">
        <v>280</v>
      </c>
      <c r="B1029" s="20" t="s">
        <v>491</v>
      </c>
      <c r="C1029" s="20" t="s">
        <v>118</v>
      </c>
      <c r="D1029" s="20" t="s">
        <v>1331</v>
      </c>
      <c r="E1029" s="20"/>
      <c r="F1029" s="6">
        <f t="shared" ref="F1029" si="100">F1030</f>
        <v>642.6</v>
      </c>
    </row>
    <row r="1030" spans="1:6" ht="37.5" customHeight="1" x14ac:dyDescent="0.25">
      <c r="A1030" s="25" t="s">
        <v>272</v>
      </c>
      <c r="B1030" s="20" t="s">
        <v>491</v>
      </c>
      <c r="C1030" s="20" t="s">
        <v>118</v>
      </c>
      <c r="D1030" s="20" t="s">
        <v>1331</v>
      </c>
      <c r="E1030" s="20" t="s">
        <v>273</v>
      </c>
      <c r="F1030" s="6">
        <f>'Пр.4 ведом.21'!G893</f>
        <v>642.6</v>
      </c>
    </row>
    <row r="1031" spans="1:6" s="203" customFormat="1" ht="15.75" customHeight="1" x14ac:dyDescent="0.25">
      <c r="A1031" s="25" t="s">
        <v>274</v>
      </c>
      <c r="B1031" s="20" t="s">
        <v>491</v>
      </c>
      <c r="C1031" s="20" t="s">
        <v>118</v>
      </c>
      <c r="D1031" s="20" t="s">
        <v>1331</v>
      </c>
      <c r="E1031" s="20" t="s">
        <v>275</v>
      </c>
      <c r="F1031" s="6">
        <f>'Пр.4 ведом.21'!G893</f>
        <v>642.6</v>
      </c>
    </row>
    <row r="1032" spans="1:6" s="203" customFormat="1" ht="20.25" customHeight="1" x14ac:dyDescent="0.25">
      <c r="A1032" s="25" t="s">
        <v>830</v>
      </c>
      <c r="B1032" s="20" t="s">
        <v>491</v>
      </c>
      <c r="C1032" s="20" t="s">
        <v>118</v>
      </c>
      <c r="D1032" s="20" t="s">
        <v>1271</v>
      </c>
      <c r="E1032" s="20"/>
      <c r="F1032" s="6">
        <f>F1033</f>
        <v>36</v>
      </c>
    </row>
    <row r="1033" spans="1:6" s="203" customFormat="1" ht="33" customHeight="1" x14ac:dyDescent="0.25">
      <c r="A1033" s="25" t="s">
        <v>272</v>
      </c>
      <c r="B1033" s="20" t="s">
        <v>491</v>
      </c>
      <c r="C1033" s="20" t="s">
        <v>118</v>
      </c>
      <c r="D1033" s="20" t="s">
        <v>1271</v>
      </c>
      <c r="E1033" s="20" t="s">
        <v>273</v>
      </c>
      <c r="F1033" s="6">
        <f>'Пр.4 ведом.21'!G896</f>
        <v>36</v>
      </c>
    </row>
    <row r="1034" spans="1:6" ht="20.25" customHeight="1" x14ac:dyDescent="0.25">
      <c r="A1034" s="25" t="s">
        <v>274</v>
      </c>
      <c r="B1034" s="20" t="s">
        <v>491</v>
      </c>
      <c r="C1034" s="20" t="s">
        <v>118</v>
      </c>
      <c r="D1034" s="20" t="s">
        <v>1271</v>
      </c>
      <c r="E1034" s="20" t="s">
        <v>275</v>
      </c>
      <c r="F1034" s="6">
        <f>'Пр.4 ведом.21'!G896</f>
        <v>36</v>
      </c>
    </row>
    <row r="1035" spans="1:6" s="457" customFormat="1" ht="39.75" customHeight="1" x14ac:dyDescent="0.25">
      <c r="A1035" s="466" t="s">
        <v>287</v>
      </c>
      <c r="B1035" s="462" t="s">
        <v>491</v>
      </c>
      <c r="C1035" s="462" t="s">
        <v>118</v>
      </c>
      <c r="D1035" s="462" t="s">
        <v>1713</v>
      </c>
      <c r="E1035" s="462"/>
      <c r="F1035" s="459">
        <f>F1036</f>
        <v>300</v>
      </c>
    </row>
    <row r="1036" spans="1:6" s="457" customFormat="1" ht="35.25" customHeight="1" x14ac:dyDescent="0.25">
      <c r="A1036" s="466" t="s">
        <v>272</v>
      </c>
      <c r="B1036" s="462" t="s">
        <v>491</v>
      </c>
      <c r="C1036" s="462" t="s">
        <v>118</v>
      </c>
      <c r="D1036" s="462" t="s">
        <v>1713</v>
      </c>
      <c r="E1036" s="462" t="s">
        <v>273</v>
      </c>
      <c r="F1036" s="459">
        <f>F1037</f>
        <v>300</v>
      </c>
    </row>
    <row r="1037" spans="1:6" s="457" customFormat="1" ht="20.25" customHeight="1" x14ac:dyDescent="0.25">
      <c r="A1037" s="466" t="s">
        <v>274</v>
      </c>
      <c r="B1037" s="462" t="s">
        <v>491</v>
      </c>
      <c r="C1037" s="462" t="s">
        <v>118</v>
      </c>
      <c r="D1037" s="462" t="s">
        <v>1713</v>
      </c>
      <c r="E1037" s="462" t="s">
        <v>275</v>
      </c>
      <c r="F1037" s="459">
        <f>'Пр.4 ведом.21'!G899</f>
        <v>300</v>
      </c>
    </row>
    <row r="1038" spans="1:6" ht="33" customHeight="1" x14ac:dyDescent="0.25">
      <c r="A1038" s="23" t="s">
        <v>947</v>
      </c>
      <c r="B1038" s="24" t="s">
        <v>491</v>
      </c>
      <c r="C1038" s="24" t="s">
        <v>118</v>
      </c>
      <c r="D1038" s="24" t="s">
        <v>1272</v>
      </c>
      <c r="E1038" s="24"/>
      <c r="F1038" s="4">
        <f>F1039+F1042</f>
        <v>601.79999999999995</v>
      </c>
    </row>
    <row r="1039" spans="1:6" ht="39.200000000000003" customHeight="1" x14ac:dyDescent="0.25">
      <c r="A1039" s="25" t="s">
        <v>791</v>
      </c>
      <c r="B1039" s="20" t="s">
        <v>491</v>
      </c>
      <c r="C1039" s="20" t="s">
        <v>118</v>
      </c>
      <c r="D1039" s="20" t="s">
        <v>1310</v>
      </c>
      <c r="E1039" s="20"/>
      <c r="F1039" s="6">
        <f>'Пр.4 ведом.21'!G903</f>
        <v>74</v>
      </c>
    </row>
    <row r="1040" spans="1:6" ht="40.700000000000003" customHeight="1" x14ac:dyDescent="0.25">
      <c r="A1040" s="25" t="s">
        <v>272</v>
      </c>
      <c r="B1040" s="20" t="s">
        <v>491</v>
      </c>
      <c r="C1040" s="20" t="s">
        <v>118</v>
      </c>
      <c r="D1040" s="20" t="s">
        <v>1310</v>
      </c>
      <c r="E1040" s="20" t="s">
        <v>273</v>
      </c>
      <c r="F1040" s="6">
        <f t="shared" ref="F1040" si="101">F1041</f>
        <v>74</v>
      </c>
    </row>
    <row r="1041" spans="1:6" ht="15.75" customHeight="1" x14ac:dyDescent="0.25">
      <c r="A1041" s="25" t="s">
        <v>274</v>
      </c>
      <c r="B1041" s="20" t="s">
        <v>491</v>
      </c>
      <c r="C1041" s="20" t="s">
        <v>118</v>
      </c>
      <c r="D1041" s="20" t="s">
        <v>1310</v>
      </c>
      <c r="E1041" s="20" t="s">
        <v>275</v>
      </c>
      <c r="F1041" s="6">
        <f>'Пр.4 ведом.21'!G903</f>
        <v>74</v>
      </c>
    </row>
    <row r="1042" spans="1:6" ht="34.5" customHeight="1" x14ac:dyDescent="0.25">
      <c r="A1042" s="45" t="s">
        <v>764</v>
      </c>
      <c r="B1042" s="20" t="s">
        <v>491</v>
      </c>
      <c r="C1042" s="20" t="s">
        <v>118</v>
      </c>
      <c r="D1042" s="20" t="s">
        <v>1273</v>
      </c>
      <c r="E1042" s="20"/>
      <c r="F1042" s="6">
        <f>'Пр.4 ведом.21'!G906</f>
        <v>527.79999999999995</v>
      </c>
    </row>
    <row r="1043" spans="1:6" ht="39.75" customHeight="1" x14ac:dyDescent="0.25">
      <c r="A1043" s="31" t="s">
        <v>272</v>
      </c>
      <c r="B1043" s="20" t="s">
        <v>491</v>
      </c>
      <c r="C1043" s="20" t="s">
        <v>118</v>
      </c>
      <c r="D1043" s="20" t="s">
        <v>1273</v>
      </c>
      <c r="E1043" s="20" t="s">
        <v>273</v>
      </c>
      <c r="F1043" s="6">
        <f>F1044</f>
        <v>527.79999999999995</v>
      </c>
    </row>
    <row r="1044" spans="1:6" ht="15.75" x14ac:dyDescent="0.25">
      <c r="A1044" s="31" t="s">
        <v>274</v>
      </c>
      <c r="B1044" s="20" t="s">
        <v>491</v>
      </c>
      <c r="C1044" s="20" t="s">
        <v>118</v>
      </c>
      <c r="D1044" s="20" t="s">
        <v>1273</v>
      </c>
      <c r="E1044" s="20" t="s">
        <v>275</v>
      </c>
      <c r="F1044" s="6">
        <f>'Пр.4 ведом.21'!G906</f>
        <v>527.79999999999995</v>
      </c>
    </row>
    <row r="1045" spans="1:6" ht="47.25" x14ac:dyDescent="0.25">
      <c r="A1045" s="23" t="s">
        <v>900</v>
      </c>
      <c r="B1045" s="24" t="s">
        <v>491</v>
      </c>
      <c r="C1045" s="24" t="s">
        <v>118</v>
      </c>
      <c r="D1045" s="24" t="s">
        <v>1274</v>
      </c>
      <c r="E1045" s="24"/>
      <c r="F1045" s="4">
        <f>F1046</f>
        <v>763.5</v>
      </c>
    </row>
    <row r="1046" spans="1:6" ht="103.7" customHeight="1" x14ac:dyDescent="0.25">
      <c r="A1046" s="31" t="s">
        <v>464</v>
      </c>
      <c r="B1046" s="20" t="s">
        <v>491</v>
      </c>
      <c r="C1046" s="20" t="s">
        <v>118</v>
      </c>
      <c r="D1046" s="20" t="s">
        <v>1413</v>
      </c>
      <c r="E1046" s="20"/>
      <c r="F1046" s="6">
        <f>F1047</f>
        <v>763.5</v>
      </c>
    </row>
    <row r="1047" spans="1:6" ht="31.5" x14ac:dyDescent="0.25">
      <c r="A1047" s="25" t="s">
        <v>272</v>
      </c>
      <c r="B1047" s="20" t="s">
        <v>491</v>
      </c>
      <c r="C1047" s="20" t="s">
        <v>118</v>
      </c>
      <c r="D1047" s="20" t="s">
        <v>1413</v>
      </c>
      <c r="E1047" s="20" t="s">
        <v>273</v>
      </c>
      <c r="F1047" s="6">
        <f t="shared" ref="F1047:F1057" si="102">F1048</f>
        <v>763.5</v>
      </c>
    </row>
    <row r="1048" spans="1:6" ht="15.75" x14ac:dyDescent="0.25">
      <c r="A1048" s="25" t="s">
        <v>274</v>
      </c>
      <c r="B1048" s="20" t="s">
        <v>491</v>
      </c>
      <c r="C1048" s="20" t="s">
        <v>118</v>
      </c>
      <c r="D1048" s="20" t="s">
        <v>1413</v>
      </c>
      <c r="E1048" s="20" t="s">
        <v>275</v>
      </c>
      <c r="F1048" s="6">
        <f>'Пр.4 ведом.21'!G910</f>
        <v>763.5</v>
      </c>
    </row>
    <row r="1049" spans="1:6" s="457" customFormat="1" ht="47.25" x14ac:dyDescent="0.25">
      <c r="A1049" s="464" t="s">
        <v>1692</v>
      </c>
      <c r="B1049" s="465" t="s">
        <v>491</v>
      </c>
      <c r="C1049" s="465" t="s">
        <v>118</v>
      </c>
      <c r="D1049" s="465" t="s">
        <v>1690</v>
      </c>
      <c r="E1049" s="465"/>
      <c r="F1049" s="458">
        <f>F1050</f>
        <v>5022.2</v>
      </c>
    </row>
    <row r="1050" spans="1:6" s="457" customFormat="1" ht="55.5" customHeight="1" x14ac:dyDescent="0.25">
      <c r="A1050" s="31" t="s">
        <v>1693</v>
      </c>
      <c r="B1050" s="462" t="s">
        <v>491</v>
      </c>
      <c r="C1050" s="462" t="s">
        <v>118</v>
      </c>
      <c r="D1050" s="462" t="s">
        <v>1691</v>
      </c>
      <c r="E1050" s="462"/>
      <c r="F1050" s="459">
        <f>F1051</f>
        <v>5022.2</v>
      </c>
    </row>
    <row r="1051" spans="1:6" s="457" customFormat="1" ht="31.5" x14ac:dyDescent="0.25">
      <c r="A1051" s="466" t="s">
        <v>272</v>
      </c>
      <c r="B1051" s="462" t="s">
        <v>491</v>
      </c>
      <c r="C1051" s="462" t="s">
        <v>118</v>
      </c>
      <c r="D1051" s="462" t="s">
        <v>1691</v>
      </c>
      <c r="E1051" s="462" t="s">
        <v>273</v>
      </c>
      <c r="F1051" s="459">
        <f t="shared" si="102"/>
        <v>5022.2</v>
      </c>
    </row>
    <row r="1052" spans="1:6" s="457" customFormat="1" ht="15.75" x14ac:dyDescent="0.25">
      <c r="A1052" s="466" t="s">
        <v>274</v>
      </c>
      <c r="B1052" s="462" t="s">
        <v>491</v>
      </c>
      <c r="C1052" s="462" t="s">
        <v>118</v>
      </c>
      <c r="D1052" s="462" t="s">
        <v>1691</v>
      </c>
      <c r="E1052" s="462" t="s">
        <v>275</v>
      </c>
      <c r="F1052" s="459">
        <f>'Пр.4 ведом.21'!G914</f>
        <v>5022.2</v>
      </c>
    </row>
    <row r="1053" spans="1:6" s="203" customFormat="1" ht="63" x14ac:dyDescent="0.25">
      <c r="A1053" s="23" t="s">
        <v>1197</v>
      </c>
      <c r="B1053" s="24" t="s">
        <v>491</v>
      </c>
      <c r="C1053" s="24" t="s">
        <v>118</v>
      </c>
      <c r="D1053" s="24" t="s">
        <v>1275</v>
      </c>
      <c r="E1053" s="24"/>
      <c r="F1053" s="4">
        <f>F1054</f>
        <v>769.23</v>
      </c>
    </row>
    <row r="1054" spans="1:6" s="203" customFormat="1" ht="63" x14ac:dyDescent="0.25">
      <c r="A1054" s="25" t="s">
        <v>1199</v>
      </c>
      <c r="B1054" s="20" t="s">
        <v>491</v>
      </c>
      <c r="C1054" s="20" t="s">
        <v>118</v>
      </c>
      <c r="D1054" s="20" t="s">
        <v>1332</v>
      </c>
      <c r="E1054" s="20"/>
      <c r="F1054" s="6">
        <f>F1055</f>
        <v>769.23</v>
      </c>
    </row>
    <row r="1055" spans="1:6" s="203" customFormat="1" ht="31.5" x14ac:dyDescent="0.25">
      <c r="A1055" s="25" t="s">
        <v>272</v>
      </c>
      <c r="B1055" s="20" t="s">
        <v>491</v>
      </c>
      <c r="C1055" s="20" t="s">
        <v>118</v>
      </c>
      <c r="D1055" s="20" t="s">
        <v>1332</v>
      </c>
      <c r="E1055" s="20" t="s">
        <v>273</v>
      </c>
      <c r="F1055" s="6">
        <f>F1056</f>
        <v>769.23</v>
      </c>
    </row>
    <row r="1056" spans="1:6" s="203" customFormat="1" ht="15.75" x14ac:dyDescent="0.25">
      <c r="A1056" s="25" t="s">
        <v>274</v>
      </c>
      <c r="B1056" s="20" t="s">
        <v>491</v>
      </c>
      <c r="C1056" s="20" t="s">
        <v>118</v>
      </c>
      <c r="D1056" s="20" t="s">
        <v>1332</v>
      </c>
      <c r="E1056" s="20" t="s">
        <v>275</v>
      </c>
      <c r="F1056" s="6">
        <f>'Пр.4 ведом.21'!G918</f>
        <v>769.23</v>
      </c>
    </row>
    <row r="1057" spans="1:6" ht="47.25" x14ac:dyDescent="0.25">
      <c r="A1057" s="41" t="s">
        <v>1363</v>
      </c>
      <c r="B1057" s="24" t="s">
        <v>491</v>
      </c>
      <c r="C1057" s="24" t="s">
        <v>118</v>
      </c>
      <c r="D1057" s="24" t="s">
        <v>705</v>
      </c>
      <c r="E1057" s="221"/>
      <c r="F1057" s="4">
        <f t="shared" si="102"/>
        <v>542.29999999999995</v>
      </c>
    </row>
    <row r="1058" spans="1:6" ht="47.25" x14ac:dyDescent="0.25">
      <c r="A1058" s="41" t="s">
        <v>890</v>
      </c>
      <c r="B1058" s="24" t="s">
        <v>491</v>
      </c>
      <c r="C1058" s="24" t="s">
        <v>118</v>
      </c>
      <c r="D1058" s="24" t="s">
        <v>888</v>
      </c>
      <c r="E1058" s="221"/>
      <c r="F1058" s="4">
        <f>F1059</f>
        <v>542.29999999999995</v>
      </c>
    </row>
    <row r="1059" spans="1:6" ht="47.25" x14ac:dyDescent="0.25">
      <c r="A1059" s="98" t="s">
        <v>780</v>
      </c>
      <c r="B1059" s="20" t="s">
        <v>491</v>
      </c>
      <c r="C1059" s="20" t="s">
        <v>118</v>
      </c>
      <c r="D1059" s="20" t="s">
        <v>936</v>
      </c>
      <c r="E1059" s="32"/>
      <c r="F1059" s="6">
        <f>F1060</f>
        <v>542.29999999999995</v>
      </c>
    </row>
    <row r="1060" spans="1:6" ht="31.5" x14ac:dyDescent="0.25">
      <c r="A1060" s="29" t="s">
        <v>272</v>
      </c>
      <c r="B1060" s="20" t="s">
        <v>491</v>
      </c>
      <c r="C1060" s="20" t="s">
        <v>118</v>
      </c>
      <c r="D1060" s="20" t="s">
        <v>936</v>
      </c>
      <c r="E1060" s="32" t="s">
        <v>273</v>
      </c>
      <c r="F1060" s="6">
        <f>F1061</f>
        <v>542.29999999999995</v>
      </c>
    </row>
    <row r="1061" spans="1:6" ht="15.75" x14ac:dyDescent="0.25">
      <c r="A1061" s="182" t="s">
        <v>274</v>
      </c>
      <c r="B1061" s="20" t="s">
        <v>491</v>
      </c>
      <c r="C1061" s="20" t="s">
        <v>118</v>
      </c>
      <c r="D1061" s="20" t="s">
        <v>936</v>
      </c>
      <c r="E1061" s="32" t="s">
        <v>275</v>
      </c>
      <c r="F1061" s="6">
        <f>'Пр.4 ведом.21'!G923</f>
        <v>542.29999999999995</v>
      </c>
    </row>
    <row r="1062" spans="1:6" ht="31.5" x14ac:dyDescent="0.25">
      <c r="A1062" s="23" t="s">
        <v>500</v>
      </c>
      <c r="B1062" s="24" t="s">
        <v>491</v>
      </c>
      <c r="C1062" s="24" t="s">
        <v>234</v>
      </c>
      <c r="D1062" s="24"/>
      <c r="E1062" s="24"/>
      <c r="F1062" s="4">
        <f>F1063+F1074+F1089</f>
        <v>13824.443800000001</v>
      </c>
    </row>
    <row r="1063" spans="1:6" ht="31.5" x14ac:dyDescent="0.25">
      <c r="A1063" s="23" t="s">
        <v>917</v>
      </c>
      <c r="B1063" s="24" t="s">
        <v>491</v>
      </c>
      <c r="C1063" s="24" t="s">
        <v>234</v>
      </c>
      <c r="D1063" s="24" t="s">
        <v>858</v>
      </c>
      <c r="E1063" s="24"/>
      <c r="F1063" s="4">
        <f>F1064</f>
        <v>5171.1103000000003</v>
      </c>
    </row>
    <row r="1064" spans="1:6" ht="15.75" x14ac:dyDescent="0.25">
      <c r="A1064" s="23" t="s">
        <v>918</v>
      </c>
      <c r="B1064" s="24" t="s">
        <v>491</v>
      </c>
      <c r="C1064" s="24" t="s">
        <v>234</v>
      </c>
      <c r="D1064" s="24" t="s">
        <v>859</v>
      </c>
      <c r="E1064" s="24"/>
      <c r="F1064" s="4">
        <f>F1065+F1068+F1071</f>
        <v>5171.1103000000003</v>
      </c>
    </row>
    <row r="1065" spans="1:6" ht="31.5" x14ac:dyDescent="0.25">
      <c r="A1065" s="25" t="s">
        <v>897</v>
      </c>
      <c r="B1065" s="20" t="s">
        <v>491</v>
      </c>
      <c r="C1065" s="20" t="s">
        <v>234</v>
      </c>
      <c r="D1065" s="20" t="s">
        <v>860</v>
      </c>
      <c r="E1065" s="20"/>
      <c r="F1065" s="6">
        <f>F1066</f>
        <v>5047.05</v>
      </c>
    </row>
    <row r="1066" spans="1:6" ht="78.75" x14ac:dyDescent="0.25">
      <c r="A1066" s="25" t="s">
        <v>127</v>
      </c>
      <c r="B1066" s="20" t="s">
        <v>491</v>
      </c>
      <c r="C1066" s="20" t="s">
        <v>234</v>
      </c>
      <c r="D1066" s="20" t="s">
        <v>860</v>
      </c>
      <c r="E1066" s="20" t="s">
        <v>128</v>
      </c>
      <c r="F1066" s="6">
        <f>F1067</f>
        <v>5047.05</v>
      </c>
    </row>
    <row r="1067" spans="1:6" ht="31.5" x14ac:dyDescent="0.25">
      <c r="A1067" s="25" t="s">
        <v>129</v>
      </c>
      <c r="B1067" s="20" t="s">
        <v>491</v>
      </c>
      <c r="C1067" s="20" t="s">
        <v>234</v>
      </c>
      <c r="D1067" s="20" t="s">
        <v>860</v>
      </c>
      <c r="E1067" s="20" t="s">
        <v>130</v>
      </c>
      <c r="F1067" s="6">
        <f>'Пр.4 ведом.21'!G929</f>
        <v>5047.05</v>
      </c>
    </row>
    <row r="1068" spans="1:6" ht="47.25" x14ac:dyDescent="0.25">
      <c r="A1068" s="25" t="s">
        <v>839</v>
      </c>
      <c r="B1068" s="20" t="s">
        <v>491</v>
      </c>
      <c r="C1068" s="20" t="s">
        <v>234</v>
      </c>
      <c r="D1068" s="20" t="s">
        <v>862</v>
      </c>
      <c r="E1068" s="20"/>
      <c r="F1068" s="6">
        <f>F1069</f>
        <v>21.250000000000014</v>
      </c>
    </row>
    <row r="1069" spans="1:6" ht="78.75" x14ac:dyDescent="0.25">
      <c r="A1069" s="25" t="s">
        <v>127</v>
      </c>
      <c r="B1069" s="20" t="s">
        <v>491</v>
      </c>
      <c r="C1069" s="20" t="s">
        <v>234</v>
      </c>
      <c r="D1069" s="20" t="s">
        <v>862</v>
      </c>
      <c r="E1069" s="20" t="s">
        <v>128</v>
      </c>
      <c r="F1069" s="6">
        <f>F1070</f>
        <v>21.250000000000014</v>
      </c>
    </row>
    <row r="1070" spans="1:6" ht="31.5" x14ac:dyDescent="0.25">
      <c r="A1070" s="25" t="s">
        <v>129</v>
      </c>
      <c r="B1070" s="20" t="s">
        <v>491</v>
      </c>
      <c r="C1070" s="20" t="s">
        <v>234</v>
      </c>
      <c r="D1070" s="20" t="s">
        <v>862</v>
      </c>
      <c r="E1070" s="20" t="s">
        <v>130</v>
      </c>
      <c r="F1070" s="6">
        <f>'Пр.4 ведом.21'!G932</f>
        <v>21.250000000000014</v>
      </c>
    </row>
    <row r="1071" spans="1:6" s="457" customFormat="1" ht="31.5" x14ac:dyDescent="0.25">
      <c r="A1071" s="466" t="s">
        <v>1793</v>
      </c>
      <c r="B1071" s="462" t="s">
        <v>491</v>
      </c>
      <c r="C1071" s="462" t="s">
        <v>234</v>
      </c>
      <c r="D1071" s="462" t="s">
        <v>1794</v>
      </c>
      <c r="E1071" s="462"/>
      <c r="F1071" s="459">
        <f>F1072</f>
        <v>102.8103</v>
      </c>
    </row>
    <row r="1072" spans="1:6" s="457" customFormat="1" ht="78.75" x14ac:dyDescent="0.25">
      <c r="A1072" s="466" t="s">
        <v>127</v>
      </c>
      <c r="B1072" s="462" t="s">
        <v>491</v>
      </c>
      <c r="C1072" s="462" t="s">
        <v>234</v>
      </c>
      <c r="D1072" s="462" t="s">
        <v>1794</v>
      </c>
      <c r="E1072" s="462" t="s">
        <v>128</v>
      </c>
      <c r="F1072" s="459">
        <f>F1073</f>
        <v>102.8103</v>
      </c>
    </row>
    <row r="1073" spans="1:6" s="457" customFormat="1" ht="31.5" x14ac:dyDescent="0.25">
      <c r="A1073" s="466" t="s">
        <v>129</v>
      </c>
      <c r="B1073" s="462" t="s">
        <v>491</v>
      </c>
      <c r="C1073" s="462" t="s">
        <v>234</v>
      </c>
      <c r="D1073" s="462" t="s">
        <v>1794</v>
      </c>
      <c r="E1073" s="462" t="s">
        <v>130</v>
      </c>
      <c r="F1073" s="459">
        <f>'Пр.4 ведом.21'!G935</f>
        <v>102.8103</v>
      </c>
    </row>
    <row r="1074" spans="1:6" ht="15.75" x14ac:dyDescent="0.25">
      <c r="A1074" s="23" t="s">
        <v>141</v>
      </c>
      <c r="B1074" s="24" t="s">
        <v>491</v>
      </c>
      <c r="C1074" s="24" t="s">
        <v>234</v>
      </c>
      <c r="D1074" s="24" t="s">
        <v>866</v>
      </c>
      <c r="E1074" s="24"/>
      <c r="F1074" s="4">
        <f>F1075</f>
        <v>6171.6334999999999</v>
      </c>
    </row>
    <row r="1075" spans="1:6" ht="31.5" x14ac:dyDescent="0.25">
      <c r="A1075" s="23" t="s">
        <v>929</v>
      </c>
      <c r="B1075" s="24" t="s">
        <v>491</v>
      </c>
      <c r="C1075" s="24" t="s">
        <v>234</v>
      </c>
      <c r="D1075" s="24" t="s">
        <v>914</v>
      </c>
      <c r="E1075" s="24"/>
      <c r="F1075" s="4">
        <f>F1076+F1083+F1086</f>
        <v>6171.6334999999999</v>
      </c>
    </row>
    <row r="1076" spans="1:6" ht="31.5" x14ac:dyDescent="0.25">
      <c r="A1076" s="25" t="s">
        <v>903</v>
      </c>
      <c r="B1076" s="20" t="s">
        <v>491</v>
      </c>
      <c r="C1076" s="20" t="s">
        <v>234</v>
      </c>
      <c r="D1076" s="20" t="s">
        <v>915</v>
      </c>
      <c r="E1076" s="20"/>
      <c r="F1076" s="6">
        <f>F1077+F1079+F1081</f>
        <v>5843.6139999999996</v>
      </c>
    </row>
    <row r="1077" spans="1:6" ht="78.75" x14ac:dyDescent="0.25">
      <c r="A1077" s="25" t="s">
        <v>127</v>
      </c>
      <c r="B1077" s="20" t="s">
        <v>491</v>
      </c>
      <c r="C1077" s="20" t="s">
        <v>234</v>
      </c>
      <c r="D1077" s="20" t="s">
        <v>915</v>
      </c>
      <c r="E1077" s="20" t="s">
        <v>128</v>
      </c>
      <c r="F1077" s="6">
        <f>F1078</f>
        <v>5465.8</v>
      </c>
    </row>
    <row r="1078" spans="1:6" ht="21.75" customHeight="1" x14ac:dyDescent="0.25">
      <c r="A1078" s="25" t="s">
        <v>342</v>
      </c>
      <c r="B1078" s="20" t="s">
        <v>491</v>
      </c>
      <c r="C1078" s="20" t="s">
        <v>234</v>
      </c>
      <c r="D1078" s="20" t="s">
        <v>915</v>
      </c>
      <c r="E1078" s="20" t="s">
        <v>209</v>
      </c>
      <c r="F1078" s="6">
        <f>'Пр.4 ведом.21'!G940</f>
        <v>5465.8</v>
      </c>
    </row>
    <row r="1079" spans="1:6" ht="31.5" x14ac:dyDescent="0.25">
      <c r="A1079" s="25" t="s">
        <v>131</v>
      </c>
      <c r="B1079" s="20" t="s">
        <v>491</v>
      </c>
      <c r="C1079" s="20" t="s">
        <v>234</v>
      </c>
      <c r="D1079" s="20" t="s">
        <v>915</v>
      </c>
      <c r="E1079" s="20" t="s">
        <v>132</v>
      </c>
      <c r="F1079" s="6">
        <f t="shared" ref="F1079" si="103">F1080</f>
        <v>350.66400000000004</v>
      </c>
    </row>
    <row r="1080" spans="1:6" ht="31.5" x14ac:dyDescent="0.25">
      <c r="A1080" s="25" t="s">
        <v>133</v>
      </c>
      <c r="B1080" s="20" t="s">
        <v>491</v>
      </c>
      <c r="C1080" s="20" t="s">
        <v>234</v>
      </c>
      <c r="D1080" s="20" t="s">
        <v>915</v>
      </c>
      <c r="E1080" s="20" t="s">
        <v>134</v>
      </c>
      <c r="F1080" s="6">
        <f>'Пр.4 ведом.21'!G942</f>
        <v>350.66400000000004</v>
      </c>
    </row>
    <row r="1081" spans="1:6" ht="15.75" x14ac:dyDescent="0.25">
      <c r="A1081" s="25" t="s">
        <v>135</v>
      </c>
      <c r="B1081" s="20" t="s">
        <v>491</v>
      </c>
      <c r="C1081" s="20" t="s">
        <v>234</v>
      </c>
      <c r="D1081" s="20" t="s">
        <v>915</v>
      </c>
      <c r="E1081" s="20" t="s">
        <v>145</v>
      </c>
      <c r="F1081" s="6">
        <f>F1082</f>
        <v>27.15</v>
      </c>
    </row>
    <row r="1082" spans="1:6" ht="15.75" x14ac:dyDescent="0.25">
      <c r="A1082" s="25" t="s">
        <v>568</v>
      </c>
      <c r="B1082" s="20" t="s">
        <v>491</v>
      </c>
      <c r="C1082" s="20" t="s">
        <v>234</v>
      </c>
      <c r="D1082" s="20" t="s">
        <v>915</v>
      </c>
      <c r="E1082" s="20" t="s">
        <v>138</v>
      </c>
      <c r="F1082" s="6">
        <f>'Пр.4 ведом.21'!G944</f>
        <v>27.15</v>
      </c>
    </row>
    <row r="1083" spans="1:6" ht="47.25" x14ac:dyDescent="0.25">
      <c r="A1083" s="25" t="s">
        <v>839</v>
      </c>
      <c r="B1083" s="20" t="s">
        <v>491</v>
      </c>
      <c r="C1083" s="20" t="s">
        <v>234</v>
      </c>
      <c r="D1083" s="20" t="s">
        <v>916</v>
      </c>
      <c r="E1083" s="20"/>
      <c r="F1083" s="6">
        <f>F1084</f>
        <v>247.48599999999999</v>
      </c>
    </row>
    <row r="1084" spans="1:6" ht="78.75" x14ac:dyDescent="0.25">
      <c r="A1084" s="25" t="s">
        <v>127</v>
      </c>
      <c r="B1084" s="20" t="s">
        <v>491</v>
      </c>
      <c r="C1084" s="20" t="s">
        <v>234</v>
      </c>
      <c r="D1084" s="20" t="s">
        <v>916</v>
      </c>
      <c r="E1084" s="20" t="s">
        <v>128</v>
      </c>
      <c r="F1084" s="6">
        <f t="shared" ref="F1084" si="104">F1085</f>
        <v>247.48599999999999</v>
      </c>
    </row>
    <row r="1085" spans="1:6" ht="31.5" x14ac:dyDescent="0.25">
      <c r="A1085" s="25" t="s">
        <v>129</v>
      </c>
      <c r="B1085" s="20" t="s">
        <v>491</v>
      </c>
      <c r="C1085" s="20" t="s">
        <v>234</v>
      </c>
      <c r="D1085" s="20" t="s">
        <v>916</v>
      </c>
      <c r="E1085" s="20" t="s">
        <v>130</v>
      </c>
      <c r="F1085" s="6">
        <f>'Пр.4 ведом.21'!G947</f>
        <v>247.48599999999999</v>
      </c>
    </row>
    <row r="1086" spans="1:6" s="457" customFormat="1" ht="31.5" x14ac:dyDescent="0.25">
      <c r="A1086" s="466" t="s">
        <v>1793</v>
      </c>
      <c r="B1086" s="462" t="s">
        <v>491</v>
      </c>
      <c r="C1086" s="462" t="s">
        <v>234</v>
      </c>
      <c r="D1086" s="462" t="s">
        <v>1797</v>
      </c>
      <c r="E1086" s="462"/>
      <c r="F1086" s="459">
        <f>F1087</f>
        <v>80.533500000000004</v>
      </c>
    </row>
    <row r="1087" spans="1:6" s="457" customFormat="1" ht="78.75" x14ac:dyDescent="0.25">
      <c r="A1087" s="466" t="s">
        <v>127</v>
      </c>
      <c r="B1087" s="462" t="s">
        <v>491</v>
      </c>
      <c r="C1087" s="462" t="s">
        <v>234</v>
      </c>
      <c r="D1087" s="462" t="s">
        <v>1797</v>
      </c>
      <c r="E1087" s="462" t="s">
        <v>128</v>
      </c>
      <c r="F1087" s="459">
        <f>F1088</f>
        <v>80.533500000000004</v>
      </c>
    </row>
    <row r="1088" spans="1:6" s="457" customFormat="1" ht="31.5" x14ac:dyDescent="0.25">
      <c r="A1088" s="466" t="s">
        <v>342</v>
      </c>
      <c r="B1088" s="462" t="s">
        <v>491</v>
      </c>
      <c r="C1088" s="462" t="s">
        <v>234</v>
      </c>
      <c r="D1088" s="462" t="s">
        <v>1797</v>
      </c>
      <c r="E1088" s="462" t="s">
        <v>209</v>
      </c>
      <c r="F1088" s="459">
        <f>'Пр.4 ведом.21'!G950</f>
        <v>80.533500000000004</v>
      </c>
    </row>
    <row r="1089" spans="1:6" ht="47.25" x14ac:dyDescent="0.25">
      <c r="A1089" s="41" t="s">
        <v>1380</v>
      </c>
      <c r="B1089" s="24" t="s">
        <v>491</v>
      </c>
      <c r="C1089" s="24" t="s">
        <v>234</v>
      </c>
      <c r="D1089" s="7" t="s">
        <v>482</v>
      </c>
      <c r="E1089" s="24"/>
      <c r="F1089" s="4">
        <f>F1090</f>
        <v>2481.6999999999998</v>
      </c>
    </row>
    <row r="1090" spans="1:6" ht="33.75" customHeight="1" x14ac:dyDescent="0.25">
      <c r="A1090" s="58" t="s">
        <v>951</v>
      </c>
      <c r="B1090" s="24" t="s">
        <v>491</v>
      </c>
      <c r="C1090" s="24" t="s">
        <v>234</v>
      </c>
      <c r="D1090" s="7" t="s">
        <v>1276</v>
      </c>
      <c r="E1090" s="24"/>
      <c r="F1090" s="4">
        <f>F1091</f>
        <v>2481.6999999999998</v>
      </c>
    </row>
    <row r="1091" spans="1:6" ht="15.75" x14ac:dyDescent="0.25">
      <c r="A1091" s="29" t="s">
        <v>952</v>
      </c>
      <c r="B1091" s="20" t="s">
        <v>491</v>
      </c>
      <c r="C1091" s="20" t="s">
        <v>234</v>
      </c>
      <c r="D1091" s="40" t="s">
        <v>1277</v>
      </c>
      <c r="E1091" s="20"/>
      <c r="F1091" s="378">
        <f>F1092+F1094</f>
        <v>2481.6999999999998</v>
      </c>
    </row>
    <row r="1092" spans="1:6" ht="78.75" x14ac:dyDescent="0.25">
      <c r="A1092" s="25" t="s">
        <v>127</v>
      </c>
      <c r="B1092" s="20" t="s">
        <v>491</v>
      </c>
      <c r="C1092" s="20" t="s">
        <v>234</v>
      </c>
      <c r="D1092" s="40" t="s">
        <v>1277</v>
      </c>
      <c r="E1092" s="20" t="s">
        <v>128</v>
      </c>
      <c r="F1092" s="378">
        <f>F1093</f>
        <v>1577.9</v>
      </c>
    </row>
    <row r="1093" spans="1:6" ht="21.75" customHeight="1" x14ac:dyDescent="0.25">
      <c r="A1093" s="25" t="s">
        <v>342</v>
      </c>
      <c r="B1093" s="20" t="s">
        <v>491</v>
      </c>
      <c r="C1093" s="20" t="s">
        <v>234</v>
      </c>
      <c r="D1093" s="40" t="s">
        <v>1277</v>
      </c>
      <c r="E1093" s="20" t="s">
        <v>209</v>
      </c>
      <c r="F1093" s="378">
        <f>'Пр.4 ведом.21'!G955</f>
        <v>1577.9</v>
      </c>
    </row>
    <row r="1094" spans="1:6" ht="36" customHeight="1" x14ac:dyDescent="0.25">
      <c r="A1094" s="29" t="s">
        <v>131</v>
      </c>
      <c r="B1094" s="20" t="s">
        <v>491</v>
      </c>
      <c r="C1094" s="20" t="s">
        <v>234</v>
      </c>
      <c r="D1094" s="40" t="s">
        <v>1277</v>
      </c>
      <c r="E1094" s="20" t="s">
        <v>132</v>
      </c>
      <c r="F1094" s="378">
        <f>F1095</f>
        <v>903.8</v>
      </c>
    </row>
    <row r="1095" spans="1:6" ht="31.5" x14ac:dyDescent="0.25">
      <c r="A1095" s="29" t="s">
        <v>133</v>
      </c>
      <c r="B1095" s="20" t="s">
        <v>491</v>
      </c>
      <c r="C1095" s="20" t="s">
        <v>234</v>
      </c>
      <c r="D1095" s="40" t="s">
        <v>1277</v>
      </c>
      <c r="E1095" s="20" t="s">
        <v>134</v>
      </c>
      <c r="F1095" s="6">
        <f>'Пр.4 ведом.21'!G957</f>
        <v>903.8</v>
      </c>
    </row>
    <row r="1096" spans="1:6" ht="15.75" x14ac:dyDescent="0.25">
      <c r="A1096" s="41" t="s">
        <v>582</v>
      </c>
      <c r="B1096" s="7" t="s">
        <v>238</v>
      </c>
      <c r="C1096" s="40"/>
      <c r="D1096" s="40"/>
      <c r="E1096" s="40"/>
      <c r="F1096" s="4">
        <f t="shared" ref="F1096" si="105">F1097</f>
        <v>5633.9500000000007</v>
      </c>
    </row>
    <row r="1097" spans="1:6" ht="15.75" x14ac:dyDescent="0.25">
      <c r="A1097" s="41" t="s">
        <v>583</v>
      </c>
      <c r="B1097" s="7" t="s">
        <v>238</v>
      </c>
      <c r="C1097" s="7" t="s">
        <v>213</v>
      </c>
      <c r="D1097" s="7"/>
      <c r="E1097" s="7"/>
      <c r="F1097" s="4">
        <f>F1098+F1113</f>
        <v>5633.9500000000007</v>
      </c>
    </row>
    <row r="1098" spans="1:6" ht="15.75" x14ac:dyDescent="0.25">
      <c r="A1098" s="23" t="s">
        <v>141</v>
      </c>
      <c r="B1098" s="24" t="s">
        <v>238</v>
      </c>
      <c r="C1098" s="24" t="s">
        <v>213</v>
      </c>
      <c r="D1098" s="24" t="s">
        <v>267</v>
      </c>
      <c r="E1098" s="24"/>
      <c r="F1098" s="4">
        <f>F1099</f>
        <v>5555.9500000000007</v>
      </c>
    </row>
    <row r="1099" spans="1:6" ht="15.75" x14ac:dyDescent="0.25">
      <c r="A1099" s="23" t="s">
        <v>954</v>
      </c>
      <c r="B1099" s="24" t="s">
        <v>238</v>
      </c>
      <c r="C1099" s="24" t="s">
        <v>213</v>
      </c>
      <c r="D1099" s="24" t="s">
        <v>1208</v>
      </c>
      <c r="E1099" s="24"/>
      <c r="F1099" s="4">
        <f>F1100+F1107+F1110</f>
        <v>5555.9500000000007</v>
      </c>
    </row>
    <row r="1100" spans="1:6" ht="15.75" x14ac:dyDescent="0.25">
      <c r="A1100" s="25" t="s">
        <v>801</v>
      </c>
      <c r="B1100" s="20" t="s">
        <v>238</v>
      </c>
      <c r="C1100" s="20" t="s">
        <v>213</v>
      </c>
      <c r="D1100" s="20" t="s">
        <v>1209</v>
      </c>
      <c r="E1100" s="20"/>
      <c r="F1100" s="6">
        <f>F1101+F1103+F1105</f>
        <v>5176.8</v>
      </c>
    </row>
    <row r="1101" spans="1:6" ht="78.75" x14ac:dyDescent="0.25">
      <c r="A1101" s="25" t="s">
        <v>127</v>
      </c>
      <c r="B1101" s="20" t="s">
        <v>238</v>
      </c>
      <c r="C1101" s="20" t="s">
        <v>213</v>
      </c>
      <c r="D1101" s="20" t="s">
        <v>1209</v>
      </c>
      <c r="E1101" s="20" t="s">
        <v>128</v>
      </c>
      <c r="F1101" s="6">
        <f>F1102</f>
        <v>4026.6</v>
      </c>
    </row>
    <row r="1102" spans="1:6" ht="15.75" x14ac:dyDescent="0.25">
      <c r="A1102" s="25" t="s">
        <v>208</v>
      </c>
      <c r="B1102" s="20" t="s">
        <v>238</v>
      </c>
      <c r="C1102" s="20" t="s">
        <v>213</v>
      </c>
      <c r="D1102" s="20" t="s">
        <v>1209</v>
      </c>
      <c r="E1102" s="20" t="s">
        <v>209</v>
      </c>
      <c r="F1102" s="6">
        <f>'Пр.4 ведом.21'!G534</f>
        <v>4026.6</v>
      </c>
    </row>
    <row r="1103" spans="1:6" ht="31.5" x14ac:dyDescent="0.25">
      <c r="A1103" s="25" t="s">
        <v>131</v>
      </c>
      <c r="B1103" s="20" t="s">
        <v>238</v>
      </c>
      <c r="C1103" s="20" t="s">
        <v>213</v>
      </c>
      <c r="D1103" s="20" t="s">
        <v>1209</v>
      </c>
      <c r="E1103" s="20" t="s">
        <v>132</v>
      </c>
      <c r="F1103" s="6">
        <f t="shared" ref="F1103" si="106">F1104</f>
        <v>1132.5</v>
      </c>
    </row>
    <row r="1104" spans="1:6" ht="31.5" x14ac:dyDescent="0.25">
      <c r="A1104" s="25" t="s">
        <v>133</v>
      </c>
      <c r="B1104" s="20" t="s">
        <v>238</v>
      </c>
      <c r="C1104" s="20" t="s">
        <v>213</v>
      </c>
      <c r="D1104" s="20" t="s">
        <v>1209</v>
      </c>
      <c r="E1104" s="20" t="s">
        <v>134</v>
      </c>
      <c r="F1104" s="6">
        <f>'Пр.4 ведом.21'!G536</f>
        <v>1132.5</v>
      </c>
    </row>
    <row r="1105" spans="1:8" ht="15.75" x14ac:dyDescent="0.25">
      <c r="A1105" s="25" t="s">
        <v>135</v>
      </c>
      <c r="B1105" s="20" t="s">
        <v>238</v>
      </c>
      <c r="C1105" s="20" t="s">
        <v>213</v>
      </c>
      <c r="D1105" s="20" t="s">
        <v>1209</v>
      </c>
      <c r="E1105" s="20" t="s">
        <v>145</v>
      </c>
      <c r="F1105" s="378">
        <f t="shared" ref="F1105" si="107">F1106</f>
        <v>17.700000000000003</v>
      </c>
    </row>
    <row r="1106" spans="1:8" ht="15.75" x14ac:dyDescent="0.25">
      <c r="A1106" s="25" t="s">
        <v>568</v>
      </c>
      <c r="B1106" s="20" t="s">
        <v>238</v>
      </c>
      <c r="C1106" s="20" t="s">
        <v>213</v>
      </c>
      <c r="D1106" s="20" t="s">
        <v>1209</v>
      </c>
      <c r="E1106" s="20" t="s">
        <v>138</v>
      </c>
      <c r="F1106" s="378">
        <f>'Пр.4 ведом.21'!G538</f>
        <v>17.700000000000003</v>
      </c>
    </row>
    <row r="1107" spans="1:8" ht="47.25" x14ac:dyDescent="0.25">
      <c r="A1107" s="25" t="s">
        <v>839</v>
      </c>
      <c r="B1107" s="20" t="s">
        <v>238</v>
      </c>
      <c r="C1107" s="20" t="s">
        <v>213</v>
      </c>
      <c r="D1107" s="20" t="s">
        <v>1318</v>
      </c>
      <c r="E1107" s="20"/>
      <c r="F1107" s="6">
        <f>F1108</f>
        <v>261.60000000000002</v>
      </c>
    </row>
    <row r="1108" spans="1:8" ht="78.75" x14ac:dyDescent="0.25">
      <c r="A1108" s="25" t="s">
        <v>127</v>
      </c>
      <c r="B1108" s="20" t="s">
        <v>238</v>
      </c>
      <c r="C1108" s="20" t="s">
        <v>213</v>
      </c>
      <c r="D1108" s="20" t="s">
        <v>1318</v>
      </c>
      <c r="E1108" s="20" t="s">
        <v>128</v>
      </c>
      <c r="F1108" s="6">
        <f>F1109</f>
        <v>261.60000000000002</v>
      </c>
    </row>
    <row r="1109" spans="1:8" ht="31.5" x14ac:dyDescent="0.25">
      <c r="A1109" s="25" t="s">
        <v>129</v>
      </c>
      <c r="B1109" s="20" t="s">
        <v>238</v>
      </c>
      <c r="C1109" s="20" t="s">
        <v>213</v>
      </c>
      <c r="D1109" s="20" t="s">
        <v>1318</v>
      </c>
      <c r="E1109" s="20" t="s">
        <v>209</v>
      </c>
      <c r="F1109" s="6">
        <f>'Пр.4 ведом.21'!G545</f>
        <v>261.60000000000002</v>
      </c>
    </row>
    <row r="1110" spans="1:8" s="457" customFormat="1" ht="47.25" x14ac:dyDescent="0.25">
      <c r="A1110" s="466" t="s">
        <v>1776</v>
      </c>
      <c r="B1110" s="462" t="s">
        <v>238</v>
      </c>
      <c r="C1110" s="462" t="s">
        <v>213</v>
      </c>
      <c r="D1110" s="462" t="s">
        <v>1777</v>
      </c>
      <c r="E1110" s="462"/>
      <c r="F1110" s="459">
        <f>F1111</f>
        <v>117.55</v>
      </c>
    </row>
    <row r="1111" spans="1:8" s="457" customFormat="1" ht="78.75" x14ac:dyDescent="0.25">
      <c r="A1111" s="466" t="s">
        <v>127</v>
      </c>
      <c r="B1111" s="462" t="s">
        <v>238</v>
      </c>
      <c r="C1111" s="462" t="s">
        <v>213</v>
      </c>
      <c r="D1111" s="462" t="s">
        <v>1777</v>
      </c>
      <c r="E1111" s="462" t="s">
        <v>128</v>
      </c>
      <c r="F1111" s="459">
        <f>F1112</f>
        <v>117.55</v>
      </c>
    </row>
    <row r="1112" spans="1:8" s="457" customFormat="1" ht="31.5" x14ac:dyDescent="0.25">
      <c r="A1112" s="46" t="s">
        <v>342</v>
      </c>
      <c r="B1112" s="462" t="s">
        <v>238</v>
      </c>
      <c r="C1112" s="462" t="s">
        <v>213</v>
      </c>
      <c r="D1112" s="462" t="s">
        <v>1777</v>
      </c>
      <c r="E1112" s="462" t="s">
        <v>209</v>
      </c>
      <c r="F1112" s="459">
        <f>'Пр.4 ведом.21'!G541</f>
        <v>117.55</v>
      </c>
    </row>
    <row r="1113" spans="1:8" ht="47.25" x14ac:dyDescent="0.25">
      <c r="A1113" s="41" t="s">
        <v>1363</v>
      </c>
      <c r="B1113" s="24" t="s">
        <v>238</v>
      </c>
      <c r="C1113" s="24" t="s">
        <v>213</v>
      </c>
      <c r="D1113" s="24" t="s">
        <v>705</v>
      </c>
      <c r="E1113" s="221"/>
      <c r="F1113" s="4">
        <f>F1114</f>
        <v>78</v>
      </c>
    </row>
    <row r="1114" spans="1:8" s="203" customFormat="1" ht="47.25" x14ac:dyDescent="0.25">
      <c r="A1114" s="41" t="s">
        <v>890</v>
      </c>
      <c r="B1114" s="24" t="s">
        <v>238</v>
      </c>
      <c r="C1114" s="24" t="s">
        <v>213</v>
      </c>
      <c r="D1114" s="24" t="s">
        <v>888</v>
      </c>
      <c r="E1114" s="221"/>
      <c r="F1114" s="4">
        <f>F1115</f>
        <v>78</v>
      </c>
    </row>
    <row r="1115" spans="1:8" s="203" customFormat="1" ht="47.25" x14ac:dyDescent="0.25">
      <c r="A1115" s="98" t="s">
        <v>1004</v>
      </c>
      <c r="B1115" s="20" t="s">
        <v>238</v>
      </c>
      <c r="C1115" s="20" t="s">
        <v>213</v>
      </c>
      <c r="D1115" s="20" t="s">
        <v>889</v>
      </c>
      <c r="E1115" s="32"/>
      <c r="F1115" s="6">
        <f>F1116</f>
        <v>78</v>
      </c>
    </row>
    <row r="1116" spans="1:8" s="203" customFormat="1" ht="31.5" x14ac:dyDescent="0.25">
      <c r="A1116" s="25" t="s">
        <v>131</v>
      </c>
      <c r="B1116" s="20" t="s">
        <v>238</v>
      </c>
      <c r="C1116" s="20" t="s">
        <v>213</v>
      </c>
      <c r="D1116" s="20" t="s">
        <v>889</v>
      </c>
      <c r="E1116" s="32" t="s">
        <v>132</v>
      </c>
      <c r="F1116" s="6">
        <f>F1117</f>
        <v>78</v>
      </c>
    </row>
    <row r="1117" spans="1:8" s="203" customFormat="1" ht="31.5" x14ac:dyDescent="0.25">
      <c r="A1117" s="25" t="s">
        <v>133</v>
      </c>
      <c r="B1117" s="20" t="s">
        <v>238</v>
      </c>
      <c r="C1117" s="20" t="s">
        <v>213</v>
      </c>
      <c r="D1117" s="20" t="s">
        <v>889</v>
      </c>
      <c r="E1117" s="32" t="s">
        <v>134</v>
      </c>
      <c r="F1117" s="6">
        <f>'Пр.4 ведом.21'!G550</f>
        <v>78</v>
      </c>
    </row>
    <row r="1118" spans="1:8" ht="15.75" x14ac:dyDescent="0.25">
      <c r="A1118" s="61" t="s">
        <v>587</v>
      </c>
      <c r="B1118" s="7"/>
      <c r="C1118" s="7"/>
      <c r="D1118" s="7"/>
      <c r="E1118" s="7"/>
      <c r="F1118" s="382">
        <f>F8+F259+F289+F351+F547+F855+F1015+F1096+F961</f>
        <v>971180.05836999987</v>
      </c>
      <c r="H1118" s="22"/>
    </row>
    <row r="1119" spans="1:8" x14ac:dyDescent="0.25">
      <c r="F1119" s="22">
        <f>'Пр.4 ведом.21'!G1245</f>
        <v>971180.05836999998</v>
      </c>
    </row>
    <row r="1120" spans="1:8" x14ac:dyDescent="0.25">
      <c r="F1120" s="22">
        <f>F1119-F1118</f>
        <v>0</v>
      </c>
    </row>
  </sheetData>
  <mergeCells count="4">
    <mergeCell ref="A5:F5"/>
    <mergeCell ref="E3:F3"/>
    <mergeCell ref="E1:F1"/>
    <mergeCell ref="E2:F2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23" zoomScaleNormal="100" zoomScaleSheetLayoutView="100" workbookViewId="0">
      <selection activeCell="C103" sqref="C103:D103"/>
    </sheetView>
  </sheetViews>
  <sheetFormatPr defaultColWidth="9.140625" defaultRowHeight="15" x14ac:dyDescent="0.25"/>
  <cols>
    <col min="1" max="1" width="65.140625" style="457" customWidth="1"/>
    <col min="2" max="2" width="7" style="457" customWidth="1"/>
    <col min="3" max="3" width="6" style="457" customWidth="1"/>
    <col min="4" max="4" width="13.7109375" style="22" customWidth="1"/>
    <col min="5" max="5" width="15.5703125" style="22" customWidth="1"/>
    <col min="6" max="16384" width="9.140625" style="457"/>
  </cols>
  <sheetData>
    <row r="1" spans="1:7" ht="15.75" x14ac:dyDescent="0.25">
      <c r="A1" s="11"/>
      <c r="C1" s="11"/>
      <c r="D1" s="613" t="s">
        <v>1531</v>
      </c>
      <c r="E1" s="613"/>
    </row>
    <row r="2" spans="1:7" ht="15.75" x14ac:dyDescent="0.25">
      <c r="A2" s="11"/>
      <c r="C2" s="11"/>
      <c r="D2" s="613" t="s">
        <v>1530</v>
      </c>
      <c r="E2" s="613"/>
    </row>
    <row r="3" spans="1:7" ht="18.75" x14ac:dyDescent="0.3">
      <c r="A3" s="11"/>
      <c r="B3" s="152"/>
      <c r="C3" s="11"/>
      <c r="D3" s="613" t="s">
        <v>1529</v>
      </c>
      <c r="E3" s="613"/>
    </row>
    <row r="4" spans="1:7" ht="15.75" x14ac:dyDescent="0.25">
      <c r="A4" s="616" t="s">
        <v>1139</v>
      </c>
      <c r="B4" s="616"/>
      <c r="C4" s="616"/>
      <c r="D4" s="616"/>
      <c r="E4" s="616"/>
    </row>
    <row r="5" spans="1:7" ht="15.75" x14ac:dyDescent="0.25">
      <c r="A5" s="616" t="s">
        <v>1141</v>
      </c>
      <c r="B5" s="616"/>
      <c r="C5" s="616"/>
      <c r="D5" s="616"/>
      <c r="E5" s="616"/>
    </row>
    <row r="6" spans="1:7" ht="15.75" x14ac:dyDescent="0.25">
      <c r="A6" s="616" t="s">
        <v>1320</v>
      </c>
      <c r="B6" s="616"/>
      <c r="C6" s="616"/>
      <c r="D6" s="616"/>
      <c r="E6" s="616"/>
    </row>
    <row r="7" spans="1:7" ht="15.75" x14ac:dyDescent="0.25">
      <c r="A7" s="617"/>
      <c r="B7" s="618"/>
      <c r="C7" s="618"/>
    </row>
    <row r="8" spans="1:7" x14ac:dyDescent="0.25">
      <c r="B8" s="90"/>
      <c r="C8" s="90"/>
      <c r="E8" s="373" t="s">
        <v>1</v>
      </c>
    </row>
    <row r="9" spans="1:7" ht="31.5" x14ac:dyDescent="0.25">
      <c r="A9" s="91" t="s">
        <v>675</v>
      </c>
      <c r="B9" s="91" t="s">
        <v>676</v>
      </c>
      <c r="C9" s="91" t="s">
        <v>677</v>
      </c>
      <c r="D9" s="374" t="s">
        <v>1029</v>
      </c>
      <c r="E9" s="374" t="s">
        <v>1295</v>
      </c>
    </row>
    <row r="10" spans="1:7" ht="15.75" x14ac:dyDescent="0.25">
      <c r="A10" s="43" t="s">
        <v>1424</v>
      </c>
      <c r="B10" s="47"/>
      <c r="C10" s="47"/>
      <c r="D10" s="376">
        <f>('Пр.1.1. дох.22-23 (2)'!C9+'Пр.1.1. дох.22-23 (2)'!C76)*2.5%</f>
        <v>12478.692500000001</v>
      </c>
      <c r="E10" s="376">
        <v>25451.88</v>
      </c>
    </row>
    <row r="11" spans="1:7" ht="15.75" x14ac:dyDescent="0.25">
      <c r="A11" s="47" t="s">
        <v>117</v>
      </c>
      <c r="B11" s="465" t="s">
        <v>118</v>
      </c>
      <c r="C11" s="92"/>
      <c r="D11" s="375">
        <f>SUM(D12:D17)</f>
        <v>136787.41</v>
      </c>
      <c r="E11" s="375">
        <f>SUM(E12:E17)</f>
        <v>123941.72</v>
      </c>
      <c r="G11" s="22"/>
    </row>
    <row r="12" spans="1:7" ht="31.5" x14ac:dyDescent="0.25">
      <c r="A12" s="31" t="s">
        <v>575</v>
      </c>
      <c r="B12" s="462" t="s">
        <v>118</v>
      </c>
      <c r="C12" s="462" t="s">
        <v>213</v>
      </c>
      <c r="D12" s="377">
        <f>'пр.5.1.рдпрцс 22-23 (2)'!F10</f>
        <v>4867.3999999999996</v>
      </c>
      <c r="E12" s="377">
        <f>'пр.5.1.рдпрцс 22-23 (2)'!G10</f>
        <v>4867.3999999999996</v>
      </c>
    </row>
    <row r="13" spans="1:7" ht="47.25" x14ac:dyDescent="0.25">
      <c r="A13" s="31" t="s">
        <v>578</v>
      </c>
      <c r="B13" s="462" t="s">
        <v>118</v>
      </c>
      <c r="C13" s="462" t="s">
        <v>215</v>
      </c>
      <c r="D13" s="377">
        <f>'пр.5.1.рдпрцс 22-23 (2)'!F29</f>
        <v>5488</v>
      </c>
      <c r="E13" s="377">
        <f>'пр.5.1.рдпрцс 22-23 (2)'!G29</f>
        <v>5488</v>
      </c>
    </row>
    <row r="14" spans="1:7" ht="47.25" x14ac:dyDescent="0.25">
      <c r="A14" s="466" t="s">
        <v>149</v>
      </c>
      <c r="B14" s="462" t="s">
        <v>118</v>
      </c>
      <c r="C14" s="462" t="s">
        <v>150</v>
      </c>
      <c r="D14" s="377">
        <f>'пр.5.1.рдпрцс 22-23 (2)'!F45</f>
        <v>56977.11</v>
      </c>
      <c r="E14" s="377">
        <f>'пр.5.1.рдпрцс 22-23 (2)'!G45</f>
        <v>43788.420000000006</v>
      </c>
    </row>
    <row r="15" spans="1:7" ht="47.25" x14ac:dyDescent="0.25">
      <c r="A15" s="466" t="s">
        <v>119</v>
      </c>
      <c r="B15" s="462" t="s">
        <v>118</v>
      </c>
      <c r="C15" s="462" t="s">
        <v>120</v>
      </c>
      <c r="D15" s="377">
        <f>'пр.5.1.рдпрцс 22-23 (2)'!F106</f>
        <v>16636.7</v>
      </c>
      <c r="E15" s="377">
        <f>'пр.5.1.рдпрцс 22-23 (2)'!G106</f>
        <v>16636.7</v>
      </c>
    </row>
    <row r="16" spans="1:7" ht="15.75" hidden="1" x14ac:dyDescent="0.25">
      <c r="A16" s="466" t="s">
        <v>1152</v>
      </c>
      <c r="B16" s="462" t="s">
        <v>118</v>
      </c>
      <c r="C16" s="462" t="s">
        <v>264</v>
      </c>
      <c r="D16" s="377">
        <f>'пр.5.1.рдпрцс 22-23 (2)'!F128</f>
        <v>0</v>
      </c>
      <c r="E16" s="377">
        <f>'пр.5.1.рдпрцс 22-23 (2)'!G128</f>
        <v>0</v>
      </c>
    </row>
    <row r="17" spans="1:7" ht="15.75" x14ac:dyDescent="0.25">
      <c r="A17" s="93" t="s">
        <v>139</v>
      </c>
      <c r="B17" s="462" t="s">
        <v>118</v>
      </c>
      <c r="C17" s="462" t="s">
        <v>140</v>
      </c>
      <c r="D17" s="377">
        <f>'пр.5.1.рдпрцс 22-23 (2)'!F136</f>
        <v>52818.200000000004</v>
      </c>
      <c r="E17" s="377">
        <f>'пр.5.1.рдпрцс 22-23 (2)'!G136</f>
        <v>53161.200000000004</v>
      </c>
    </row>
    <row r="18" spans="1:7" ht="15.75" hidden="1" x14ac:dyDescent="0.25">
      <c r="A18" s="461" t="s">
        <v>212</v>
      </c>
      <c r="B18" s="465" t="s">
        <v>213</v>
      </c>
      <c r="C18" s="462"/>
      <c r="D18" s="375">
        <f>'[1]пр.3 Рд,пр 21'!D18</f>
        <v>0</v>
      </c>
      <c r="E18" s="375">
        <f>'[1]пр.3 Рд,пр 21'!E18</f>
        <v>0</v>
      </c>
    </row>
    <row r="19" spans="1:7" ht="15.75" hidden="1" x14ac:dyDescent="0.25">
      <c r="A19" s="466" t="s">
        <v>218</v>
      </c>
      <c r="B19" s="462" t="s">
        <v>213</v>
      </c>
      <c r="C19" s="462" t="s">
        <v>219</v>
      </c>
      <c r="D19" s="377">
        <f>'[1]пр.3 Рд,пр 21'!D19</f>
        <v>0</v>
      </c>
      <c r="E19" s="377">
        <f>'[1]пр.3 Рд,пр 21'!E19</f>
        <v>0</v>
      </c>
    </row>
    <row r="20" spans="1:7" ht="31.5" x14ac:dyDescent="0.25">
      <c r="A20" s="34" t="s">
        <v>222</v>
      </c>
      <c r="B20" s="465" t="s">
        <v>215</v>
      </c>
      <c r="C20" s="465"/>
      <c r="D20" s="375">
        <f>D21</f>
        <v>8197.1</v>
      </c>
      <c r="E20" s="375">
        <f>E21</f>
        <v>8197.1</v>
      </c>
    </row>
    <row r="21" spans="1:7" ht="31.5" x14ac:dyDescent="0.25">
      <c r="A21" s="31" t="s">
        <v>1356</v>
      </c>
      <c r="B21" s="462" t="s">
        <v>215</v>
      </c>
      <c r="C21" s="462" t="s">
        <v>244</v>
      </c>
      <c r="D21" s="377">
        <f>'пр.5.1.рдпрцс 22-23 (2)'!F231</f>
        <v>8197.1</v>
      </c>
      <c r="E21" s="377">
        <f>'пр.5.1.рдпрцс 22-23 (2)'!G231</f>
        <v>8197.1</v>
      </c>
    </row>
    <row r="22" spans="1:7" ht="15.75" x14ac:dyDescent="0.25">
      <c r="A22" s="47" t="s">
        <v>232</v>
      </c>
      <c r="B22" s="465" t="s">
        <v>150</v>
      </c>
      <c r="C22" s="465"/>
      <c r="D22" s="375">
        <f>SUM(D23:D26)</f>
        <v>6525.2</v>
      </c>
      <c r="E22" s="375">
        <f>SUM(E23:E26)</f>
        <v>6535.8</v>
      </c>
    </row>
    <row r="23" spans="1:7" ht="15.75" x14ac:dyDescent="0.25">
      <c r="A23" s="94" t="s">
        <v>233</v>
      </c>
      <c r="B23" s="462" t="s">
        <v>150</v>
      </c>
      <c r="C23" s="462" t="s">
        <v>234</v>
      </c>
      <c r="D23" s="377">
        <f>'пр.5.1.рдпрцс 22-23 (2)'!F250</f>
        <v>274</v>
      </c>
      <c r="E23" s="377">
        <f>'пр.5.1.рдпрцс 22-23 (2)'!G250</f>
        <v>274</v>
      </c>
    </row>
    <row r="24" spans="1:7" ht="15.75" x14ac:dyDescent="0.25">
      <c r="A24" s="93" t="s">
        <v>505</v>
      </c>
      <c r="B24" s="462" t="s">
        <v>150</v>
      </c>
      <c r="C24" s="462" t="s">
        <v>299</v>
      </c>
      <c r="D24" s="377">
        <f>'пр.5.1.рдпрцс 22-23 (2)'!F263</f>
        <v>3258</v>
      </c>
      <c r="E24" s="377">
        <f>'пр.5.1.рдпрцс 22-23 (2)'!G263</f>
        <v>3258</v>
      </c>
    </row>
    <row r="25" spans="1:7" ht="15.75" x14ac:dyDescent="0.25">
      <c r="A25" s="93" t="s">
        <v>508</v>
      </c>
      <c r="B25" s="462" t="s">
        <v>150</v>
      </c>
      <c r="C25" s="462" t="s">
        <v>219</v>
      </c>
      <c r="D25" s="377">
        <f>'пр.5.1.рдпрцс 22-23 (2)'!F269</f>
        <v>2319</v>
      </c>
      <c r="E25" s="377">
        <f>'пр.5.1.рдпрцс 22-23 (2)'!G269</f>
        <v>2319</v>
      </c>
    </row>
    <row r="26" spans="1:7" ht="15.75" x14ac:dyDescent="0.25">
      <c r="A26" s="95" t="s">
        <v>237</v>
      </c>
      <c r="B26" s="462" t="s">
        <v>150</v>
      </c>
      <c r="C26" s="462" t="s">
        <v>238</v>
      </c>
      <c r="D26" s="377">
        <f>'пр.5.1.рдпрцс 22-23 (2)'!F283</f>
        <v>674.2</v>
      </c>
      <c r="E26" s="377">
        <f>'пр.5.1.рдпрцс 22-23 (2)'!G283</f>
        <v>684.8</v>
      </c>
    </row>
    <row r="27" spans="1:7" ht="15.75" x14ac:dyDescent="0.25">
      <c r="A27" s="47" t="s">
        <v>390</v>
      </c>
      <c r="B27" s="465" t="s">
        <v>234</v>
      </c>
      <c r="C27" s="465"/>
      <c r="D27" s="375">
        <f>SUM(D28:D31)</f>
        <v>41786.1</v>
      </c>
      <c r="E27" s="375">
        <f>SUM(E28:E31)</f>
        <v>49898.45</v>
      </c>
    </row>
    <row r="28" spans="1:7" ht="15.75" x14ac:dyDescent="0.25">
      <c r="A28" s="94" t="s">
        <v>391</v>
      </c>
      <c r="B28" s="462" t="s">
        <v>234</v>
      </c>
      <c r="C28" s="462" t="s">
        <v>118</v>
      </c>
      <c r="D28" s="377">
        <f>'пр.5.1.рдпрцс 22-23 (2)'!F315</f>
        <v>6060.4</v>
      </c>
      <c r="E28" s="377">
        <f>'пр.5.1.рдпрцс 22-23 (2)'!G315</f>
        <v>6060.4</v>
      </c>
    </row>
    <row r="29" spans="1:7" ht="15.75" x14ac:dyDescent="0.25">
      <c r="A29" s="94" t="s">
        <v>517</v>
      </c>
      <c r="B29" s="462" t="s">
        <v>234</v>
      </c>
      <c r="C29" s="462" t="s">
        <v>213</v>
      </c>
      <c r="D29" s="377">
        <f>'пр.5.1.рдпрцс 22-23 (2)'!F329</f>
        <v>6611.199999999998</v>
      </c>
      <c r="E29" s="377">
        <f>'пр.5.1.рдпрцс 22-23 (2)'!G329</f>
        <v>14470.550000000001</v>
      </c>
    </row>
    <row r="30" spans="1:7" ht="15.75" x14ac:dyDescent="0.25">
      <c r="A30" s="93" t="s">
        <v>541</v>
      </c>
      <c r="B30" s="462" t="s">
        <v>234</v>
      </c>
      <c r="C30" s="462" t="s">
        <v>215</v>
      </c>
      <c r="D30" s="377">
        <f>'пр.5.1.рдпрцс 22-23 (2)'!F393</f>
        <v>3810</v>
      </c>
      <c r="E30" s="377">
        <f>'пр.5.1.рдпрцс 22-23 (2)'!G393</f>
        <v>4063</v>
      </c>
    </row>
    <row r="31" spans="1:7" ht="15.75" x14ac:dyDescent="0.25">
      <c r="A31" s="466" t="s">
        <v>569</v>
      </c>
      <c r="B31" s="462" t="s">
        <v>234</v>
      </c>
      <c r="C31" s="462" t="s">
        <v>234</v>
      </c>
      <c r="D31" s="377">
        <f>'пр.5.1.рдпрцс 22-23 (2)'!F443</f>
        <v>25304.5</v>
      </c>
      <c r="E31" s="377">
        <f>'пр.5.1.рдпрцс 22-23 (2)'!G443</f>
        <v>25304.5</v>
      </c>
    </row>
    <row r="32" spans="1:7" ht="15.75" x14ac:dyDescent="0.25">
      <c r="A32" s="47" t="s">
        <v>263</v>
      </c>
      <c r="B32" s="465" t="s">
        <v>264</v>
      </c>
      <c r="C32" s="465"/>
      <c r="D32" s="375">
        <f>SUM(D33:D37)</f>
        <v>366206.80999999994</v>
      </c>
      <c r="E32" s="375">
        <f>SUM(E33:E37)</f>
        <v>389340.15999999997</v>
      </c>
      <c r="G32" s="22"/>
    </row>
    <row r="33" spans="1:7" ht="15.75" x14ac:dyDescent="0.25">
      <c r="A33" s="93" t="s">
        <v>404</v>
      </c>
      <c r="B33" s="462" t="s">
        <v>264</v>
      </c>
      <c r="C33" s="462" t="s">
        <v>118</v>
      </c>
      <c r="D33" s="377">
        <f>'пр.5.1.рдпрцс 22-23 (2)'!F479</f>
        <v>102250.3</v>
      </c>
      <c r="E33" s="377">
        <f>'пр.5.1.рдпрцс 22-23 (2)'!G479</f>
        <v>105829.20000000001</v>
      </c>
    </row>
    <row r="34" spans="1:7" ht="15.75" x14ac:dyDescent="0.25">
      <c r="A34" s="93" t="s">
        <v>425</v>
      </c>
      <c r="B34" s="462" t="s">
        <v>264</v>
      </c>
      <c r="C34" s="462" t="s">
        <v>213</v>
      </c>
      <c r="D34" s="377">
        <f>'пр.5.1.рдпрцс 22-23 (2)'!F542</f>
        <v>177341.49999999997</v>
      </c>
      <c r="E34" s="377">
        <f>'пр.5.1.рдпрцс 22-23 (2)'!G542</f>
        <v>196805.15000000002</v>
      </c>
    </row>
    <row r="35" spans="1:7" ht="15.75" x14ac:dyDescent="0.25">
      <c r="A35" s="93" t="s">
        <v>265</v>
      </c>
      <c r="B35" s="462" t="s">
        <v>264</v>
      </c>
      <c r="C35" s="462" t="s">
        <v>215</v>
      </c>
      <c r="D35" s="377">
        <f>'пр.5.1.рдпрцс 22-23 (2)'!F620</f>
        <v>60278.110000000008</v>
      </c>
      <c r="E35" s="377">
        <f>'пр.5.1.рдпрцс 22-23 (2)'!G620</f>
        <v>60303.91</v>
      </c>
    </row>
    <row r="36" spans="1:7" ht="15.75" x14ac:dyDescent="0.25">
      <c r="A36" s="93" t="s">
        <v>466</v>
      </c>
      <c r="B36" s="462" t="s">
        <v>264</v>
      </c>
      <c r="C36" s="462" t="s">
        <v>264</v>
      </c>
      <c r="D36" s="377">
        <f>'пр.5.1.рдпрцс 22-23 (2)'!F689</f>
        <v>6505.1</v>
      </c>
      <c r="E36" s="377">
        <f>'пр.5.1.рдпрцс 22-23 (2)'!G689</f>
        <v>6570.1</v>
      </c>
    </row>
    <row r="37" spans="1:7" ht="15.75" x14ac:dyDescent="0.25">
      <c r="A37" s="93" t="s">
        <v>295</v>
      </c>
      <c r="B37" s="462" t="s">
        <v>264</v>
      </c>
      <c r="C37" s="462" t="s">
        <v>219</v>
      </c>
      <c r="D37" s="377">
        <f>'пр.5.1.рдпрцс 22-23 (2)'!F714</f>
        <v>19831.8</v>
      </c>
      <c r="E37" s="377">
        <f>'пр.5.1.рдпрцс 22-23 (2)'!G714</f>
        <v>19831.8</v>
      </c>
    </row>
    <row r="38" spans="1:7" ht="15.75" x14ac:dyDescent="0.25">
      <c r="A38" s="96" t="s">
        <v>298</v>
      </c>
      <c r="B38" s="465" t="s">
        <v>299</v>
      </c>
      <c r="C38" s="462"/>
      <c r="D38" s="375">
        <f>SUM(D39:D40)</f>
        <v>76411.28</v>
      </c>
      <c r="E38" s="375">
        <f>SUM(E39:E40)</f>
        <v>77665.48</v>
      </c>
    </row>
    <row r="39" spans="1:7" ht="15.75" x14ac:dyDescent="0.25">
      <c r="A39" s="95" t="s">
        <v>300</v>
      </c>
      <c r="B39" s="462" t="s">
        <v>299</v>
      </c>
      <c r="C39" s="462" t="s">
        <v>118</v>
      </c>
      <c r="D39" s="377">
        <f>'пр.5.1.рдпрцс 22-23 (2)'!F742</f>
        <v>57844.87999999999</v>
      </c>
      <c r="E39" s="377">
        <f>'пр.5.1.рдпрцс 22-23 (2)'!G742</f>
        <v>59070.079999999994</v>
      </c>
    </row>
    <row r="40" spans="1:7" ht="15.75" x14ac:dyDescent="0.25">
      <c r="A40" s="95" t="s">
        <v>333</v>
      </c>
      <c r="B40" s="462" t="s">
        <v>299</v>
      </c>
      <c r="C40" s="462" t="s">
        <v>150</v>
      </c>
      <c r="D40" s="377">
        <f>'пр.5.1.рдпрцс 22-23 (2)'!F795</f>
        <v>18566.400000000001</v>
      </c>
      <c r="E40" s="377">
        <f>'пр.5.1.рдпрцс 22-23 (2)'!G795</f>
        <v>18595.400000000001</v>
      </c>
    </row>
    <row r="41" spans="1:7" ht="15.75" x14ac:dyDescent="0.25">
      <c r="A41" s="47" t="s">
        <v>243</v>
      </c>
      <c r="B41" s="465" t="s">
        <v>244</v>
      </c>
      <c r="C41" s="465"/>
      <c r="D41" s="375">
        <f>SUM(D42:D45)</f>
        <v>18033.41</v>
      </c>
      <c r="E41" s="375">
        <f>SUM(E42:E45)</f>
        <v>26348.010000000002</v>
      </c>
      <c r="G41" s="22"/>
    </row>
    <row r="42" spans="1:7" ht="15.75" x14ac:dyDescent="0.25">
      <c r="A42" s="93" t="s">
        <v>245</v>
      </c>
      <c r="B42" s="462" t="s">
        <v>244</v>
      </c>
      <c r="C42" s="462" t="s">
        <v>118</v>
      </c>
      <c r="D42" s="377">
        <f>'пр.5.1.рдпрцс 22-23 (2)'!F830</f>
        <v>9815.2999999999993</v>
      </c>
      <c r="E42" s="377">
        <f>'пр.5.1.рдпрцс 22-23 (2)'!G830</f>
        <v>9815.2999999999993</v>
      </c>
    </row>
    <row r="43" spans="1:7" ht="15.75" x14ac:dyDescent="0.25">
      <c r="A43" s="466" t="s">
        <v>252</v>
      </c>
      <c r="B43" s="462" t="s">
        <v>244</v>
      </c>
      <c r="C43" s="462" t="s">
        <v>215</v>
      </c>
      <c r="D43" s="377">
        <f>'пр.5.1.рдпрцс 22-23 (2)'!F836</f>
        <v>2011.6100000000001</v>
      </c>
      <c r="E43" s="377">
        <f>'пр.5.1.рдпрцс 22-23 (2)'!G836</f>
        <v>2036.1100000000001</v>
      </c>
    </row>
    <row r="44" spans="1:7" ht="15.75" x14ac:dyDescent="0.25">
      <c r="A44" s="466" t="s">
        <v>400</v>
      </c>
      <c r="B44" s="462" t="s">
        <v>244</v>
      </c>
      <c r="C44" s="462" t="s">
        <v>150</v>
      </c>
      <c r="D44" s="377">
        <f>'пр.5.1.рдпрцс 22-23 (2)'!F867</f>
        <v>2469.1</v>
      </c>
      <c r="E44" s="377">
        <f>'пр.5.1.рдпрцс 22-23 (2)'!G867</f>
        <v>10803.2</v>
      </c>
    </row>
    <row r="45" spans="1:7" ht="15.75" x14ac:dyDescent="0.25">
      <c r="A45" s="466" t="s">
        <v>258</v>
      </c>
      <c r="B45" s="462" t="s">
        <v>244</v>
      </c>
      <c r="C45" s="462" t="s">
        <v>120</v>
      </c>
      <c r="D45" s="377">
        <f>'пр.5.1.рдпрцс 22-23 (2)'!F872</f>
        <v>3737.4</v>
      </c>
      <c r="E45" s="377">
        <f>'пр.5.1.рдпрцс 22-23 (2)'!G872</f>
        <v>3693.4</v>
      </c>
    </row>
    <row r="46" spans="1:7" ht="15.75" x14ac:dyDescent="0.25">
      <c r="A46" s="96" t="s">
        <v>490</v>
      </c>
      <c r="B46" s="465" t="s">
        <v>491</v>
      </c>
      <c r="C46" s="462"/>
      <c r="D46" s="375">
        <f>SUM(D47:D48)</f>
        <v>63981.399999999994</v>
      </c>
      <c r="E46" s="375">
        <f>SUM(E47:E48)</f>
        <v>64012.600000000006</v>
      </c>
      <c r="G46" s="22"/>
    </row>
    <row r="47" spans="1:7" ht="15.75" x14ac:dyDescent="0.25">
      <c r="A47" s="95" t="s">
        <v>492</v>
      </c>
      <c r="B47" s="462" t="s">
        <v>491</v>
      </c>
      <c r="C47" s="462" t="s">
        <v>118</v>
      </c>
      <c r="D47" s="377">
        <f>'пр.5.1.рдпрцс 22-23 (2)'!F886</f>
        <v>50452.2</v>
      </c>
      <c r="E47" s="377">
        <f>'пр.5.1.рдпрцс 22-23 (2)'!G886</f>
        <v>50483.4</v>
      </c>
    </row>
    <row r="48" spans="1:7" ht="15.75" x14ac:dyDescent="0.25">
      <c r="A48" s="95" t="s">
        <v>500</v>
      </c>
      <c r="B48" s="462" t="s">
        <v>491</v>
      </c>
      <c r="C48" s="462" t="s">
        <v>234</v>
      </c>
      <c r="D48" s="377">
        <f>'пр.5.1.рдпрцс 22-23 (2)'!F923</f>
        <v>13529.2</v>
      </c>
      <c r="E48" s="377">
        <f>'пр.5.1.рдпрцс 22-23 (2)'!G923</f>
        <v>13529.2</v>
      </c>
    </row>
    <row r="49" spans="1:7" ht="15.75" x14ac:dyDescent="0.25">
      <c r="A49" s="461" t="s">
        <v>582</v>
      </c>
      <c r="B49" s="465" t="s">
        <v>238</v>
      </c>
      <c r="C49" s="462"/>
      <c r="D49" s="375">
        <f>D50</f>
        <v>5873.2</v>
      </c>
      <c r="E49" s="375">
        <f>E50</f>
        <v>5876.2</v>
      </c>
    </row>
    <row r="50" spans="1:7" ht="15.75" x14ac:dyDescent="0.25">
      <c r="A50" s="31" t="s">
        <v>583</v>
      </c>
      <c r="B50" s="462" t="s">
        <v>238</v>
      </c>
      <c r="C50" s="462" t="s">
        <v>213</v>
      </c>
      <c r="D50" s="377">
        <f>'пр.5.1.рдпрцс 22-23 (2)'!F952</f>
        <v>5873.2</v>
      </c>
      <c r="E50" s="377">
        <f>'пр.5.1.рдпрцс 22-23 (2)'!G952</f>
        <v>5876.2</v>
      </c>
    </row>
    <row r="51" spans="1:7" ht="15.75" x14ac:dyDescent="0.25">
      <c r="A51" s="92" t="s">
        <v>678</v>
      </c>
      <c r="B51" s="465"/>
      <c r="C51" s="465"/>
      <c r="D51" s="375">
        <f>D11+D20+D22+D27+D32+D38+D41+D46+D49+D10</f>
        <v>736280.60250000004</v>
      </c>
      <c r="E51" s="375">
        <f>E11+E20+E22+E27+E32+E38+E41+E46+E49+E10</f>
        <v>777267.39999999991</v>
      </c>
      <c r="G51" s="22"/>
    </row>
    <row r="52" spans="1:7" x14ac:dyDescent="0.25">
      <c r="D52" s="22">
        <f>'пр.5.1.рдпрцс 22-23 (2)'!F970</f>
        <v>736280.60250000004</v>
      </c>
      <c r="E52" s="22">
        <f>'пр.5.1.рдпрцс 22-23 (2)'!G970</f>
        <v>777267.39999999991</v>
      </c>
    </row>
    <row r="53" spans="1:7" hidden="1" x14ac:dyDescent="0.25">
      <c r="D53" s="22">
        <f>'Пр.1.1. дох.22-23 (2)'!C155</f>
        <v>736280.6</v>
      </c>
      <c r="E53" s="22">
        <f>'Пр.1.1. дох.22-23 (2)'!D155</f>
        <v>777267.39999999991</v>
      </c>
    </row>
    <row r="54" spans="1:7" hidden="1" x14ac:dyDescent="0.25"/>
    <row r="55" spans="1:7" hidden="1" x14ac:dyDescent="0.25">
      <c r="D55" s="22">
        <f>D53-D51</f>
        <v>-2.5000000605359674E-3</v>
      </c>
      <c r="E55" s="22">
        <f>E53-E51</f>
        <v>0</v>
      </c>
    </row>
    <row r="56" spans="1:7" ht="15.6" hidden="1" customHeight="1" x14ac:dyDescent="0.25">
      <c r="D56" s="22">
        <f>'пр.6.1.ведом.22-23 (2)'!G1094</f>
        <v>736280.59999999986</v>
      </c>
      <c r="E56" s="22">
        <f>'пр.6.1.ведом.22-23 (2)'!H1094</f>
        <v>777267.39999999991</v>
      </c>
    </row>
    <row r="57" spans="1:7" hidden="1" x14ac:dyDescent="0.25"/>
    <row r="58" spans="1:7" hidden="1" x14ac:dyDescent="0.25">
      <c r="D58" s="22">
        <f>D56-D51</f>
        <v>-2.5000001769512892E-3</v>
      </c>
      <c r="E58" s="22">
        <f>E56-E51</f>
        <v>0</v>
      </c>
    </row>
  </sheetData>
  <mergeCells count="7">
    <mergeCell ref="A7:C7"/>
    <mergeCell ref="D1:E1"/>
    <mergeCell ref="D2:E2"/>
    <mergeCell ref="D3:E3"/>
    <mergeCell ref="A4:E4"/>
    <mergeCell ref="A5:E5"/>
    <mergeCell ref="A6:E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2"/>
  <sheetViews>
    <sheetView view="pageBreakPreview" topLeftCell="A957" zoomScaleNormal="100" zoomScaleSheetLayoutView="100" workbookViewId="0">
      <selection activeCell="F3" sqref="F3:G3"/>
    </sheetView>
  </sheetViews>
  <sheetFormatPr defaultRowHeight="15" x14ac:dyDescent="0.25"/>
  <cols>
    <col min="1" max="1" width="48.28515625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3.7109375" style="22" customWidth="1"/>
    <col min="7" max="7" width="14.7109375" style="22" customWidth="1"/>
    <col min="8" max="8" width="13.5703125" hidden="1" customWidth="1"/>
    <col min="9" max="9" width="13.85546875" hidden="1" customWidth="1"/>
    <col min="10" max="10" width="11.85546875" hidden="1" customWidth="1"/>
  </cols>
  <sheetData>
    <row r="1" spans="1:10" ht="15.75" x14ac:dyDescent="0.25">
      <c r="A1" s="56"/>
      <c r="B1" s="56"/>
      <c r="C1" s="56"/>
      <c r="D1" s="204"/>
      <c r="E1" s="204"/>
      <c r="F1" s="613" t="s">
        <v>1806</v>
      </c>
      <c r="G1" s="613"/>
    </row>
    <row r="2" spans="1:10" ht="15.75" x14ac:dyDescent="0.25">
      <c r="A2" s="56"/>
      <c r="B2" s="56"/>
      <c r="C2" s="56"/>
      <c r="D2" s="204"/>
      <c r="E2" s="204"/>
      <c r="F2" s="613" t="s">
        <v>1530</v>
      </c>
      <c r="G2" s="613"/>
    </row>
    <row r="3" spans="1:10" ht="18.75" x14ac:dyDescent="0.3">
      <c r="A3" s="56"/>
      <c r="B3" s="56"/>
      <c r="C3" s="56"/>
      <c r="D3" s="204"/>
      <c r="E3" s="186"/>
      <c r="F3" s="613" t="s">
        <v>1820</v>
      </c>
      <c r="G3" s="613"/>
    </row>
    <row r="4" spans="1:10" x14ac:dyDescent="0.25">
      <c r="A4" s="56"/>
      <c r="B4" s="56"/>
      <c r="C4" s="56"/>
      <c r="D4" s="56"/>
      <c r="E4" s="56"/>
      <c r="F4" s="115"/>
      <c r="G4" s="115"/>
    </row>
    <row r="5" spans="1:10" ht="74.25" customHeight="1" x14ac:dyDescent="0.25">
      <c r="A5" s="619" t="s">
        <v>1312</v>
      </c>
      <c r="B5" s="619"/>
      <c r="C5" s="619"/>
      <c r="D5" s="619"/>
      <c r="E5" s="619"/>
      <c r="F5" s="619"/>
      <c r="G5" s="619"/>
    </row>
    <row r="6" spans="1:10" x14ac:dyDescent="0.25">
      <c r="A6" s="56"/>
      <c r="B6" s="56"/>
      <c r="C6" s="56"/>
      <c r="D6" s="56"/>
      <c r="E6" s="56"/>
      <c r="F6" s="115"/>
      <c r="G6" s="270" t="s">
        <v>1</v>
      </c>
    </row>
    <row r="7" spans="1:10" ht="35.450000000000003" customHeight="1" x14ac:dyDescent="0.25">
      <c r="A7" s="225" t="s">
        <v>592</v>
      </c>
      <c r="B7" s="226" t="s">
        <v>112</v>
      </c>
      <c r="C7" s="226" t="s">
        <v>113</v>
      </c>
      <c r="D7" s="226" t="s">
        <v>114</v>
      </c>
      <c r="E7" s="226" t="s">
        <v>115</v>
      </c>
      <c r="F7" s="271" t="s">
        <v>1086</v>
      </c>
      <c r="G7" s="271" t="s">
        <v>1313</v>
      </c>
      <c r="H7" s="231">
        <f>F13+F18+F32+F37+F42+F48+F57+F60+F64+F67+F72+F77+F82+F109+F114+F118+F125+F131+F139+F142+F150+F160+F165+F227+F234+F237+F241+F246+F266+F286+F318+F323+F326+F332+F337+F342+F396+F446+F453+F458+F461+F465+F470+F717+F722+F727+F731+F738+F798+F803+F808+F815+F833+F875+F882+F926+F929+F934+F941</f>
        <v>245734.72000000003</v>
      </c>
      <c r="I7" s="231">
        <f>G13+G18+G32+G37+G42+G48+G57+G60+G64+G67+G72+G77+G82+G109+G114+G118+G125+G131+G139+G142+G150+G160+G165+G227+G234+G237+G241+G246+G266+G286+G318+G323+G326+G332+G337+G342+G396+G446+G453+G458+G461+G465+G470+G717+G722+G727+G731+G738+G798+G803+G808+G815+G833+G875+G882+G926+G929+G934+G941</f>
        <v>240673.52000000002</v>
      </c>
    </row>
    <row r="8" spans="1:10" s="203" customFormat="1" ht="16.350000000000001" customHeight="1" x14ac:dyDescent="0.25">
      <c r="A8" s="304" t="s">
        <v>1424</v>
      </c>
      <c r="B8" s="305"/>
      <c r="C8" s="305"/>
      <c r="D8" s="305"/>
      <c r="E8" s="305"/>
      <c r="F8" s="306">
        <f>'пр.4.1.ведом.22-23'!G9</f>
        <v>12415.397850000001</v>
      </c>
      <c r="G8" s="306">
        <f>'пр.2.1. рдпр 22-23'!E10</f>
        <v>25451.88</v>
      </c>
      <c r="H8" s="231"/>
      <c r="I8" s="231"/>
    </row>
    <row r="9" spans="1:10" ht="15.75" x14ac:dyDescent="0.25">
      <c r="A9" s="41" t="s">
        <v>117</v>
      </c>
      <c r="B9" s="7" t="s">
        <v>118</v>
      </c>
      <c r="C9" s="7"/>
      <c r="D9" s="7"/>
      <c r="E9" s="7"/>
      <c r="F9" s="4">
        <f>F10+F29+F45+F106+F136+F128</f>
        <v>136787.32</v>
      </c>
      <c r="G9" s="4">
        <f>G10+G29+G45+G106+G136+G128</f>
        <v>123941.67000000001</v>
      </c>
      <c r="H9" s="224"/>
      <c r="I9" s="224"/>
      <c r="J9" s="224"/>
    </row>
    <row r="10" spans="1:10" ht="47.25" x14ac:dyDescent="0.25">
      <c r="A10" s="41" t="s">
        <v>575</v>
      </c>
      <c r="B10" s="7" t="s">
        <v>118</v>
      </c>
      <c r="C10" s="7" t="s">
        <v>213</v>
      </c>
      <c r="D10" s="7"/>
      <c r="E10" s="7"/>
      <c r="F10" s="4">
        <f>F11+F21</f>
        <v>4867.3999999999996</v>
      </c>
      <c r="G10" s="4">
        <f>G11+G21</f>
        <v>4867.3999999999996</v>
      </c>
      <c r="H10" s="224"/>
      <c r="I10" s="224"/>
    </row>
    <row r="11" spans="1:10" ht="31.5" x14ac:dyDescent="0.25">
      <c r="A11" s="23" t="s">
        <v>917</v>
      </c>
      <c r="B11" s="7" t="s">
        <v>118</v>
      </c>
      <c r="C11" s="7" t="s">
        <v>213</v>
      </c>
      <c r="D11" s="7" t="s">
        <v>858</v>
      </c>
      <c r="E11" s="7"/>
      <c r="F11" s="4">
        <f t="shared" ref="F11:G11" si="0">F12</f>
        <v>4826.8999999999996</v>
      </c>
      <c r="G11" s="4">
        <f t="shared" si="0"/>
        <v>4826.8999999999996</v>
      </c>
    </row>
    <row r="12" spans="1:10" ht="15.75" x14ac:dyDescent="0.25">
      <c r="A12" s="23" t="s">
        <v>918</v>
      </c>
      <c r="B12" s="7" t="s">
        <v>118</v>
      </c>
      <c r="C12" s="7" t="s">
        <v>213</v>
      </c>
      <c r="D12" s="7" t="s">
        <v>859</v>
      </c>
      <c r="E12" s="7"/>
      <c r="F12" s="4">
        <f>F13+F18</f>
        <v>4826.8999999999996</v>
      </c>
      <c r="G12" s="4">
        <f>G13+G18</f>
        <v>4826.8999999999996</v>
      </c>
    </row>
    <row r="13" spans="1:10" ht="47.25" x14ac:dyDescent="0.25">
      <c r="A13" s="29" t="s">
        <v>576</v>
      </c>
      <c r="B13" s="40" t="s">
        <v>118</v>
      </c>
      <c r="C13" s="40" t="s">
        <v>213</v>
      </c>
      <c r="D13" s="40" t="s">
        <v>1338</v>
      </c>
      <c r="E13" s="40"/>
      <c r="F13" s="6">
        <f>F14+F16</f>
        <v>4826.8999999999996</v>
      </c>
      <c r="G13" s="6">
        <f>G14+G16</f>
        <v>4826.8999999999996</v>
      </c>
      <c r="H13" s="231">
        <f>F13+F18+F48+F57+F60+F118+F125+F446+F453+F717+F798+F803+F926+F929+F722</f>
        <v>104071.90000000001</v>
      </c>
      <c r="I13" s="231">
        <f>G13+G18+G48+G57+G60+G118+G125+G446+G453+G717+G798+G803+G926+G929+G722</f>
        <v>91098.720000000016</v>
      </c>
    </row>
    <row r="14" spans="1:10" ht="94.5" x14ac:dyDescent="0.25">
      <c r="A14" s="29" t="s">
        <v>127</v>
      </c>
      <c r="B14" s="40" t="s">
        <v>118</v>
      </c>
      <c r="C14" s="40" t="s">
        <v>213</v>
      </c>
      <c r="D14" s="40" t="s">
        <v>1338</v>
      </c>
      <c r="E14" s="40" t="s">
        <v>128</v>
      </c>
      <c r="F14" s="6">
        <f>F15</f>
        <v>4736.8999999999996</v>
      </c>
      <c r="G14" s="6">
        <f>G15</f>
        <v>4736.8999999999996</v>
      </c>
    </row>
    <row r="15" spans="1:10" ht="31.5" x14ac:dyDescent="0.25">
      <c r="A15" s="29" t="s">
        <v>129</v>
      </c>
      <c r="B15" s="40" t="s">
        <v>118</v>
      </c>
      <c r="C15" s="40" t="s">
        <v>213</v>
      </c>
      <c r="D15" s="40" t="s">
        <v>1338</v>
      </c>
      <c r="E15" s="40" t="s">
        <v>130</v>
      </c>
      <c r="F15" s="6">
        <f>'пр.4.1.ведом.22-23'!G38</f>
        <v>4736.8999999999996</v>
      </c>
      <c r="G15" s="6">
        <f>'пр.4.1.ведом.22-23'!H38</f>
        <v>4736.8999999999996</v>
      </c>
    </row>
    <row r="16" spans="1:10" ht="31.5" x14ac:dyDescent="0.25">
      <c r="A16" s="29" t="s">
        <v>131</v>
      </c>
      <c r="B16" s="40" t="s">
        <v>118</v>
      </c>
      <c r="C16" s="40" t="s">
        <v>213</v>
      </c>
      <c r="D16" s="40" t="s">
        <v>1338</v>
      </c>
      <c r="E16" s="40" t="s">
        <v>132</v>
      </c>
      <c r="F16" s="6">
        <f>F17</f>
        <v>90</v>
      </c>
      <c r="G16" s="6">
        <f>G17</f>
        <v>90</v>
      </c>
    </row>
    <row r="17" spans="1:9" ht="47.25" x14ac:dyDescent="0.25">
      <c r="A17" s="29" t="s">
        <v>133</v>
      </c>
      <c r="B17" s="40" t="s">
        <v>118</v>
      </c>
      <c r="C17" s="40" t="s">
        <v>213</v>
      </c>
      <c r="D17" s="40" t="s">
        <v>1338</v>
      </c>
      <c r="E17" s="40" t="s">
        <v>134</v>
      </c>
      <c r="F17" s="6">
        <f>'пр.4.1.ведом.22-23'!G40</f>
        <v>90</v>
      </c>
      <c r="G17" s="6">
        <f>'пр.4.1.ведом.22-23'!H40</f>
        <v>90</v>
      </c>
    </row>
    <row r="18" spans="1:9" ht="47.25" hidden="1" x14ac:dyDescent="0.25">
      <c r="A18" s="25" t="s">
        <v>839</v>
      </c>
      <c r="B18" s="40" t="s">
        <v>118</v>
      </c>
      <c r="C18" s="40" t="s">
        <v>213</v>
      </c>
      <c r="D18" s="40" t="s">
        <v>862</v>
      </c>
      <c r="E18" s="40"/>
      <c r="F18" s="6">
        <f>F19</f>
        <v>0</v>
      </c>
      <c r="G18" s="6">
        <f t="shared" ref="G18:G44" si="1">F18</f>
        <v>0</v>
      </c>
    </row>
    <row r="19" spans="1:9" ht="94.5" hidden="1" x14ac:dyDescent="0.25">
      <c r="A19" s="25" t="s">
        <v>127</v>
      </c>
      <c r="B19" s="40" t="s">
        <v>118</v>
      </c>
      <c r="C19" s="40" t="s">
        <v>213</v>
      </c>
      <c r="D19" s="40" t="s">
        <v>862</v>
      </c>
      <c r="E19" s="40" t="s">
        <v>128</v>
      </c>
      <c r="F19" s="6">
        <f>F20</f>
        <v>0</v>
      </c>
      <c r="G19" s="6">
        <f>G20</f>
        <v>0</v>
      </c>
    </row>
    <row r="20" spans="1:9" ht="31.5" hidden="1" x14ac:dyDescent="0.25">
      <c r="A20" s="25" t="s">
        <v>129</v>
      </c>
      <c r="B20" s="40" t="s">
        <v>118</v>
      </c>
      <c r="C20" s="40" t="s">
        <v>213</v>
      </c>
      <c r="D20" s="40" t="s">
        <v>862</v>
      </c>
      <c r="E20" s="40" t="s">
        <v>130</v>
      </c>
      <c r="F20" s="6">
        <f>'пр.4.1.ведом.22-23'!G43</f>
        <v>0</v>
      </c>
      <c r="G20" s="6">
        <f>'пр.4.1.ведом.22-23'!H43</f>
        <v>0</v>
      </c>
    </row>
    <row r="21" spans="1:9" ht="47.25" x14ac:dyDescent="0.25">
      <c r="A21" s="23" t="s">
        <v>1349</v>
      </c>
      <c r="B21" s="24" t="s">
        <v>118</v>
      </c>
      <c r="C21" s="7" t="s">
        <v>213</v>
      </c>
      <c r="D21" s="24" t="s">
        <v>162</v>
      </c>
      <c r="E21" s="7"/>
      <c r="F21" s="379">
        <f>F22</f>
        <v>40.5</v>
      </c>
      <c r="G21" s="379">
        <f>G22</f>
        <v>40.5</v>
      </c>
    </row>
    <row r="22" spans="1:9" ht="78.75" x14ac:dyDescent="0.25">
      <c r="A22" s="219" t="s">
        <v>843</v>
      </c>
      <c r="B22" s="24" t="s">
        <v>118</v>
      </c>
      <c r="C22" s="7" t="s">
        <v>213</v>
      </c>
      <c r="D22" s="7" t="s">
        <v>850</v>
      </c>
      <c r="E22" s="7"/>
      <c r="F22" s="379">
        <f>F23+F26</f>
        <v>40.5</v>
      </c>
      <c r="G22" s="379">
        <f>G23+G26</f>
        <v>40.5</v>
      </c>
    </row>
    <row r="23" spans="1:9" ht="63" x14ac:dyDescent="0.25">
      <c r="A23" s="31" t="s">
        <v>695</v>
      </c>
      <c r="B23" s="20" t="s">
        <v>118</v>
      </c>
      <c r="C23" s="20" t="s">
        <v>213</v>
      </c>
      <c r="D23" s="40" t="s">
        <v>993</v>
      </c>
      <c r="E23" s="20"/>
      <c r="F23" s="6">
        <f>F24</f>
        <v>40.5</v>
      </c>
      <c r="G23" s="6">
        <f>G24</f>
        <v>40.5</v>
      </c>
    </row>
    <row r="24" spans="1:9" ht="31.5" x14ac:dyDescent="0.25">
      <c r="A24" s="25" t="s">
        <v>131</v>
      </c>
      <c r="B24" s="20" t="s">
        <v>118</v>
      </c>
      <c r="C24" s="20" t="s">
        <v>213</v>
      </c>
      <c r="D24" s="40" t="s">
        <v>993</v>
      </c>
      <c r="E24" s="20" t="s">
        <v>132</v>
      </c>
      <c r="F24" s="6">
        <f>F25</f>
        <v>40.5</v>
      </c>
      <c r="G24" s="6">
        <f>G25</f>
        <v>40.5</v>
      </c>
    </row>
    <row r="25" spans="1:9" ht="47.25" x14ac:dyDescent="0.25">
      <c r="A25" s="25" t="s">
        <v>133</v>
      </c>
      <c r="B25" s="20" t="s">
        <v>118</v>
      </c>
      <c r="C25" s="20" t="s">
        <v>213</v>
      </c>
      <c r="D25" s="40" t="s">
        <v>696</v>
      </c>
      <c r="E25" s="20" t="s">
        <v>134</v>
      </c>
      <c r="F25" s="6">
        <f>'пр.4.1.ведом.22-23'!G48</f>
        <v>40.5</v>
      </c>
      <c r="G25" s="6">
        <f>'пр.4.1.ведом.22-23'!H48</f>
        <v>40.5</v>
      </c>
    </row>
    <row r="26" spans="1:9" ht="63" hidden="1" x14ac:dyDescent="0.25">
      <c r="A26" s="31" t="s">
        <v>695</v>
      </c>
      <c r="B26" s="20" t="s">
        <v>118</v>
      </c>
      <c r="C26" s="20" t="s">
        <v>213</v>
      </c>
      <c r="D26" s="20" t="s">
        <v>992</v>
      </c>
      <c r="E26" s="20"/>
      <c r="F26" s="6">
        <f>F27</f>
        <v>0</v>
      </c>
      <c r="G26" s="6">
        <f>G27</f>
        <v>0</v>
      </c>
    </row>
    <row r="27" spans="1:9" ht="31.5" hidden="1" x14ac:dyDescent="0.25">
      <c r="A27" s="25" t="s">
        <v>131</v>
      </c>
      <c r="B27" s="20" t="s">
        <v>118</v>
      </c>
      <c r="C27" s="20" t="s">
        <v>213</v>
      </c>
      <c r="D27" s="20" t="s">
        <v>992</v>
      </c>
      <c r="E27" s="20" t="s">
        <v>132</v>
      </c>
      <c r="F27" s="6">
        <f>F28</f>
        <v>0</v>
      </c>
      <c r="G27" s="6">
        <f>G28</f>
        <v>0</v>
      </c>
    </row>
    <row r="28" spans="1:9" ht="47.25" hidden="1" x14ac:dyDescent="0.25">
      <c r="A28" s="25" t="s">
        <v>133</v>
      </c>
      <c r="B28" s="20" t="s">
        <v>118</v>
      </c>
      <c r="C28" s="20" t="s">
        <v>213</v>
      </c>
      <c r="D28" s="20" t="s">
        <v>992</v>
      </c>
      <c r="E28" s="20" t="s">
        <v>134</v>
      </c>
      <c r="F28" s="6">
        <f>'пр.4.1.ведом.22-23'!G51</f>
        <v>0</v>
      </c>
      <c r="G28" s="6">
        <f>'пр.4.1.ведом.22-23'!H51</f>
        <v>0</v>
      </c>
    </row>
    <row r="29" spans="1:9" ht="78.75" x14ac:dyDescent="0.25">
      <c r="A29" s="41" t="s">
        <v>578</v>
      </c>
      <c r="B29" s="7" t="s">
        <v>118</v>
      </c>
      <c r="C29" s="7" t="s">
        <v>215</v>
      </c>
      <c r="D29" s="7"/>
      <c r="E29" s="7"/>
      <c r="F29" s="4">
        <f t="shared" ref="F29:G30" si="2">F30</f>
        <v>5488</v>
      </c>
      <c r="G29" s="4">
        <f t="shared" si="2"/>
        <v>5488</v>
      </c>
    </row>
    <row r="30" spans="1:9" ht="31.5" x14ac:dyDescent="0.25">
      <c r="A30" s="23" t="s">
        <v>917</v>
      </c>
      <c r="B30" s="7" t="s">
        <v>118</v>
      </c>
      <c r="C30" s="7" t="s">
        <v>215</v>
      </c>
      <c r="D30" s="7" t="s">
        <v>858</v>
      </c>
      <c r="E30" s="7"/>
      <c r="F30" s="4">
        <f t="shared" si="2"/>
        <v>5488</v>
      </c>
      <c r="G30" s="4">
        <f t="shared" si="2"/>
        <v>5488</v>
      </c>
    </row>
    <row r="31" spans="1:9" ht="31.5" x14ac:dyDescent="0.25">
      <c r="A31" s="23" t="s">
        <v>986</v>
      </c>
      <c r="B31" s="7" t="s">
        <v>118</v>
      </c>
      <c r="C31" s="7" t="s">
        <v>215</v>
      </c>
      <c r="D31" s="7" t="s">
        <v>987</v>
      </c>
      <c r="E31" s="7"/>
      <c r="F31" s="4">
        <f>F32+F37</f>
        <v>5488</v>
      </c>
      <c r="G31" s="458">
        <f>G32+G37</f>
        <v>5488</v>
      </c>
    </row>
    <row r="32" spans="1:9" s="203" customFormat="1" ht="47.25" x14ac:dyDescent="0.25">
      <c r="A32" s="285" t="s">
        <v>1374</v>
      </c>
      <c r="B32" s="20" t="s">
        <v>118</v>
      </c>
      <c r="C32" s="20" t="s">
        <v>215</v>
      </c>
      <c r="D32" s="20" t="s">
        <v>1412</v>
      </c>
      <c r="E32" s="24"/>
      <c r="F32" s="6">
        <f>F33+F35</f>
        <v>4247.6000000000004</v>
      </c>
      <c r="G32" s="6">
        <f>G33+G35</f>
        <v>4247.6000000000004</v>
      </c>
      <c r="H32" s="231">
        <f>F32+F37+F109+F114</f>
        <v>7286.5</v>
      </c>
      <c r="I32" s="231">
        <f>G32+G37+G109+G114</f>
        <v>7286.5</v>
      </c>
    </row>
    <row r="33" spans="1:9" s="203" customFormat="1" ht="94.5" x14ac:dyDescent="0.25">
      <c r="A33" s="25" t="s">
        <v>127</v>
      </c>
      <c r="B33" s="20" t="s">
        <v>118</v>
      </c>
      <c r="C33" s="20" t="s">
        <v>215</v>
      </c>
      <c r="D33" s="20" t="s">
        <v>1412</v>
      </c>
      <c r="E33" s="20" t="s">
        <v>128</v>
      </c>
      <c r="F33" s="6">
        <f>F34</f>
        <v>4154.6000000000004</v>
      </c>
      <c r="G33" s="6">
        <f>G34</f>
        <v>4154.6000000000004</v>
      </c>
    </row>
    <row r="34" spans="1:9" s="203" customFormat="1" ht="31.5" x14ac:dyDescent="0.25">
      <c r="A34" s="25" t="s">
        <v>129</v>
      </c>
      <c r="B34" s="20" t="s">
        <v>118</v>
      </c>
      <c r="C34" s="20" t="s">
        <v>215</v>
      </c>
      <c r="D34" s="20" t="s">
        <v>1412</v>
      </c>
      <c r="E34" s="20" t="s">
        <v>130</v>
      </c>
      <c r="F34" s="6">
        <f>'пр.4.1.ведом.22-23'!G1072</f>
        <v>4154.6000000000004</v>
      </c>
      <c r="G34" s="459">
        <f>'пр.4.1.ведом.22-23'!H1072</f>
        <v>4154.6000000000004</v>
      </c>
    </row>
    <row r="35" spans="1:9" s="203" customFormat="1" ht="47.25" x14ac:dyDescent="0.25">
      <c r="A35" s="25" t="s">
        <v>198</v>
      </c>
      <c r="B35" s="20" t="s">
        <v>118</v>
      </c>
      <c r="C35" s="20" t="s">
        <v>215</v>
      </c>
      <c r="D35" s="20" t="s">
        <v>1412</v>
      </c>
      <c r="E35" s="20" t="s">
        <v>132</v>
      </c>
      <c r="F35" s="6">
        <f>F36</f>
        <v>93</v>
      </c>
      <c r="G35" s="6">
        <f>G36</f>
        <v>93</v>
      </c>
    </row>
    <row r="36" spans="1:9" s="203" customFormat="1" ht="47.25" x14ac:dyDescent="0.25">
      <c r="A36" s="25" t="s">
        <v>133</v>
      </c>
      <c r="B36" s="20" t="s">
        <v>118</v>
      </c>
      <c r="C36" s="20" t="s">
        <v>215</v>
      </c>
      <c r="D36" s="20" t="s">
        <v>1412</v>
      </c>
      <c r="E36" s="20" t="s">
        <v>134</v>
      </c>
      <c r="F36" s="6">
        <f>'пр.4.1.ведом.22-23'!G1074</f>
        <v>93</v>
      </c>
      <c r="G36" s="459">
        <f>'пр.4.1.ведом.22-23'!H1074</f>
        <v>93</v>
      </c>
    </row>
    <row r="37" spans="1:9" ht="31.5" x14ac:dyDescent="0.25">
      <c r="A37" s="25" t="s">
        <v>990</v>
      </c>
      <c r="B37" s="40" t="s">
        <v>118</v>
      </c>
      <c r="C37" s="40" t="s">
        <v>215</v>
      </c>
      <c r="D37" s="40" t="s">
        <v>991</v>
      </c>
      <c r="E37" s="40"/>
      <c r="F37" s="6">
        <f>F38+F40</f>
        <v>1240.4000000000001</v>
      </c>
      <c r="G37" s="6">
        <f>G38+G40</f>
        <v>1240.4000000000001</v>
      </c>
    </row>
    <row r="38" spans="1:9" ht="94.5" x14ac:dyDescent="0.25">
      <c r="A38" s="29" t="s">
        <v>127</v>
      </c>
      <c r="B38" s="40" t="s">
        <v>118</v>
      </c>
      <c r="C38" s="40" t="s">
        <v>215</v>
      </c>
      <c r="D38" s="40" t="s">
        <v>991</v>
      </c>
      <c r="E38" s="40" t="s">
        <v>128</v>
      </c>
      <c r="F38" s="6">
        <f>F39</f>
        <v>1240.4000000000001</v>
      </c>
      <c r="G38" s="6">
        <f>G39</f>
        <v>1240.4000000000001</v>
      </c>
    </row>
    <row r="39" spans="1:9" ht="35.450000000000003" customHeight="1" x14ac:dyDescent="0.25">
      <c r="A39" s="29" t="s">
        <v>129</v>
      </c>
      <c r="B39" s="40" t="s">
        <v>118</v>
      </c>
      <c r="C39" s="40" t="s">
        <v>215</v>
      </c>
      <c r="D39" s="40" t="s">
        <v>991</v>
      </c>
      <c r="E39" s="40" t="s">
        <v>130</v>
      </c>
      <c r="F39" s="6">
        <f>'пр.4.1.ведом.22-23'!G1077</f>
        <v>1240.4000000000001</v>
      </c>
      <c r="G39" s="459">
        <f>'пр.4.1.ведом.22-23'!H1077</f>
        <v>1240.4000000000001</v>
      </c>
    </row>
    <row r="40" spans="1:9" ht="31.5" hidden="1" x14ac:dyDescent="0.25">
      <c r="A40" s="29" t="s">
        <v>131</v>
      </c>
      <c r="B40" s="40" t="s">
        <v>118</v>
      </c>
      <c r="C40" s="40" t="s">
        <v>215</v>
      </c>
      <c r="D40" s="40" t="s">
        <v>991</v>
      </c>
      <c r="E40" s="40" t="s">
        <v>132</v>
      </c>
      <c r="F40" s="6">
        <f>F41</f>
        <v>0</v>
      </c>
      <c r="G40" s="6">
        <f>G41</f>
        <v>0</v>
      </c>
    </row>
    <row r="41" spans="1:9" ht="47.25" hidden="1" x14ac:dyDescent="0.25">
      <c r="A41" s="29" t="s">
        <v>133</v>
      </c>
      <c r="B41" s="40" t="s">
        <v>118</v>
      </c>
      <c r="C41" s="40" t="s">
        <v>215</v>
      </c>
      <c r="D41" s="40" t="s">
        <v>991</v>
      </c>
      <c r="E41" s="40" t="s">
        <v>134</v>
      </c>
      <c r="F41" s="6">
        <f>'пр.4.1.ведом.22-23'!G1079</f>
        <v>0</v>
      </c>
      <c r="G41" s="6">
        <f>'пр.4.1.ведом.22-23'!H1079</f>
        <v>0</v>
      </c>
    </row>
    <row r="42" spans="1:9" ht="47.25" hidden="1" x14ac:dyDescent="0.25">
      <c r="A42" s="25" t="s">
        <v>839</v>
      </c>
      <c r="B42" s="40" t="s">
        <v>118</v>
      </c>
      <c r="C42" s="40" t="s">
        <v>215</v>
      </c>
      <c r="D42" s="40" t="s">
        <v>989</v>
      </c>
      <c r="E42" s="40"/>
      <c r="F42" s="6">
        <f>'Пр.3 Рд,пр, ЦС,ВР 21'!F41</f>
        <v>52</v>
      </c>
      <c r="G42" s="6">
        <f t="shared" si="1"/>
        <v>52</v>
      </c>
    </row>
    <row r="43" spans="1:9" ht="94.5" hidden="1" x14ac:dyDescent="0.25">
      <c r="A43" s="25" t="s">
        <v>127</v>
      </c>
      <c r="B43" s="40" t="s">
        <v>118</v>
      </c>
      <c r="C43" s="40" t="s">
        <v>215</v>
      </c>
      <c r="D43" s="40" t="s">
        <v>989</v>
      </c>
      <c r="E43" s="40" t="s">
        <v>128</v>
      </c>
      <c r="F43" s="6">
        <f>'Пр.3 Рд,пр, ЦС,ВР 21'!F42</f>
        <v>52</v>
      </c>
      <c r="G43" s="6">
        <f t="shared" si="1"/>
        <v>52</v>
      </c>
    </row>
    <row r="44" spans="1:9" ht="39.75" hidden="1" customHeight="1" x14ac:dyDescent="0.25">
      <c r="A44" s="25" t="s">
        <v>129</v>
      </c>
      <c r="B44" s="40" t="s">
        <v>118</v>
      </c>
      <c r="C44" s="40" t="s">
        <v>215</v>
      </c>
      <c r="D44" s="40" t="s">
        <v>989</v>
      </c>
      <c r="E44" s="40" t="s">
        <v>130</v>
      </c>
      <c r="F44" s="6">
        <f>'Пр.3 Рд,пр, ЦС,ВР 21'!F43</f>
        <v>52</v>
      </c>
      <c r="G44" s="6">
        <f t="shared" si="1"/>
        <v>52</v>
      </c>
    </row>
    <row r="45" spans="1:9" ht="78.75" x14ac:dyDescent="0.25">
      <c r="A45" s="41" t="s">
        <v>149</v>
      </c>
      <c r="B45" s="7" t="s">
        <v>118</v>
      </c>
      <c r="C45" s="7" t="s">
        <v>150</v>
      </c>
      <c r="D45" s="7"/>
      <c r="E45" s="7"/>
      <c r="F45" s="4">
        <f>F46+F85</f>
        <v>56977.020000000004</v>
      </c>
      <c r="G45" s="4">
        <f>G46+G85</f>
        <v>43788.37</v>
      </c>
      <c r="H45" s="231">
        <f>'пр.4.1.ведом.22-23'!H490+'пр.4.1.ведом.22-23'!H52</f>
        <v>43788.369999999995</v>
      </c>
      <c r="I45" s="231">
        <f>H46-F45</f>
        <v>5218.18</v>
      </c>
    </row>
    <row r="46" spans="1:9" ht="31.5" x14ac:dyDescent="0.25">
      <c r="A46" s="23" t="s">
        <v>917</v>
      </c>
      <c r="B46" s="7" t="s">
        <v>118</v>
      </c>
      <c r="C46" s="7" t="s">
        <v>150</v>
      </c>
      <c r="D46" s="7" t="s">
        <v>858</v>
      </c>
      <c r="E46" s="7"/>
      <c r="F46" s="4">
        <f>F47+F63</f>
        <v>56293.520000000004</v>
      </c>
      <c r="G46" s="4">
        <f>G47+G63</f>
        <v>43104.87</v>
      </c>
      <c r="H46">
        <f>50028.3+12166.9</f>
        <v>62195.200000000004</v>
      </c>
    </row>
    <row r="47" spans="1:9" ht="15.75" x14ac:dyDescent="0.25">
      <c r="A47" s="23" t="s">
        <v>918</v>
      </c>
      <c r="B47" s="7" t="s">
        <v>118</v>
      </c>
      <c r="C47" s="7" t="s">
        <v>150</v>
      </c>
      <c r="D47" s="7" t="s">
        <v>859</v>
      </c>
      <c r="E47" s="7"/>
      <c r="F47" s="4">
        <f>F48+F57+F60</f>
        <v>52962.700000000004</v>
      </c>
      <c r="G47" s="4">
        <f>G48+G57+G60</f>
        <v>39989.520000000004</v>
      </c>
    </row>
    <row r="48" spans="1:9" ht="31.5" x14ac:dyDescent="0.25">
      <c r="A48" s="29" t="s">
        <v>897</v>
      </c>
      <c r="B48" s="40" t="s">
        <v>118</v>
      </c>
      <c r="C48" s="40" t="s">
        <v>150</v>
      </c>
      <c r="D48" s="40" t="s">
        <v>860</v>
      </c>
      <c r="E48" s="40"/>
      <c r="F48" s="6">
        <f>F49+F51+F53+F55</f>
        <v>48838.3</v>
      </c>
      <c r="G48" s="6">
        <f>G49+G51+G53+G55</f>
        <v>35865.120000000003</v>
      </c>
      <c r="H48" s="231">
        <f>'пр.4.1.ведом.22-23'!G55+'пр.4.1.ведом.22-23'!G493</f>
        <v>48838.299999999996</v>
      </c>
    </row>
    <row r="49" spans="1:9" ht="94.5" x14ac:dyDescent="0.25">
      <c r="A49" s="29" t="s">
        <v>127</v>
      </c>
      <c r="B49" s="40" t="s">
        <v>118</v>
      </c>
      <c r="C49" s="40" t="s">
        <v>150</v>
      </c>
      <c r="D49" s="40" t="s">
        <v>860</v>
      </c>
      <c r="E49" s="40" t="s">
        <v>128</v>
      </c>
      <c r="F49" s="6">
        <f>F50</f>
        <v>42632.9</v>
      </c>
      <c r="G49" s="6">
        <f>G50</f>
        <v>29659.72</v>
      </c>
    </row>
    <row r="50" spans="1:9" ht="40.700000000000003" customHeight="1" x14ac:dyDescent="0.25">
      <c r="A50" s="29" t="s">
        <v>129</v>
      </c>
      <c r="B50" s="40" t="s">
        <v>118</v>
      </c>
      <c r="C50" s="40" t="s">
        <v>150</v>
      </c>
      <c r="D50" s="40" t="s">
        <v>860</v>
      </c>
      <c r="E50" s="40" t="s">
        <v>130</v>
      </c>
      <c r="F50" s="6">
        <f>'пр.4.1.ведом.22-23'!G495+'пр.4.1.ведом.22-23'!G57</f>
        <v>42632.9</v>
      </c>
      <c r="G50" s="6">
        <f>'пр.4.1.ведом.22-23'!H495+'пр.4.1.ведом.22-23'!H57</f>
        <v>29659.72</v>
      </c>
    </row>
    <row r="51" spans="1:9" ht="31.5" x14ac:dyDescent="0.25">
      <c r="A51" s="29" t="s">
        <v>131</v>
      </c>
      <c r="B51" s="40" t="s">
        <v>118</v>
      </c>
      <c r="C51" s="40" t="s">
        <v>150</v>
      </c>
      <c r="D51" s="40" t="s">
        <v>860</v>
      </c>
      <c r="E51" s="40" t="s">
        <v>132</v>
      </c>
      <c r="F51" s="6">
        <f>F52</f>
        <v>5999.4</v>
      </c>
      <c r="G51" s="6">
        <f>G52</f>
        <v>5999.4</v>
      </c>
    </row>
    <row r="52" spans="1:9" ht="47.25" x14ac:dyDescent="0.25">
      <c r="A52" s="29" t="s">
        <v>133</v>
      </c>
      <c r="B52" s="40" t="s">
        <v>118</v>
      </c>
      <c r="C52" s="40" t="s">
        <v>150</v>
      </c>
      <c r="D52" s="40" t="s">
        <v>860</v>
      </c>
      <c r="E52" s="40" t="s">
        <v>134</v>
      </c>
      <c r="F52" s="6">
        <f>'пр.4.1.ведом.22-23'!G59+'пр.4.1.ведом.22-23'!G497</f>
        <v>5999.4</v>
      </c>
      <c r="G52" s="6">
        <f>'пр.4.1.ведом.22-23'!H59+'пр.4.1.ведом.22-23'!H497</f>
        <v>5999.4</v>
      </c>
    </row>
    <row r="53" spans="1:9" ht="31.5" hidden="1" x14ac:dyDescent="0.25">
      <c r="A53" s="25" t="s">
        <v>248</v>
      </c>
      <c r="B53" s="40" t="s">
        <v>118</v>
      </c>
      <c r="C53" s="40" t="s">
        <v>150</v>
      </c>
      <c r="D53" s="40" t="s">
        <v>860</v>
      </c>
      <c r="E53" s="40" t="s">
        <v>249</v>
      </c>
      <c r="F53" s="6">
        <f>F54</f>
        <v>0</v>
      </c>
      <c r="G53" s="6">
        <f>G54</f>
        <v>0</v>
      </c>
    </row>
    <row r="54" spans="1:9" ht="31.5" hidden="1" x14ac:dyDescent="0.25">
      <c r="A54" s="25" t="s">
        <v>250</v>
      </c>
      <c r="B54" s="40" t="s">
        <v>118</v>
      </c>
      <c r="C54" s="40" t="s">
        <v>150</v>
      </c>
      <c r="D54" s="40" t="s">
        <v>860</v>
      </c>
      <c r="E54" s="40" t="s">
        <v>251</v>
      </c>
      <c r="F54" s="6">
        <f>'пр.4.1.ведом.22-23'!G61</f>
        <v>0</v>
      </c>
      <c r="G54" s="6">
        <f>'пр.4.1.ведом.22-23'!H61</f>
        <v>0</v>
      </c>
    </row>
    <row r="55" spans="1:9" ht="15.75" x14ac:dyDescent="0.25">
      <c r="A55" s="29" t="s">
        <v>135</v>
      </c>
      <c r="B55" s="40" t="s">
        <v>118</v>
      </c>
      <c r="C55" s="40" t="s">
        <v>150</v>
      </c>
      <c r="D55" s="40" t="s">
        <v>860</v>
      </c>
      <c r="E55" s="40" t="s">
        <v>145</v>
      </c>
      <c r="F55" s="6">
        <f>F56</f>
        <v>206</v>
      </c>
      <c r="G55" s="6">
        <f>G56</f>
        <v>206</v>
      </c>
    </row>
    <row r="56" spans="1:9" ht="19.5" customHeight="1" x14ac:dyDescent="0.25">
      <c r="A56" s="29" t="s">
        <v>568</v>
      </c>
      <c r="B56" s="40" t="s">
        <v>118</v>
      </c>
      <c r="C56" s="40" t="s">
        <v>150</v>
      </c>
      <c r="D56" s="40" t="s">
        <v>860</v>
      </c>
      <c r="E56" s="40" t="s">
        <v>138</v>
      </c>
      <c r="F56" s="6">
        <f>'пр.4.1.ведом.22-23'!G63+'пр.4.1.ведом.22-23'!G499</f>
        <v>206</v>
      </c>
      <c r="G56" s="6">
        <f>'пр.4.1.ведом.22-23'!H63+'пр.4.1.ведом.22-23'!H499</f>
        <v>206</v>
      </c>
    </row>
    <row r="57" spans="1:9" ht="31.5" x14ac:dyDescent="0.25">
      <c r="A57" s="25" t="s">
        <v>153</v>
      </c>
      <c r="B57" s="20" t="s">
        <v>118</v>
      </c>
      <c r="C57" s="20" t="s">
        <v>150</v>
      </c>
      <c r="D57" s="40" t="s">
        <v>861</v>
      </c>
      <c r="E57" s="20"/>
      <c r="F57" s="6">
        <f>F58</f>
        <v>2071.4</v>
      </c>
      <c r="G57" s="6">
        <f>G58</f>
        <v>2071.4</v>
      </c>
    </row>
    <row r="58" spans="1:9" ht="94.5" x14ac:dyDescent="0.25">
      <c r="A58" s="25" t="s">
        <v>127</v>
      </c>
      <c r="B58" s="20" t="s">
        <v>118</v>
      </c>
      <c r="C58" s="20" t="s">
        <v>150</v>
      </c>
      <c r="D58" s="40" t="s">
        <v>861</v>
      </c>
      <c r="E58" s="20" t="s">
        <v>128</v>
      </c>
      <c r="F58" s="6">
        <f>F59</f>
        <v>2071.4</v>
      </c>
      <c r="G58" s="6">
        <f>G59</f>
        <v>2071.4</v>
      </c>
    </row>
    <row r="59" spans="1:9" ht="33.75" customHeight="1" x14ac:dyDescent="0.25">
      <c r="A59" s="25" t="s">
        <v>129</v>
      </c>
      <c r="B59" s="20" t="s">
        <v>118</v>
      </c>
      <c r="C59" s="20" t="s">
        <v>150</v>
      </c>
      <c r="D59" s="40" t="s">
        <v>861</v>
      </c>
      <c r="E59" s="20" t="s">
        <v>130</v>
      </c>
      <c r="F59" s="6">
        <f>'пр.4.1.ведом.22-23'!G66</f>
        <v>2071.4</v>
      </c>
      <c r="G59" s="6">
        <f>'пр.4.1.ведом.22-23'!H66</f>
        <v>2071.4</v>
      </c>
    </row>
    <row r="60" spans="1:9" ht="47.25" x14ac:dyDescent="0.25">
      <c r="A60" s="25" t="s">
        <v>839</v>
      </c>
      <c r="B60" s="40" t="s">
        <v>118</v>
      </c>
      <c r="C60" s="20" t="s">
        <v>150</v>
      </c>
      <c r="D60" s="40" t="s">
        <v>862</v>
      </c>
      <c r="E60" s="40"/>
      <c r="F60" s="6">
        <f>F61</f>
        <v>2053</v>
      </c>
      <c r="G60" s="6">
        <f>G61</f>
        <v>2053</v>
      </c>
    </row>
    <row r="61" spans="1:9" ht="94.5" x14ac:dyDescent="0.25">
      <c r="A61" s="25" t="s">
        <v>127</v>
      </c>
      <c r="B61" s="40" t="s">
        <v>118</v>
      </c>
      <c r="C61" s="20" t="s">
        <v>150</v>
      </c>
      <c r="D61" s="40" t="s">
        <v>862</v>
      </c>
      <c r="E61" s="40" t="s">
        <v>128</v>
      </c>
      <c r="F61" s="6">
        <f>F62</f>
        <v>2053</v>
      </c>
      <c r="G61" s="6">
        <f>G62</f>
        <v>2053</v>
      </c>
    </row>
    <row r="62" spans="1:9" ht="31.7" customHeight="1" x14ac:dyDescent="0.25">
      <c r="A62" s="25" t="s">
        <v>129</v>
      </c>
      <c r="B62" s="40" t="s">
        <v>118</v>
      </c>
      <c r="C62" s="20" t="s">
        <v>150</v>
      </c>
      <c r="D62" s="40" t="s">
        <v>862</v>
      </c>
      <c r="E62" s="40" t="s">
        <v>130</v>
      </c>
      <c r="F62" s="6">
        <f>'пр.4.1.ведом.22-23'!G69+'пр.4.1.ведом.22-23'!G502</f>
        <v>2053</v>
      </c>
      <c r="G62" s="6">
        <f>'пр.4.1.ведом.22-23'!H69+'пр.4.1.ведом.22-23'!H502</f>
        <v>2053</v>
      </c>
      <c r="H62" s="231">
        <f>'пр.4.1.ведом.22-23'!G500+'пр.4.1.ведом.22-23'!G67</f>
        <v>2053</v>
      </c>
    </row>
    <row r="63" spans="1:9" ht="47.25" x14ac:dyDescent="0.25">
      <c r="A63" s="23" t="s">
        <v>885</v>
      </c>
      <c r="B63" s="7" t="s">
        <v>118</v>
      </c>
      <c r="C63" s="24" t="s">
        <v>150</v>
      </c>
      <c r="D63" s="7" t="s">
        <v>863</v>
      </c>
      <c r="E63" s="7"/>
      <c r="F63" s="4">
        <f>F64+F67+F72+F77+F82</f>
        <v>3330.8199999999997</v>
      </c>
      <c r="G63" s="4">
        <f>G64+G67+G72+G77+G82</f>
        <v>3115.3500000000004</v>
      </c>
    </row>
    <row r="64" spans="1:9" ht="47.25" hidden="1" x14ac:dyDescent="0.25">
      <c r="A64" s="25" t="s">
        <v>187</v>
      </c>
      <c r="B64" s="40" t="s">
        <v>118</v>
      </c>
      <c r="C64" s="20" t="s">
        <v>150</v>
      </c>
      <c r="D64" s="40" t="s">
        <v>1075</v>
      </c>
      <c r="E64" s="7"/>
      <c r="F64" s="6">
        <f>F65</f>
        <v>0</v>
      </c>
      <c r="G64" s="6">
        <f>G65</f>
        <v>0</v>
      </c>
      <c r="H64" s="231">
        <f>F64+F67+F72+F77+F82+F286+F342+F875</f>
        <v>7245.42</v>
      </c>
      <c r="I64" s="231">
        <f>G64+G67+G72+G77+G82+G286+G342+G875</f>
        <v>6996.5500000000011</v>
      </c>
    </row>
    <row r="65" spans="1:7" ht="31.5" hidden="1" x14ac:dyDescent="0.25">
      <c r="A65" s="25" t="s">
        <v>131</v>
      </c>
      <c r="B65" s="40" t="s">
        <v>118</v>
      </c>
      <c r="C65" s="20" t="s">
        <v>150</v>
      </c>
      <c r="D65" s="40" t="s">
        <v>1075</v>
      </c>
      <c r="E65" s="40" t="s">
        <v>132</v>
      </c>
      <c r="F65" s="6">
        <f>F66</f>
        <v>0</v>
      </c>
      <c r="G65" s="6">
        <f>G66</f>
        <v>0</v>
      </c>
    </row>
    <row r="66" spans="1:7" ht="47.25" hidden="1" x14ac:dyDescent="0.25">
      <c r="A66" s="25" t="s">
        <v>133</v>
      </c>
      <c r="B66" s="40" t="s">
        <v>118</v>
      </c>
      <c r="C66" s="20" t="s">
        <v>150</v>
      </c>
      <c r="D66" s="40" t="s">
        <v>1075</v>
      </c>
      <c r="E66" s="40" t="s">
        <v>134</v>
      </c>
      <c r="F66" s="6">
        <f>'пр.4.1.ведом.22-23'!G73</f>
        <v>0</v>
      </c>
      <c r="G66" s="6">
        <f>'пр.4.1.ведом.22-23'!H73</f>
        <v>0</v>
      </c>
    </row>
    <row r="67" spans="1:7" ht="47.25" x14ac:dyDescent="0.25">
      <c r="A67" s="45" t="s">
        <v>189</v>
      </c>
      <c r="B67" s="40" t="s">
        <v>118</v>
      </c>
      <c r="C67" s="20" t="s">
        <v>150</v>
      </c>
      <c r="D67" s="40" t="s">
        <v>920</v>
      </c>
      <c r="E67" s="40"/>
      <c r="F67" s="6">
        <f>F68+F70</f>
        <v>563.12</v>
      </c>
      <c r="G67" s="6">
        <f>G68+G70</f>
        <v>347.65</v>
      </c>
    </row>
    <row r="68" spans="1:7" ht="94.5" x14ac:dyDescent="0.25">
      <c r="A68" s="29" t="s">
        <v>127</v>
      </c>
      <c r="B68" s="40" t="s">
        <v>118</v>
      </c>
      <c r="C68" s="20" t="s">
        <v>150</v>
      </c>
      <c r="D68" s="40" t="s">
        <v>920</v>
      </c>
      <c r="E68" s="40" t="s">
        <v>128</v>
      </c>
      <c r="F68" s="6">
        <f>F69</f>
        <v>563.12</v>
      </c>
      <c r="G68" s="6">
        <f>G69</f>
        <v>347.65</v>
      </c>
    </row>
    <row r="69" spans="1:7" ht="31.5" x14ac:dyDescent="0.25">
      <c r="A69" s="29" t="s">
        <v>129</v>
      </c>
      <c r="B69" s="40" t="s">
        <v>118</v>
      </c>
      <c r="C69" s="20" t="s">
        <v>150</v>
      </c>
      <c r="D69" s="40" t="s">
        <v>920</v>
      </c>
      <c r="E69" s="40" t="s">
        <v>130</v>
      </c>
      <c r="F69" s="6">
        <f>'пр.4.1.ведом.22-23'!G76</f>
        <v>563.12</v>
      </c>
      <c r="G69" s="6">
        <f>'пр.4.1.ведом.22-23'!H76</f>
        <v>347.65</v>
      </c>
    </row>
    <row r="70" spans="1:7" ht="31.5" hidden="1" x14ac:dyDescent="0.25">
      <c r="A70" s="25" t="s">
        <v>131</v>
      </c>
      <c r="B70" s="40" t="s">
        <v>118</v>
      </c>
      <c r="C70" s="20" t="s">
        <v>150</v>
      </c>
      <c r="D70" s="40" t="s">
        <v>920</v>
      </c>
      <c r="E70" s="40" t="s">
        <v>132</v>
      </c>
      <c r="F70" s="6">
        <f>F71</f>
        <v>0</v>
      </c>
      <c r="G70" s="6">
        <f>G71</f>
        <v>0</v>
      </c>
    </row>
    <row r="71" spans="1:7" ht="47.25" hidden="1" x14ac:dyDescent="0.25">
      <c r="A71" s="25" t="s">
        <v>133</v>
      </c>
      <c r="B71" s="40" t="s">
        <v>118</v>
      </c>
      <c r="C71" s="20" t="s">
        <v>150</v>
      </c>
      <c r="D71" s="40" t="s">
        <v>920</v>
      </c>
      <c r="E71" s="40" t="s">
        <v>134</v>
      </c>
      <c r="F71" s="6">
        <f>'пр.4.1.ведом.22-23'!G78</f>
        <v>0</v>
      </c>
      <c r="G71" s="6">
        <f>'пр.4.1.ведом.22-23'!H78</f>
        <v>0</v>
      </c>
    </row>
    <row r="72" spans="1:7" ht="63" x14ac:dyDescent="0.25">
      <c r="A72" s="31" t="s">
        <v>194</v>
      </c>
      <c r="B72" s="40" t="s">
        <v>118</v>
      </c>
      <c r="C72" s="20" t="s">
        <v>150</v>
      </c>
      <c r="D72" s="40" t="s">
        <v>1030</v>
      </c>
      <c r="E72" s="40"/>
      <c r="F72" s="6">
        <f>F73+F75</f>
        <v>1411.1</v>
      </c>
      <c r="G72" s="6">
        <f>G73+G75</f>
        <v>1411.1</v>
      </c>
    </row>
    <row r="73" spans="1:7" ht="94.5" x14ac:dyDescent="0.25">
      <c r="A73" s="29" t="s">
        <v>127</v>
      </c>
      <c r="B73" s="40" t="s">
        <v>118</v>
      </c>
      <c r="C73" s="20" t="s">
        <v>150</v>
      </c>
      <c r="D73" s="40" t="s">
        <v>1030</v>
      </c>
      <c r="E73" s="40" t="s">
        <v>128</v>
      </c>
      <c r="F73" s="6">
        <f>F74</f>
        <v>1372.1</v>
      </c>
      <c r="G73" s="6">
        <f>G74</f>
        <v>1372.1</v>
      </c>
    </row>
    <row r="74" spans="1:7" ht="33" customHeight="1" x14ac:dyDescent="0.25">
      <c r="A74" s="29" t="s">
        <v>129</v>
      </c>
      <c r="B74" s="40" t="s">
        <v>118</v>
      </c>
      <c r="C74" s="20" t="s">
        <v>150</v>
      </c>
      <c r="D74" s="40" t="s">
        <v>1030</v>
      </c>
      <c r="E74" s="40" t="s">
        <v>130</v>
      </c>
      <c r="F74" s="6">
        <f>'пр.4.1.ведом.22-23'!G81</f>
        <v>1372.1</v>
      </c>
      <c r="G74" s="6">
        <f>'пр.4.1.ведом.22-23'!H81</f>
        <v>1372.1</v>
      </c>
    </row>
    <row r="75" spans="1:7" ht="31.5" x14ac:dyDescent="0.25">
      <c r="A75" s="25" t="s">
        <v>131</v>
      </c>
      <c r="B75" s="40" t="s">
        <v>118</v>
      </c>
      <c r="C75" s="20" t="s">
        <v>150</v>
      </c>
      <c r="D75" s="40" t="s">
        <v>1030</v>
      </c>
      <c r="E75" s="40" t="s">
        <v>132</v>
      </c>
      <c r="F75" s="6">
        <f>F76</f>
        <v>39</v>
      </c>
      <c r="G75" s="6">
        <f>G76</f>
        <v>39</v>
      </c>
    </row>
    <row r="76" spans="1:7" ht="47.25" x14ac:dyDescent="0.25">
      <c r="A76" s="25" t="s">
        <v>133</v>
      </c>
      <c r="B76" s="40" t="s">
        <v>118</v>
      </c>
      <c r="C76" s="20" t="s">
        <v>150</v>
      </c>
      <c r="D76" s="40" t="s">
        <v>1030</v>
      </c>
      <c r="E76" s="40" t="s">
        <v>134</v>
      </c>
      <c r="F76" s="6">
        <f>'пр.4.1.ведом.22-23'!G83</f>
        <v>39</v>
      </c>
      <c r="G76" s="6">
        <f>'пр.4.1.ведом.22-23'!H83</f>
        <v>39</v>
      </c>
    </row>
    <row r="77" spans="1:7" ht="47.25" x14ac:dyDescent="0.25">
      <c r="A77" s="45" t="s">
        <v>196</v>
      </c>
      <c r="B77" s="40" t="s">
        <v>118</v>
      </c>
      <c r="C77" s="20" t="s">
        <v>150</v>
      </c>
      <c r="D77" s="40" t="s">
        <v>921</v>
      </c>
      <c r="E77" s="40"/>
      <c r="F77" s="6">
        <f>F78+F80</f>
        <v>1334.3</v>
      </c>
      <c r="G77" s="6">
        <f>G78+G80</f>
        <v>1334.3</v>
      </c>
    </row>
    <row r="78" spans="1:7" ht="94.5" x14ac:dyDescent="0.25">
      <c r="A78" s="29" t="s">
        <v>127</v>
      </c>
      <c r="B78" s="40" t="s">
        <v>118</v>
      </c>
      <c r="C78" s="20" t="s">
        <v>150</v>
      </c>
      <c r="D78" s="40" t="s">
        <v>921</v>
      </c>
      <c r="E78" s="40" t="s">
        <v>128</v>
      </c>
      <c r="F78" s="6">
        <f>F79</f>
        <v>1300.3</v>
      </c>
      <c r="G78" s="6">
        <f>G79</f>
        <v>1300.3</v>
      </c>
    </row>
    <row r="79" spans="1:7" ht="33.75" customHeight="1" x14ac:dyDescent="0.25">
      <c r="A79" s="29" t="s">
        <v>129</v>
      </c>
      <c r="B79" s="40" t="s">
        <v>118</v>
      </c>
      <c r="C79" s="20" t="s">
        <v>150</v>
      </c>
      <c r="D79" s="40" t="s">
        <v>921</v>
      </c>
      <c r="E79" s="40" t="s">
        <v>130</v>
      </c>
      <c r="F79" s="6">
        <f>'пр.4.1.ведом.22-23'!G86</f>
        <v>1300.3</v>
      </c>
      <c r="G79" s="6">
        <f>'пр.4.1.ведом.22-23'!H86</f>
        <v>1300.3</v>
      </c>
    </row>
    <row r="80" spans="1:7" ht="31.5" x14ac:dyDescent="0.25">
      <c r="A80" s="29" t="s">
        <v>131</v>
      </c>
      <c r="B80" s="40" t="s">
        <v>118</v>
      </c>
      <c r="C80" s="20" t="s">
        <v>150</v>
      </c>
      <c r="D80" s="40" t="s">
        <v>921</v>
      </c>
      <c r="E80" s="40" t="s">
        <v>132</v>
      </c>
      <c r="F80" s="6">
        <f>F81</f>
        <v>34</v>
      </c>
      <c r="G80" s="6">
        <f>G81</f>
        <v>34</v>
      </c>
    </row>
    <row r="81" spans="1:7" ht="47.25" x14ac:dyDescent="0.25">
      <c r="A81" s="29" t="s">
        <v>133</v>
      </c>
      <c r="B81" s="40" t="s">
        <v>118</v>
      </c>
      <c r="C81" s="20" t="s">
        <v>150</v>
      </c>
      <c r="D81" s="40" t="s">
        <v>921</v>
      </c>
      <c r="E81" s="40" t="s">
        <v>134</v>
      </c>
      <c r="F81" s="6">
        <f>'пр.4.1.ведом.22-23'!G88</f>
        <v>34</v>
      </c>
      <c r="G81" s="6">
        <f>'пр.4.1.ведом.22-23'!H88</f>
        <v>34</v>
      </c>
    </row>
    <row r="82" spans="1:7" s="203" customFormat="1" ht="94.5" x14ac:dyDescent="0.25">
      <c r="A82" s="31" t="s">
        <v>1174</v>
      </c>
      <c r="B82" s="20" t="s">
        <v>118</v>
      </c>
      <c r="C82" s="20" t="s">
        <v>150</v>
      </c>
      <c r="D82" s="20" t="s">
        <v>1173</v>
      </c>
      <c r="E82" s="20"/>
      <c r="F82" s="26">
        <f>F83</f>
        <v>22.3</v>
      </c>
      <c r="G82" s="26">
        <f>G83</f>
        <v>22.3</v>
      </c>
    </row>
    <row r="83" spans="1:7" s="203" customFormat="1" ht="94.5" x14ac:dyDescent="0.25">
      <c r="A83" s="25" t="s">
        <v>127</v>
      </c>
      <c r="B83" s="20" t="s">
        <v>118</v>
      </c>
      <c r="C83" s="20" t="s">
        <v>150</v>
      </c>
      <c r="D83" s="20" t="s">
        <v>1173</v>
      </c>
      <c r="E83" s="20" t="s">
        <v>128</v>
      </c>
      <c r="F83" s="26">
        <f>F84</f>
        <v>22.3</v>
      </c>
      <c r="G83" s="26">
        <f>G84</f>
        <v>22.3</v>
      </c>
    </row>
    <row r="84" spans="1:7" s="203" customFormat="1" ht="38.25" customHeight="1" x14ac:dyDescent="0.25">
      <c r="A84" s="25" t="s">
        <v>129</v>
      </c>
      <c r="B84" s="20" t="s">
        <v>118</v>
      </c>
      <c r="C84" s="20" t="s">
        <v>150</v>
      </c>
      <c r="D84" s="20" t="s">
        <v>1173</v>
      </c>
      <c r="E84" s="20" t="s">
        <v>130</v>
      </c>
      <c r="F84" s="26">
        <f>'пр.4.1.ведом.22-23'!G506</f>
        <v>22.3</v>
      </c>
      <c r="G84" s="6">
        <f>'пр.4.1.ведом.22-23'!H506</f>
        <v>22.3</v>
      </c>
    </row>
    <row r="85" spans="1:7" ht="47.25" x14ac:dyDescent="0.25">
      <c r="A85" s="23" t="s">
        <v>1375</v>
      </c>
      <c r="B85" s="24" t="s">
        <v>118</v>
      </c>
      <c r="C85" s="24" t="s">
        <v>150</v>
      </c>
      <c r="D85" s="24" t="s">
        <v>162</v>
      </c>
      <c r="E85" s="24"/>
      <c r="F85" s="4">
        <f>F86+F90+F102</f>
        <v>683.5</v>
      </c>
      <c r="G85" s="4">
        <f>G86+G90+G102</f>
        <v>683.5</v>
      </c>
    </row>
    <row r="86" spans="1:7" ht="78.75" x14ac:dyDescent="0.25">
      <c r="A86" s="299" t="s">
        <v>1350</v>
      </c>
      <c r="B86" s="24" t="s">
        <v>118</v>
      </c>
      <c r="C86" s="24" t="s">
        <v>150</v>
      </c>
      <c r="D86" s="7" t="s">
        <v>849</v>
      </c>
      <c r="E86" s="24"/>
      <c r="F86" s="4">
        <f t="shared" ref="F86:G88" si="3">F87</f>
        <v>606</v>
      </c>
      <c r="G86" s="4">
        <f t="shared" si="3"/>
        <v>606</v>
      </c>
    </row>
    <row r="87" spans="1:7" ht="63" x14ac:dyDescent="0.25">
      <c r="A87" s="29" t="s">
        <v>1314</v>
      </c>
      <c r="B87" s="20" t="s">
        <v>118</v>
      </c>
      <c r="C87" s="20" t="s">
        <v>150</v>
      </c>
      <c r="D87" s="40" t="s">
        <v>841</v>
      </c>
      <c r="E87" s="20"/>
      <c r="F87" s="6">
        <f t="shared" si="3"/>
        <v>606</v>
      </c>
      <c r="G87" s="6">
        <f t="shared" si="3"/>
        <v>606</v>
      </c>
    </row>
    <row r="88" spans="1:7" ht="31.5" x14ac:dyDescent="0.25">
      <c r="A88" s="25" t="s">
        <v>131</v>
      </c>
      <c r="B88" s="20" t="s">
        <v>118</v>
      </c>
      <c r="C88" s="20" t="s">
        <v>150</v>
      </c>
      <c r="D88" s="40" t="s">
        <v>841</v>
      </c>
      <c r="E88" s="20" t="s">
        <v>132</v>
      </c>
      <c r="F88" s="6">
        <f t="shared" si="3"/>
        <v>606</v>
      </c>
      <c r="G88" s="6">
        <f t="shared" si="3"/>
        <v>606</v>
      </c>
    </row>
    <row r="89" spans="1:7" ht="47.25" x14ac:dyDescent="0.25">
      <c r="A89" s="25" t="s">
        <v>133</v>
      </c>
      <c r="B89" s="20" t="s">
        <v>118</v>
      </c>
      <c r="C89" s="20" t="s">
        <v>150</v>
      </c>
      <c r="D89" s="40" t="s">
        <v>841</v>
      </c>
      <c r="E89" s="20" t="s">
        <v>134</v>
      </c>
      <c r="F89" s="6">
        <f>'пр.4.1.ведом.22-23'!G93</f>
        <v>606</v>
      </c>
      <c r="G89" s="6">
        <f>'пр.4.1.ведом.22-23'!H93</f>
        <v>606</v>
      </c>
    </row>
    <row r="90" spans="1:7" ht="78.75" x14ac:dyDescent="0.25">
      <c r="A90" s="219" t="s">
        <v>843</v>
      </c>
      <c r="B90" s="24" t="s">
        <v>118</v>
      </c>
      <c r="C90" s="24" t="s">
        <v>150</v>
      </c>
      <c r="D90" s="7" t="s">
        <v>850</v>
      </c>
      <c r="E90" s="24"/>
      <c r="F90" s="4">
        <f>F91+F96+F99</f>
        <v>77</v>
      </c>
      <c r="G90" s="4">
        <f>G91+G96+G99</f>
        <v>77</v>
      </c>
    </row>
    <row r="91" spans="1:7" ht="63" x14ac:dyDescent="0.25">
      <c r="A91" s="174" t="s">
        <v>165</v>
      </c>
      <c r="B91" s="20" t="s">
        <v>118</v>
      </c>
      <c r="C91" s="20" t="s">
        <v>150</v>
      </c>
      <c r="D91" s="40" t="s">
        <v>842</v>
      </c>
      <c r="E91" s="20"/>
      <c r="F91" s="6">
        <f>F92+F94</f>
        <v>77</v>
      </c>
      <c r="G91" s="6">
        <f>G92+G94</f>
        <v>77</v>
      </c>
    </row>
    <row r="92" spans="1:7" ht="94.5" x14ac:dyDescent="0.25">
      <c r="A92" s="25" t="s">
        <v>127</v>
      </c>
      <c r="B92" s="20" t="s">
        <v>118</v>
      </c>
      <c r="C92" s="20" t="s">
        <v>150</v>
      </c>
      <c r="D92" s="40" t="s">
        <v>842</v>
      </c>
      <c r="E92" s="20" t="s">
        <v>128</v>
      </c>
      <c r="F92" s="6">
        <f>F93</f>
        <v>37</v>
      </c>
      <c r="G92" s="6">
        <f>G93</f>
        <v>37</v>
      </c>
    </row>
    <row r="93" spans="1:7" ht="31.5" x14ac:dyDescent="0.25">
      <c r="A93" s="25" t="s">
        <v>129</v>
      </c>
      <c r="B93" s="20" t="s">
        <v>118</v>
      </c>
      <c r="C93" s="20" t="s">
        <v>150</v>
      </c>
      <c r="D93" s="40" t="s">
        <v>842</v>
      </c>
      <c r="E93" s="20" t="s">
        <v>130</v>
      </c>
      <c r="F93" s="6">
        <f>'пр.4.1.ведом.22-23'!G97</f>
        <v>37</v>
      </c>
      <c r="G93" s="6">
        <f>'пр.4.1.ведом.22-23'!H97</f>
        <v>37</v>
      </c>
    </row>
    <row r="94" spans="1:7" ht="31.5" x14ac:dyDescent="0.25">
      <c r="A94" s="25" t="s">
        <v>131</v>
      </c>
      <c r="B94" s="20" t="s">
        <v>118</v>
      </c>
      <c r="C94" s="20" t="s">
        <v>150</v>
      </c>
      <c r="D94" s="40" t="s">
        <v>842</v>
      </c>
      <c r="E94" s="20" t="s">
        <v>132</v>
      </c>
      <c r="F94" s="6">
        <f>F95</f>
        <v>40</v>
      </c>
      <c r="G94" s="6">
        <f>G95</f>
        <v>40</v>
      </c>
    </row>
    <row r="95" spans="1:7" ht="47.25" x14ac:dyDescent="0.25">
      <c r="A95" s="25" t="s">
        <v>133</v>
      </c>
      <c r="B95" s="20" t="s">
        <v>118</v>
      </c>
      <c r="C95" s="20" t="s">
        <v>150</v>
      </c>
      <c r="D95" s="40" t="s">
        <v>842</v>
      </c>
      <c r="E95" s="20" t="s">
        <v>134</v>
      </c>
      <c r="F95" s="6">
        <f>'пр.4.1.ведом.22-23'!G99</f>
        <v>40</v>
      </c>
      <c r="G95" s="6">
        <f>'пр.4.1.ведом.22-23'!H99</f>
        <v>40</v>
      </c>
    </row>
    <row r="96" spans="1:7" s="203" customFormat="1" ht="47.25" hidden="1" x14ac:dyDescent="0.25">
      <c r="A96" s="31" t="s">
        <v>1098</v>
      </c>
      <c r="B96" s="20" t="s">
        <v>118</v>
      </c>
      <c r="C96" s="20" t="s">
        <v>150</v>
      </c>
      <c r="D96" s="40" t="s">
        <v>993</v>
      </c>
      <c r="E96" s="20"/>
      <c r="F96" s="26">
        <f>F97</f>
        <v>0</v>
      </c>
      <c r="G96" s="26">
        <f>G97</f>
        <v>0</v>
      </c>
    </row>
    <row r="97" spans="1:8" s="203" customFormat="1" ht="31.5" hidden="1" x14ac:dyDescent="0.25">
      <c r="A97" s="25" t="s">
        <v>131</v>
      </c>
      <c r="B97" s="20" t="s">
        <v>118</v>
      </c>
      <c r="C97" s="20" t="s">
        <v>150</v>
      </c>
      <c r="D97" s="40" t="s">
        <v>993</v>
      </c>
      <c r="E97" s="20" t="s">
        <v>132</v>
      </c>
      <c r="F97" s="26">
        <f>F98</f>
        <v>0</v>
      </c>
      <c r="G97" s="26">
        <f>G98</f>
        <v>0</v>
      </c>
    </row>
    <row r="98" spans="1:8" s="203" customFormat="1" ht="47.25" hidden="1" x14ac:dyDescent="0.25">
      <c r="A98" s="25" t="s">
        <v>133</v>
      </c>
      <c r="B98" s="20" t="s">
        <v>118</v>
      </c>
      <c r="C98" s="20" t="s">
        <v>150</v>
      </c>
      <c r="D98" s="40" t="s">
        <v>696</v>
      </c>
      <c r="E98" s="20" t="s">
        <v>134</v>
      </c>
      <c r="F98" s="26">
        <f>'пр.4.1.ведом.22-23'!G102</f>
        <v>0</v>
      </c>
      <c r="G98" s="26">
        <f>'пр.4.1.ведом.22-23'!H102</f>
        <v>0</v>
      </c>
    </row>
    <row r="99" spans="1:8" s="203" customFormat="1" ht="63" hidden="1" x14ac:dyDescent="0.25">
      <c r="A99" s="31" t="s">
        <v>695</v>
      </c>
      <c r="B99" s="20" t="s">
        <v>118</v>
      </c>
      <c r="C99" s="20" t="s">
        <v>150</v>
      </c>
      <c r="D99" s="20" t="s">
        <v>992</v>
      </c>
      <c r="E99" s="20"/>
      <c r="F99" s="26">
        <f>F100</f>
        <v>0</v>
      </c>
      <c r="G99" s="26">
        <f>G100</f>
        <v>0</v>
      </c>
    </row>
    <row r="100" spans="1:8" s="203" customFormat="1" ht="31.5" hidden="1" x14ac:dyDescent="0.25">
      <c r="A100" s="25" t="s">
        <v>131</v>
      </c>
      <c r="B100" s="20" t="s">
        <v>118</v>
      </c>
      <c r="C100" s="20" t="s">
        <v>150</v>
      </c>
      <c r="D100" s="20" t="s">
        <v>992</v>
      </c>
      <c r="E100" s="20" t="s">
        <v>132</v>
      </c>
      <c r="F100" s="26">
        <f>F101</f>
        <v>0</v>
      </c>
      <c r="G100" s="26">
        <f>G101</f>
        <v>0</v>
      </c>
    </row>
    <row r="101" spans="1:8" s="203" customFormat="1" ht="47.25" hidden="1" x14ac:dyDescent="0.25">
      <c r="A101" s="25" t="s">
        <v>133</v>
      </c>
      <c r="B101" s="20" t="s">
        <v>118</v>
      </c>
      <c r="C101" s="20" t="s">
        <v>150</v>
      </c>
      <c r="D101" s="20" t="s">
        <v>992</v>
      </c>
      <c r="E101" s="20" t="s">
        <v>134</v>
      </c>
      <c r="F101" s="26">
        <f>'пр.4.1.ведом.22-23'!G105</f>
        <v>0</v>
      </c>
      <c r="G101" s="26">
        <f>'пр.4.1.ведом.22-23'!H105</f>
        <v>0</v>
      </c>
    </row>
    <row r="102" spans="1:8" ht="62.45" customHeight="1" x14ac:dyDescent="0.25">
      <c r="A102" s="220" t="s">
        <v>1003</v>
      </c>
      <c r="B102" s="24" t="s">
        <v>118</v>
      </c>
      <c r="C102" s="24" t="s">
        <v>150</v>
      </c>
      <c r="D102" s="7" t="s">
        <v>851</v>
      </c>
      <c r="E102" s="24"/>
      <c r="F102" s="4">
        <f t="shared" ref="F102:G104" si="4">F103</f>
        <v>0.5</v>
      </c>
      <c r="G102" s="4">
        <f t="shared" si="4"/>
        <v>0.5</v>
      </c>
    </row>
    <row r="103" spans="1:8" ht="47.25" x14ac:dyDescent="0.25">
      <c r="A103" s="33" t="s">
        <v>191</v>
      </c>
      <c r="B103" s="20" t="s">
        <v>118</v>
      </c>
      <c r="C103" s="20" t="s">
        <v>150</v>
      </c>
      <c r="D103" s="40" t="s">
        <v>844</v>
      </c>
      <c r="E103" s="20"/>
      <c r="F103" s="6">
        <f t="shared" si="4"/>
        <v>0.5</v>
      </c>
      <c r="G103" s="6">
        <f t="shared" si="4"/>
        <v>0.5</v>
      </c>
    </row>
    <row r="104" spans="1:8" ht="31.5" x14ac:dyDescent="0.25">
      <c r="A104" s="25" t="s">
        <v>131</v>
      </c>
      <c r="B104" s="20" t="s">
        <v>118</v>
      </c>
      <c r="C104" s="20" t="s">
        <v>150</v>
      </c>
      <c r="D104" s="40" t="s">
        <v>844</v>
      </c>
      <c r="E104" s="20" t="s">
        <v>132</v>
      </c>
      <c r="F104" s="6">
        <f t="shared" si="4"/>
        <v>0.5</v>
      </c>
      <c r="G104" s="6">
        <f t="shared" si="4"/>
        <v>0.5</v>
      </c>
    </row>
    <row r="105" spans="1:8" ht="47.25" x14ac:dyDescent="0.25">
      <c r="A105" s="25" t="s">
        <v>133</v>
      </c>
      <c r="B105" s="20" t="s">
        <v>118</v>
      </c>
      <c r="C105" s="20" t="s">
        <v>150</v>
      </c>
      <c r="D105" s="40" t="s">
        <v>844</v>
      </c>
      <c r="E105" s="20" t="s">
        <v>134</v>
      </c>
      <c r="F105" s="6">
        <f>'пр.4.1.ведом.22-23'!G109</f>
        <v>0.5</v>
      </c>
      <c r="G105" s="6">
        <f>'пр.4.1.ведом.22-23'!H109</f>
        <v>0.5</v>
      </c>
    </row>
    <row r="106" spans="1:8" ht="63" x14ac:dyDescent="0.25">
      <c r="A106" s="41" t="s">
        <v>119</v>
      </c>
      <c r="B106" s="7" t="s">
        <v>118</v>
      </c>
      <c r="C106" s="7" t="s">
        <v>120</v>
      </c>
      <c r="D106" s="7"/>
      <c r="E106" s="7"/>
      <c r="F106" s="4">
        <f t="shared" ref="F106:G106" si="5">F107</f>
        <v>16636.7</v>
      </c>
      <c r="G106" s="4">
        <f t="shared" si="5"/>
        <v>16636.7</v>
      </c>
      <c r="H106" s="231">
        <f>'пр.4.1.ведом.22-23'!H113+'пр.4.1.ведом.22-23'!H12+'пр.4.1.ведом.22-23'!H1083</f>
        <v>16636.7</v>
      </c>
    </row>
    <row r="107" spans="1:8" ht="31.5" x14ac:dyDescent="0.25">
      <c r="A107" s="23" t="s">
        <v>917</v>
      </c>
      <c r="B107" s="7" t="s">
        <v>118</v>
      </c>
      <c r="C107" s="7" t="s">
        <v>120</v>
      </c>
      <c r="D107" s="7" t="s">
        <v>858</v>
      </c>
      <c r="E107" s="7"/>
      <c r="F107" s="4">
        <f>F117+F108</f>
        <v>16636.7</v>
      </c>
      <c r="G107" s="4">
        <f>G117+G108</f>
        <v>16636.7</v>
      </c>
    </row>
    <row r="108" spans="1:8" ht="31.5" x14ac:dyDescent="0.25">
      <c r="A108" s="23" t="s">
        <v>986</v>
      </c>
      <c r="B108" s="7" t="s">
        <v>118</v>
      </c>
      <c r="C108" s="7" t="s">
        <v>120</v>
      </c>
      <c r="D108" s="7" t="s">
        <v>987</v>
      </c>
      <c r="E108" s="7"/>
      <c r="F108" s="4">
        <f>F109+F114</f>
        <v>1798.5</v>
      </c>
      <c r="G108" s="4">
        <f>G109+G114</f>
        <v>1798.5</v>
      </c>
    </row>
    <row r="109" spans="1:8" ht="31.5" x14ac:dyDescent="0.25">
      <c r="A109" s="25" t="s">
        <v>897</v>
      </c>
      <c r="B109" s="20" t="s">
        <v>118</v>
      </c>
      <c r="C109" s="20" t="s">
        <v>120</v>
      </c>
      <c r="D109" s="20" t="s">
        <v>991</v>
      </c>
      <c r="E109" s="20"/>
      <c r="F109" s="6">
        <f>F110+F112</f>
        <v>1752.5</v>
      </c>
      <c r="G109" s="6">
        <f>G110+G112</f>
        <v>1752.5</v>
      </c>
    </row>
    <row r="110" spans="1:8" ht="94.5" x14ac:dyDescent="0.25">
      <c r="A110" s="25" t="s">
        <v>127</v>
      </c>
      <c r="B110" s="20" t="s">
        <v>118</v>
      </c>
      <c r="C110" s="20" t="s">
        <v>120</v>
      </c>
      <c r="D110" s="20" t="s">
        <v>991</v>
      </c>
      <c r="E110" s="20" t="s">
        <v>128</v>
      </c>
      <c r="F110" s="6">
        <f>F111</f>
        <v>1734.5</v>
      </c>
      <c r="G110" s="6">
        <f>G111</f>
        <v>1734.5</v>
      </c>
    </row>
    <row r="111" spans="1:8" ht="31.5" x14ac:dyDescent="0.25">
      <c r="A111" s="25" t="s">
        <v>129</v>
      </c>
      <c r="B111" s="20" t="s">
        <v>118</v>
      </c>
      <c r="C111" s="20" t="s">
        <v>120</v>
      </c>
      <c r="D111" s="20" t="s">
        <v>991</v>
      </c>
      <c r="E111" s="20" t="s">
        <v>130</v>
      </c>
      <c r="F111" s="6">
        <f>'пр.4.1.ведом.22-23'!G1088</f>
        <v>1734.5</v>
      </c>
      <c r="G111" s="6">
        <f>'пр.4.1.ведом.22-23'!H1088</f>
        <v>1734.5</v>
      </c>
    </row>
    <row r="112" spans="1:8" ht="47.25" x14ac:dyDescent="0.25">
      <c r="A112" s="25" t="s">
        <v>198</v>
      </c>
      <c r="B112" s="20" t="s">
        <v>118</v>
      </c>
      <c r="C112" s="20" t="s">
        <v>120</v>
      </c>
      <c r="D112" s="20" t="s">
        <v>991</v>
      </c>
      <c r="E112" s="20" t="s">
        <v>132</v>
      </c>
      <c r="F112" s="6">
        <f>F113</f>
        <v>18</v>
      </c>
      <c r="G112" s="6">
        <f>G113</f>
        <v>18</v>
      </c>
    </row>
    <row r="113" spans="1:7" ht="47.25" x14ac:dyDescent="0.25">
      <c r="A113" s="25" t="s">
        <v>133</v>
      </c>
      <c r="B113" s="20" t="s">
        <v>118</v>
      </c>
      <c r="C113" s="20" t="s">
        <v>120</v>
      </c>
      <c r="D113" s="20" t="s">
        <v>991</v>
      </c>
      <c r="E113" s="20" t="s">
        <v>134</v>
      </c>
      <c r="F113" s="6">
        <f>'пр.4.1.ведом.22-23'!G1090</f>
        <v>18</v>
      </c>
      <c r="G113" s="6">
        <f>'пр.4.1.ведом.22-23'!H1090</f>
        <v>18</v>
      </c>
    </row>
    <row r="114" spans="1:7" ht="47.25" x14ac:dyDescent="0.25">
      <c r="A114" s="25" t="s">
        <v>839</v>
      </c>
      <c r="B114" s="20" t="s">
        <v>118</v>
      </c>
      <c r="C114" s="20" t="s">
        <v>120</v>
      </c>
      <c r="D114" s="20" t="s">
        <v>989</v>
      </c>
      <c r="E114" s="20"/>
      <c r="F114" s="6">
        <f>F115</f>
        <v>46</v>
      </c>
      <c r="G114" s="6">
        <f>G115</f>
        <v>46</v>
      </c>
    </row>
    <row r="115" spans="1:7" ht="94.5" x14ac:dyDescent="0.25">
      <c r="A115" s="25" t="s">
        <v>127</v>
      </c>
      <c r="B115" s="20" t="s">
        <v>118</v>
      </c>
      <c r="C115" s="20" t="s">
        <v>120</v>
      </c>
      <c r="D115" s="20" t="s">
        <v>989</v>
      </c>
      <c r="E115" s="20" t="s">
        <v>128</v>
      </c>
      <c r="F115" s="6">
        <f>F116</f>
        <v>46</v>
      </c>
      <c r="G115" s="6">
        <f>G116</f>
        <v>46</v>
      </c>
    </row>
    <row r="116" spans="1:7" ht="31.5" x14ac:dyDescent="0.25">
      <c r="A116" s="25" t="s">
        <v>129</v>
      </c>
      <c r="B116" s="20" t="s">
        <v>118</v>
      </c>
      <c r="C116" s="20" t="s">
        <v>120</v>
      </c>
      <c r="D116" s="20" t="s">
        <v>989</v>
      </c>
      <c r="E116" s="20" t="s">
        <v>130</v>
      </c>
      <c r="F116" s="6">
        <f>'пр.4.1.ведом.22-23'!G1093</f>
        <v>46</v>
      </c>
      <c r="G116" s="6">
        <f>'пр.4.1.ведом.22-23'!H1093</f>
        <v>46</v>
      </c>
    </row>
    <row r="117" spans="1:7" ht="15.75" x14ac:dyDescent="0.25">
      <c r="A117" s="23" t="s">
        <v>918</v>
      </c>
      <c r="B117" s="7" t="s">
        <v>118</v>
      </c>
      <c r="C117" s="7" t="s">
        <v>120</v>
      </c>
      <c r="D117" s="7" t="s">
        <v>859</v>
      </c>
      <c r="E117" s="7"/>
      <c r="F117" s="4">
        <f>F118+F125</f>
        <v>14838.2</v>
      </c>
      <c r="G117" s="4">
        <f>G118+G125</f>
        <v>14838.2</v>
      </c>
    </row>
    <row r="118" spans="1:7" ht="31.5" x14ac:dyDescent="0.25">
      <c r="A118" s="29" t="s">
        <v>897</v>
      </c>
      <c r="B118" s="40" t="s">
        <v>118</v>
      </c>
      <c r="C118" s="40" t="s">
        <v>120</v>
      </c>
      <c r="D118" s="40" t="s">
        <v>860</v>
      </c>
      <c r="E118" s="40"/>
      <c r="F118" s="6">
        <f>F119+F121+F123</f>
        <v>14372.2</v>
      </c>
      <c r="G118" s="6">
        <f>G119+G121+G123</f>
        <v>14372.2</v>
      </c>
    </row>
    <row r="119" spans="1:7" ht="94.5" x14ac:dyDescent="0.25">
      <c r="A119" s="29" t="s">
        <v>127</v>
      </c>
      <c r="B119" s="40" t="s">
        <v>118</v>
      </c>
      <c r="C119" s="40" t="s">
        <v>120</v>
      </c>
      <c r="D119" s="40" t="s">
        <v>860</v>
      </c>
      <c r="E119" s="40" t="s">
        <v>128</v>
      </c>
      <c r="F119" s="6">
        <f>F120</f>
        <v>13367.2</v>
      </c>
      <c r="G119" s="6">
        <f>G120</f>
        <v>13367.2</v>
      </c>
    </row>
    <row r="120" spans="1:7" ht="31.5" x14ac:dyDescent="0.25">
      <c r="A120" s="29" t="s">
        <v>129</v>
      </c>
      <c r="B120" s="40" t="s">
        <v>118</v>
      </c>
      <c r="C120" s="40" t="s">
        <v>120</v>
      </c>
      <c r="D120" s="40" t="s">
        <v>860</v>
      </c>
      <c r="E120" s="40" t="s">
        <v>130</v>
      </c>
      <c r="F120" s="6">
        <f>'пр.4.1.ведом.22-23'!G118+'пр.4.1.ведом.22-23'!G17</f>
        <v>13367.2</v>
      </c>
      <c r="G120" s="6">
        <f>'пр.4.1.ведом.22-23'!H118+'пр.4.1.ведом.22-23'!H17</f>
        <v>13367.2</v>
      </c>
    </row>
    <row r="121" spans="1:7" ht="31.5" x14ac:dyDescent="0.25">
      <c r="A121" s="29" t="s">
        <v>131</v>
      </c>
      <c r="B121" s="40" t="s">
        <v>118</v>
      </c>
      <c r="C121" s="40" t="s">
        <v>120</v>
      </c>
      <c r="D121" s="40" t="s">
        <v>860</v>
      </c>
      <c r="E121" s="40" t="s">
        <v>132</v>
      </c>
      <c r="F121" s="6">
        <f>F122</f>
        <v>977</v>
      </c>
      <c r="G121" s="6">
        <f>G122</f>
        <v>977</v>
      </c>
    </row>
    <row r="122" spans="1:7" ht="47.25" x14ac:dyDescent="0.25">
      <c r="A122" s="29" t="s">
        <v>133</v>
      </c>
      <c r="B122" s="40" t="s">
        <v>118</v>
      </c>
      <c r="C122" s="40" t="s">
        <v>120</v>
      </c>
      <c r="D122" s="40" t="s">
        <v>860</v>
      </c>
      <c r="E122" s="40" t="s">
        <v>134</v>
      </c>
      <c r="F122" s="6">
        <f>'пр.4.1.ведом.22-23'!G19</f>
        <v>977</v>
      </c>
      <c r="G122" s="6">
        <f>'пр.4.1.ведом.22-23'!H19</f>
        <v>977</v>
      </c>
    </row>
    <row r="123" spans="1:7" ht="15.75" x14ac:dyDescent="0.25">
      <c r="A123" s="29" t="s">
        <v>135</v>
      </c>
      <c r="B123" s="40" t="s">
        <v>118</v>
      </c>
      <c r="C123" s="40" t="s">
        <v>120</v>
      </c>
      <c r="D123" s="40" t="s">
        <v>860</v>
      </c>
      <c r="E123" s="40" t="s">
        <v>145</v>
      </c>
      <c r="F123" s="6">
        <f>F124</f>
        <v>28</v>
      </c>
      <c r="G123" s="6">
        <f>G124</f>
        <v>28</v>
      </c>
    </row>
    <row r="124" spans="1:7" ht="15.75" x14ac:dyDescent="0.25">
      <c r="A124" s="29" t="s">
        <v>568</v>
      </c>
      <c r="B124" s="40" t="s">
        <v>118</v>
      </c>
      <c r="C124" s="40" t="s">
        <v>120</v>
      </c>
      <c r="D124" s="40" t="s">
        <v>860</v>
      </c>
      <c r="E124" s="40" t="s">
        <v>138</v>
      </c>
      <c r="F124" s="6">
        <f>'пр.4.1.ведом.22-23'!G21</f>
        <v>28</v>
      </c>
      <c r="G124" s="6">
        <f>'пр.4.1.ведом.22-23'!H21</f>
        <v>28</v>
      </c>
    </row>
    <row r="125" spans="1:7" ht="47.25" x14ac:dyDescent="0.25">
      <c r="A125" s="25" t="s">
        <v>839</v>
      </c>
      <c r="B125" s="20" t="s">
        <v>118</v>
      </c>
      <c r="C125" s="20" t="s">
        <v>120</v>
      </c>
      <c r="D125" s="20" t="s">
        <v>862</v>
      </c>
      <c r="E125" s="20"/>
      <c r="F125" s="6">
        <f>F126</f>
        <v>466</v>
      </c>
      <c r="G125" s="6">
        <f>G126</f>
        <v>466</v>
      </c>
    </row>
    <row r="126" spans="1:7" ht="94.5" x14ac:dyDescent="0.25">
      <c r="A126" s="25" t="s">
        <v>127</v>
      </c>
      <c r="B126" s="20" t="s">
        <v>118</v>
      </c>
      <c r="C126" s="20" t="s">
        <v>120</v>
      </c>
      <c r="D126" s="20" t="s">
        <v>862</v>
      </c>
      <c r="E126" s="20" t="s">
        <v>128</v>
      </c>
      <c r="F126" s="6">
        <f>F127</f>
        <v>466</v>
      </c>
      <c r="G126" s="6">
        <f>G127</f>
        <v>466</v>
      </c>
    </row>
    <row r="127" spans="1:7" ht="31.5" x14ac:dyDescent="0.25">
      <c r="A127" s="25" t="s">
        <v>129</v>
      </c>
      <c r="B127" s="20" t="s">
        <v>118</v>
      </c>
      <c r="C127" s="20" t="s">
        <v>120</v>
      </c>
      <c r="D127" s="20" t="s">
        <v>862</v>
      </c>
      <c r="E127" s="20" t="s">
        <v>130</v>
      </c>
      <c r="F127" s="6">
        <f>'пр.4.1.ведом.22-23'!G24+'пр.4.1.ведом.22-23'!G121</f>
        <v>466</v>
      </c>
      <c r="G127" s="6">
        <f>'пр.4.1.ведом.22-23'!H24+'пр.4.1.ведом.22-23'!H121</f>
        <v>466</v>
      </c>
    </row>
    <row r="128" spans="1:7" s="203" customFormat="1" ht="15.75" hidden="1" customHeight="1" x14ac:dyDescent="0.25">
      <c r="A128" s="23" t="s">
        <v>1152</v>
      </c>
      <c r="B128" s="24" t="s">
        <v>118</v>
      </c>
      <c r="C128" s="24" t="s">
        <v>264</v>
      </c>
      <c r="D128" s="24"/>
      <c r="E128" s="20"/>
      <c r="F128" s="21">
        <f t="shared" ref="F128:G130" si="6">F129</f>
        <v>0</v>
      </c>
      <c r="G128" s="21">
        <f t="shared" si="6"/>
        <v>0</v>
      </c>
    </row>
    <row r="129" spans="1:8" s="203" customFormat="1" ht="15.75" hidden="1" customHeight="1" x14ac:dyDescent="0.25">
      <c r="A129" s="23" t="s">
        <v>141</v>
      </c>
      <c r="B129" s="24" t="s">
        <v>118</v>
      </c>
      <c r="C129" s="24" t="s">
        <v>264</v>
      </c>
      <c r="D129" s="24" t="s">
        <v>866</v>
      </c>
      <c r="E129" s="20"/>
      <c r="F129" s="21">
        <f t="shared" si="6"/>
        <v>0</v>
      </c>
      <c r="G129" s="21">
        <f t="shared" si="6"/>
        <v>0</v>
      </c>
    </row>
    <row r="130" spans="1:8" s="203" customFormat="1" ht="31.7" hidden="1" customHeight="1" x14ac:dyDescent="0.25">
      <c r="A130" s="23" t="s">
        <v>870</v>
      </c>
      <c r="B130" s="24" t="s">
        <v>118</v>
      </c>
      <c r="C130" s="24" t="s">
        <v>264</v>
      </c>
      <c r="D130" s="24" t="s">
        <v>865</v>
      </c>
      <c r="E130" s="20"/>
      <c r="F130" s="21">
        <f t="shared" si="6"/>
        <v>0</v>
      </c>
      <c r="G130" s="21">
        <f t="shared" si="6"/>
        <v>0</v>
      </c>
    </row>
    <row r="131" spans="1:8" s="203" customFormat="1" ht="31.7" hidden="1" customHeight="1" x14ac:dyDescent="0.25">
      <c r="A131" s="45" t="s">
        <v>199</v>
      </c>
      <c r="B131" s="20" t="s">
        <v>118</v>
      </c>
      <c r="C131" s="20" t="s">
        <v>264</v>
      </c>
      <c r="D131" s="20" t="s">
        <v>1151</v>
      </c>
      <c r="E131" s="20"/>
      <c r="F131" s="26">
        <f>F132+F134</f>
        <v>0</v>
      </c>
      <c r="G131" s="26">
        <f>G132+G134</f>
        <v>0</v>
      </c>
    </row>
    <row r="132" spans="1:8" s="203" customFormat="1" ht="94.7" hidden="1" customHeight="1" x14ac:dyDescent="0.25">
      <c r="A132" s="25" t="s">
        <v>127</v>
      </c>
      <c r="B132" s="20" t="s">
        <v>118</v>
      </c>
      <c r="C132" s="20" t="s">
        <v>264</v>
      </c>
      <c r="D132" s="20" t="s">
        <v>1151</v>
      </c>
      <c r="E132" s="20" t="s">
        <v>128</v>
      </c>
      <c r="F132" s="26">
        <f>F133</f>
        <v>0</v>
      </c>
      <c r="G132" s="26">
        <f>G133</f>
        <v>0</v>
      </c>
    </row>
    <row r="133" spans="1:8" s="203" customFormat="1" ht="47.25" hidden="1" customHeight="1" x14ac:dyDescent="0.25">
      <c r="A133" s="25" t="s">
        <v>129</v>
      </c>
      <c r="B133" s="20" t="s">
        <v>118</v>
      </c>
      <c r="C133" s="20" t="s">
        <v>264</v>
      </c>
      <c r="D133" s="20" t="s">
        <v>1151</v>
      </c>
      <c r="E133" s="20" t="s">
        <v>130</v>
      </c>
      <c r="F133" s="26">
        <f>'пр.4.1.ведом.22-23'!G127</f>
        <v>0</v>
      </c>
      <c r="G133" s="26">
        <f>'пр.4.1.ведом.22-23'!H127</f>
        <v>0</v>
      </c>
    </row>
    <row r="134" spans="1:8" s="203" customFormat="1" ht="47.25" hidden="1" customHeight="1" x14ac:dyDescent="0.25">
      <c r="A134" s="25" t="s">
        <v>198</v>
      </c>
      <c r="B134" s="20" t="s">
        <v>118</v>
      </c>
      <c r="C134" s="20" t="s">
        <v>264</v>
      </c>
      <c r="D134" s="20" t="s">
        <v>1151</v>
      </c>
      <c r="E134" s="20" t="s">
        <v>132</v>
      </c>
      <c r="F134" s="26">
        <f>F135</f>
        <v>0</v>
      </c>
      <c r="G134" s="26">
        <f>G135</f>
        <v>0</v>
      </c>
    </row>
    <row r="135" spans="1:8" s="203" customFormat="1" ht="47.25" hidden="1" customHeight="1" x14ac:dyDescent="0.25">
      <c r="A135" s="25" t="s">
        <v>133</v>
      </c>
      <c r="B135" s="20" t="s">
        <v>118</v>
      </c>
      <c r="C135" s="20" t="s">
        <v>264</v>
      </c>
      <c r="D135" s="20" t="s">
        <v>1151</v>
      </c>
      <c r="E135" s="20" t="s">
        <v>134</v>
      </c>
      <c r="F135" s="26">
        <f>'пр.4.1.ведом.22-23'!G129</f>
        <v>0</v>
      </c>
      <c r="G135" s="26">
        <f>'пр.4.1.ведом.22-23'!H129</f>
        <v>0</v>
      </c>
    </row>
    <row r="136" spans="1:8" ht="15.75" x14ac:dyDescent="0.25">
      <c r="A136" s="41" t="s">
        <v>139</v>
      </c>
      <c r="B136" s="7" t="s">
        <v>118</v>
      </c>
      <c r="C136" s="7" t="s">
        <v>140</v>
      </c>
      <c r="D136" s="7"/>
      <c r="E136" s="7"/>
      <c r="F136" s="4">
        <f>F137+F168+F182+F199+F208+F213+F218+F177</f>
        <v>52818.200000000004</v>
      </c>
      <c r="G136" s="4">
        <f>G137+G168+G182+G199+G208+G213+G218+G177</f>
        <v>53161.200000000004</v>
      </c>
    </row>
    <row r="137" spans="1:8" ht="15.75" x14ac:dyDescent="0.25">
      <c r="A137" s="23" t="s">
        <v>141</v>
      </c>
      <c r="B137" s="24" t="s">
        <v>118</v>
      </c>
      <c r="C137" s="24" t="s">
        <v>140</v>
      </c>
      <c r="D137" s="24" t="s">
        <v>866</v>
      </c>
      <c r="E137" s="24"/>
      <c r="F137" s="4">
        <f>F138+F149+F159</f>
        <v>52313.200000000004</v>
      </c>
      <c r="G137" s="4">
        <f>G138+G149+G159</f>
        <v>52313.200000000004</v>
      </c>
    </row>
    <row r="138" spans="1:8" ht="15.75" x14ac:dyDescent="0.25">
      <c r="A138" s="23" t="s">
        <v>954</v>
      </c>
      <c r="B138" s="24" t="s">
        <v>118</v>
      </c>
      <c r="C138" s="24" t="s">
        <v>140</v>
      </c>
      <c r="D138" s="24" t="s">
        <v>953</v>
      </c>
      <c r="E138" s="24"/>
      <c r="F138" s="380">
        <f>F142+F139</f>
        <v>41282.100000000006</v>
      </c>
      <c r="G138" s="380">
        <f>G142+G139</f>
        <v>41282.100000000006</v>
      </c>
    </row>
    <row r="139" spans="1:8" ht="47.25" x14ac:dyDescent="0.25">
      <c r="A139" s="25" t="s">
        <v>839</v>
      </c>
      <c r="B139" s="20" t="s">
        <v>118</v>
      </c>
      <c r="C139" s="20" t="s">
        <v>140</v>
      </c>
      <c r="D139" s="20" t="s">
        <v>956</v>
      </c>
      <c r="E139" s="20"/>
      <c r="F139" s="6">
        <f>F140</f>
        <v>1072</v>
      </c>
      <c r="G139" s="6">
        <f>G140</f>
        <v>1072</v>
      </c>
      <c r="H139" s="231">
        <f>F139+F142</f>
        <v>41282.100000000006</v>
      </c>
    </row>
    <row r="140" spans="1:8" ht="94.5" x14ac:dyDescent="0.25">
      <c r="A140" s="25" t="s">
        <v>127</v>
      </c>
      <c r="B140" s="20" t="s">
        <v>118</v>
      </c>
      <c r="C140" s="20" t="s">
        <v>140</v>
      </c>
      <c r="D140" s="20" t="s">
        <v>956</v>
      </c>
      <c r="E140" s="20" t="s">
        <v>128</v>
      </c>
      <c r="F140" s="6">
        <f>F141</f>
        <v>1072</v>
      </c>
      <c r="G140" s="6">
        <f>G141</f>
        <v>1072</v>
      </c>
    </row>
    <row r="141" spans="1:8" ht="31.5" x14ac:dyDescent="0.25">
      <c r="A141" s="25" t="s">
        <v>129</v>
      </c>
      <c r="B141" s="20" t="s">
        <v>118</v>
      </c>
      <c r="C141" s="20" t="s">
        <v>140</v>
      </c>
      <c r="D141" s="20" t="s">
        <v>956</v>
      </c>
      <c r="E141" s="20" t="s">
        <v>209</v>
      </c>
      <c r="F141" s="6">
        <f>'пр.4.1.ведом.22-23'!G838</f>
        <v>1072</v>
      </c>
      <c r="G141" s="6">
        <f>'пр.4.1.ведом.22-23'!H838</f>
        <v>1072</v>
      </c>
    </row>
    <row r="142" spans="1:8" ht="31.5" x14ac:dyDescent="0.25">
      <c r="A142" s="25" t="s">
        <v>801</v>
      </c>
      <c r="B142" s="20" t="s">
        <v>118</v>
      </c>
      <c r="C142" s="20" t="s">
        <v>140</v>
      </c>
      <c r="D142" s="20" t="s">
        <v>955</v>
      </c>
      <c r="E142" s="20"/>
      <c r="F142" s="6">
        <f>F143+F145+F147</f>
        <v>40210.100000000006</v>
      </c>
      <c r="G142" s="6">
        <f>G143+G145+G147</f>
        <v>40210.100000000006</v>
      </c>
    </row>
    <row r="143" spans="1:8" ht="94.5" x14ac:dyDescent="0.25">
      <c r="A143" s="25" t="s">
        <v>127</v>
      </c>
      <c r="B143" s="20" t="s">
        <v>118</v>
      </c>
      <c r="C143" s="20" t="s">
        <v>140</v>
      </c>
      <c r="D143" s="20" t="s">
        <v>955</v>
      </c>
      <c r="E143" s="20" t="s">
        <v>128</v>
      </c>
      <c r="F143" s="6">
        <f>F144</f>
        <v>32825.800000000003</v>
      </c>
      <c r="G143" s="6">
        <f>G144</f>
        <v>32825.800000000003</v>
      </c>
    </row>
    <row r="144" spans="1:8" ht="31.5" x14ac:dyDescent="0.25">
      <c r="A144" s="46" t="s">
        <v>342</v>
      </c>
      <c r="B144" s="20" t="s">
        <v>118</v>
      </c>
      <c r="C144" s="20" t="s">
        <v>140</v>
      </c>
      <c r="D144" s="20" t="s">
        <v>955</v>
      </c>
      <c r="E144" s="20" t="s">
        <v>209</v>
      </c>
      <c r="F144" s="6">
        <f>'пр.4.1.ведом.22-23'!G841</f>
        <v>32825.800000000003</v>
      </c>
      <c r="G144" s="6">
        <f>'пр.4.1.ведом.22-23'!H841</f>
        <v>32825.800000000003</v>
      </c>
    </row>
    <row r="145" spans="1:8" ht="31.5" x14ac:dyDescent="0.25">
      <c r="A145" s="25" t="s">
        <v>131</v>
      </c>
      <c r="B145" s="20" t="s">
        <v>118</v>
      </c>
      <c r="C145" s="20" t="s">
        <v>140</v>
      </c>
      <c r="D145" s="20" t="s">
        <v>955</v>
      </c>
      <c r="E145" s="20" t="s">
        <v>132</v>
      </c>
      <c r="F145" s="6">
        <f>F146</f>
        <v>6963.3</v>
      </c>
      <c r="G145" s="6">
        <f>G146</f>
        <v>6963.3</v>
      </c>
    </row>
    <row r="146" spans="1:8" ht="47.25" x14ac:dyDescent="0.25">
      <c r="A146" s="25" t="s">
        <v>133</v>
      </c>
      <c r="B146" s="20" t="s">
        <v>118</v>
      </c>
      <c r="C146" s="20" t="s">
        <v>140</v>
      </c>
      <c r="D146" s="20" t="s">
        <v>955</v>
      </c>
      <c r="E146" s="20" t="s">
        <v>134</v>
      </c>
      <c r="F146" s="6">
        <f>'пр.4.1.ведом.22-23'!G843</f>
        <v>6963.3</v>
      </c>
      <c r="G146" s="6">
        <f>'пр.4.1.ведом.22-23'!H843</f>
        <v>6963.3</v>
      </c>
    </row>
    <row r="147" spans="1:8" ht="15.75" x14ac:dyDescent="0.25">
      <c r="A147" s="25" t="s">
        <v>135</v>
      </c>
      <c r="B147" s="20" t="s">
        <v>118</v>
      </c>
      <c r="C147" s="20" t="s">
        <v>140</v>
      </c>
      <c r="D147" s="20" t="s">
        <v>955</v>
      </c>
      <c r="E147" s="20" t="s">
        <v>145</v>
      </c>
      <c r="F147" s="6">
        <f>F148</f>
        <v>421</v>
      </c>
      <c r="G147" s="6">
        <f>G148</f>
        <v>421</v>
      </c>
    </row>
    <row r="148" spans="1:8" ht="15.75" x14ac:dyDescent="0.25">
      <c r="A148" s="25" t="s">
        <v>704</v>
      </c>
      <c r="B148" s="20" t="s">
        <v>118</v>
      </c>
      <c r="C148" s="20" t="s">
        <v>140</v>
      </c>
      <c r="D148" s="20" t="s">
        <v>955</v>
      </c>
      <c r="E148" s="20" t="s">
        <v>138</v>
      </c>
      <c r="F148" s="6">
        <f>'пр.4.1.ведом.22-23'!G845</f>
        <v>421</v>
      </c>
      <c r="G148" s="6">
        <f>'пр.4.1.ведом.22-23'!H845</f>
        <v>421</v>
      </c>
    </row>
    <row r="149" spans="1:8" ht="31.5" x14ac:dyDescent="0.25">
      <c r="A149" s="23" t="s">
        <v>870</v>
      </c>
      <c r="B149" s="24" t="s">
        <v>118</v>
      </c>
      <c r="C149" s="24" t="s">
        <v>140</v>
      </c>
      <c r="D149" s="24" t="s">
        <v>865</v>
      </c>
      <c r="E149" s="24"/>
      <c r="F149" s="4">
        <f>F150+F156</f>
        <v>5202.1000000000004</v>
      </c>
      <c r="G149" s="4">
        <f>G150+G156</f>
        <v>5202.1000000000004</v>
      </c>
    </row>
    <row r="150" spans="1:8" ht="47.25" x14ac:dyDescent="0.25">
      <c r="A150" s="25" t="s">
        <v>388</v>
      </c>
      <c r="B150" s="20" t="s">
        <v>118</v>
      </c>
      <c r="C150" s="20" t="s">
        <v>140</v>
      </c>
      <c r="D150" s="20" t="s">
        <v>1011</v>
      </c>
      <c r="E150" s="20"/>
      <c r="F150" s="6">
        <f>F151</f>
        <v>5202.1000000000004</v>
      </c>
      <c r="G150" s="6">
        <f>G151</f>
        <v>5202.1000000000004</v>
      </c>
    </row>
    <row r="151" spans="1:8" ht="31.5" x14ac:dyDescent="0.25">
      <c r="A151" s="25" t="s">
        <v>131</v>
      </c>
      <c r="B151" s="20" t="s">
        <v>118</v>
      </c>
      <c r="C151" s="20" t="s">
        <v>140</v>
      </c>
      <c r="D151" s="20" t="s">
        <v>1011</v>
      </c>
      <c r="E151" s="20" t="s">
        <v>132</v>
      </c>
      <c r="F151" s="6">
        <f>F152</f>
        <v>5202.1000000000004</v>
      </c>
      <c r="G151" s="6">
        <f>G152</f>
        <v>5202.1000000000004</v>
      </c>
    </row>
    <row r="152" spans="1:8" ht="47.25" x14ac:dyDescent="0.25">
      <c r="A152" s="25" t="s">
        <v>133</v>
      </c>
      <c r="B152" s="20" t="s">
        <v>118</v>
      </c>
      <c r="C152" s="20" t="s">
        <v>140</v>
      </c>
      <c r="D152" s="20" t="s">
        <v>1011</v>
      </c>
      <c r="E152" s="20" t="s">
        <v>134</v>
      </c>
      <c r="F152" s="6">
        <f>'пр.4.1.ведом.22-23'!G512</f>
        <v>5202.1000000000004</v>
      </c>
      <c r="G152" s="6">
        <f>'пр.4.1.ведом.22-23'!H512</f>
        <v>5202.1000000000004</v>
      </c>
    </row>
    <row r="153" spans="1:8" ht="47.25" hidden="1" x14ac:dyDescent="0.25">
      <c r="A153" s="25" t="s">
        <v>931</v>
      </c>
      <c r="B153" s="20" t="s">
        <v>118</v>
      </c>
      <c r="C153" s="20" t="s">
        <v>140</v>
      </c>
      <c r="D153" s="20" t="s">
        <v>1012</v>
      </c>
      <c r="E153" s="20"/>
      <c r="F153" s="6">
        <f>'Пр.3 Рд,пр, ЦС,ВР 21'!F187</f>
        <v>5000</v>
      </c>
      <c r="G153" s="6">
        <f t="shared" ref="G153:G154" si="7">F153</f>
        <v>5000</v>
      </c>
    </row>
    <row r="154" spans="1:8" ht="31.5" hidden="1" x14ac:dyDescent="0.25">
      <c r="A154" s="25" t="s">
        <v>131</v>
      </c>
      <c r="B154" s="20" t="s">
        <v>118</v>
      </c>
      <c r="C154" s="20" t="s">
        <v>140</v>
      </c>
      <c r="D154" s="20" t="s">
        <v>1012</v>
      </c>
      <c r="E154" s="20" t="s">
        <v>132</v>
      </c>
      <c r="F154" s="6">
        <f>'Пр.3 Рд,пр, ЦС,ВР 21'!F188</f>
        <v>5000</v>
      </c>
      <c r="G154" s="6">
        <f t="shared" si="7"/>
        <v>5000</v>
      </c>
    </row>
    <row r="155" spans="1:8" ht="47.25" hidden="1" x14ac:dyDescent="0.25">
      <c r="A155" s="25" t="s">
        <v>133</v>
      </c>
      <c r="B155" s="20" t="s">
        <v>118</v>
      </c>
      <c r="C155" s="20" t="s">
        <v>140</v>
      </c>
      <c r="D155" s="20" t="s">
        <v>1012</v>
      </c>
      <c r="E155" s="20" t="s">
        <v>134</v>
      </c>
      <c r="F155" s="6">
        <f>'Пр.3 Рд,пр, ЦС,ВР 21'!F189</f>
        <v>5000</v>
      </c>
      <c r="G155" s="6">
        <f t="shared" ref="G155:G202" si="8">F155</f>
        <v>5000</v>
      </c>
    </row>
    <row r="156" spans="1:8" s="203" customFormat="1" ht="15.75" hidden="1" x14ac:dyDescent="0.25">
      <c r="A156" s="25" t="s">
        <v>1142</v>
      </c>
      <c r="B156" s="20" t="s">
        <v>118</v>
      </c>
      <c r="C156" s="20" t="s">
        <v>140</v>
      </c>
      <c r="D156" s="20" t="s">
        <v>1143</v>
      </c>
      <c r="E156" s="20"/>
      <c r="F156" s="26">
        <f>F157</f>
        <v>0</v>
      </c>
      <c r="G156" s="26">
        <f>G157</f>
        <v>0</v>
      </c>
    </row>
    <row r="157" spans="1:8" s="203" customFormat="1" ht="15.75" hidden="1" x14ac:dyDescent="0.25">
      <c r="A157" s="25" t="s">
        <v>135</v>
      </c>
      <c r="B157" s="20" t="s">
        <v>118</v>
      </c>
      <c r="C157" s="20" t="s">
        <v>140</v>
      </c>
      <c r="D157" s="20" t="s">
        <v>1143</v>
      </c>
      <c r="E157" s="20" t="s">
        <v>145</v>
      </c>
      <c r="F157" s="26">
        <f>F158</f>
        <v>0</v>
      </c>
      <c r="G157" s="26">
        <f>G158</f>
        <v>0</v>
      </c>
    </row>
    <row r="158" spans="1:8" s="203" customFormat="1" ht="15.75" hidden="1" x14ac:dyDescent="0.25">
      <c r="A158" s="25" t="s">
        <v>1142</v>
      </c>
      <c r="B158" s="20" t="s">
        <v>118</v>
      </c>
      <c r="C158" s="20" t="s">
        <v>140</v>
      </c>
      <c r="D158" s="20" t="s">
        <v>1143</v>
      </c>
      <c r="E158" s="20" t="s">
        <v>1144</v>
      </c>
      <c r="F158" s="26">
        <f>'пр.4.1.ведом.22-23'!G30</f>
        <v>0</v>
      </c>
      <c r="G158" s="26">
        <f>'пр.4.1.ведом.22-23'!H30</f>
        <v>0</v>
      </c>
    </row>
    <row r="159" spans="1:8" ht="31.5" x14ac:dyDescent="0.25">
      <c r="A159" s="23" t="s">
        <v>922</v>
      </c>
      <c r="B159" s="24" t="s">
        <v>118</v>
      </c>
      <c r="C159" s="24" t="s">
        <v>140</v>
      </c>
      <c r="D159" s="24" t="s">
        <v>867</v>
      </c>
      <c r="E159" s="24"/>
      <c r="F159" s="4">
        <f>F160+F165</f>
        <v>5829</v>
      </c>
      <c r="G159" s="4">
        <f>G160+G165</f>
        <v>5829</v>
      </c>
    </row>
    <row r="160" spans="1:8" ht="31.5" x14ac:dyDescent="0.25">
      <c r="A160" s="25" t="s">
        <v>928</v>
      </c>
      <c r="B160" s="20" t="s">
        <v>118</v>
      </c>
      <c r="C160" s="20" t="s">
        <v>140</v>
      </c>
      <c r="D160" s="20" t="s">
        <v>868</v>
      </c>
      <c r="E160" s="20"/>
      <c r="F160" s="6">
        <f>F161+F163</f>
        <v>5701</v>
      </c>
      <c r="G160" s="6">
        <f>G161+G163</f>
        <v>5701</v>
      </c>
      <c r="H160" s="231">
        <f>F160+F165</f>
        <v>5829</v>
      </c>
    </row>
    <row r="161" spans="1:7" ht="94.5" x14ac:dyDescent="0.25">
      <c r="A161" s="25" t="s">
        <v>127</v>
      </c>
      <c r="B161" s="20" t="s">
        <v>118</v>
      </c>
      <c r="C161" s="20" t="s">
        <v>140</v>
      </c>
      <c r="D161" s="20" t="s">
        <v>868</v>
      </c>
      <c r="E161" s="20" t="s">
        <v>128</v>
      </c>
      <c r="F161" s="6">
        <f>F162</f>
        <v>4501</v>
      </c>
      <c r="G161" s="6">
        <f>G162</f>
        <v>4501</v>
      </c>
    </row>
    <row r="162" spans="1:7" ht="31.5" x14ac:dyDescent="0.25">
      <c r="A162" s="25" t="s">
        <v>208</v>
      </c>
      <c r="B162" s="20" t="s">
        <v>118</v>
      </c>
      <c r="C162" s="20" t="s">
        <v>140</v>
      </c>
      <c r="D162" s="20" t="s">
        <v>868</v>
      </c>
      <c r="E162" s="20" t="s">
        <v>209</v>
      </c>
      <c r="F162" s="6">
        <f>'пр.4.1.ведом.22-23'!G135</f>
        <v>4501</v>
      </c>
      <c r="G162" s="6">
        <f>'пр.4.1.ведом.22-23'!H135</f>
        <v>4501</v>
      </c>
    </row>
    <row r="163" spans="1:7" ht="47.25" x14ac:dyDescent="0.25">
      <c r="A163" s="25" t="s">
        <v>198</v>
      </c>
      <c r="B163" s="20" t="s">
        <v>118</v>
      </c>
      <c r="C163" s="20" t="s">
        <v>140</v>
      </c>
      <c r="D163" s="20" t="s">
        <v>868</v>
      </c>
      <c r="E163" s="20" t="s">
        <v>132</v>
      </c>
      <c r="F163" s="6">
        <f>F164</f>
        <v>1200</v>
      </c>
      <c r="G163" s="6">
        <f>G164</f>
        <v>1200</v>
      </c>
    </row>
    <row r="164" spans="1:7" ht="47.25" x14ac:dyDescent="0.25">
      <c r="A164" s="25" t="s">
        <v>133</v>
      </c>
      <c r="B164" s="20" t="s">
        <v>118</v>
      </c>
      <c r="C164" s="20" t="s">
        <v>140</v>
      </c>
      <c r="D164" s="20" t="s">
        <v>868</v>
      </c>
      <c r="E164" s="20" t="s">
        <v>134</v>
      </c>
      <c r="F164" s="6">
        <f>'пр.4.1.ведом.22-23'!G137</f>
        <v>1200</v>
      </c>
      <c r="G164" s="6">
        <f>'пр.4.1.ведом.22-23'!H137</f>
        <v>1200</v>
      </c>
    </row>
    <row r="165" spans="1:7" ht="47.25" x14ac:dyDescent="0.25">
      <c r="A165" s="25" t="s">
        <v>839</v>
      </c>
      <c r="B165" s="20" t="s">
        <v>118</v>
      </c>
      <c r="C165" s="20" t="s">
        <v>140</v>
      </c>
      <c r="D165" s="20" t="s">
        <v>869</v>
      </c>
      <c r="E165" s="20"/>
      <c r="F165" s="6">
        <f>F166</f>
        <v>128</v>
      </c>
      <c r="G165" s="6">
        <f>G166</f>
        <v>128</v>
      </c>
    </row>
    <row r="166" spans="1:7" ht="94.5" x14ac:dyDescent="0.25">
      <c r="A166" s="25" t="s">
        <v>127</v>
      </c>
      <c r="B166" s="20" t="s">
        <v>118</v>
      </c>
      <c r="C166" s="20" t="s">
        <v>140</v>
      </c>
      <c r="D166" s="20" t="s">
        <v>869</v>
      </c>
      <c r="E166" s="20" t="s">
        <v>128</v>
      </c>
      <c r="F166" s="6">
        <f>F167</f>
        <v>128</v>
      </c>
      <c r="G166" s="6">
        <f>G167</f>
        <v>128</v>
      </c>
    </row>
    <row r="167" spans="1:7" ht="31.5" x14ac:dyDescent="0.25">
      <c r="A167" s="25" t="s">
        <v>208</v>
      </c>
      <c r="B167" s="20" t="s">
        <v>118</v>
      </c>
      <c r="C167" s="20" t="s">
        <v>140</v>
      </c>
      <c r="D167" s="20" t="s">
        <v>869</v>
      </c>
      <c r="E167" s="20" t="s">
        <v>209</v>
      </c>
      <c r="F167" s="6">
        <f>'пр.4.1.ведом.22-23'!G140</f>
        <v>128</v>
      </c>
      <c r="G167" s="6">
        <f>'пр.4.1.ведом.22-23'!H140</f>
        <v>128</v>
      </c>
    </row>
    <row r="168" spans="1:7" ht="47.25" x14ac:dyDescent="0.25">
      <c r="A168" s="23" t="s">
        <v>1383</v>
      </c>
      <c r="B168" s="7" t="s">
        <v>118</v>
      </c>
      <c r="C168" s="7" t="s">
        <v>140</v>
      </c>
      <c r="D168" s="7" t="s">
        <v>344</v>
      </c>
      <c r="E168" s="7"/>
      <c r="F168" s="4">
        <f t="shared" ref="F168:G172" si="9">F169</f>
        <v>200</v>
      </c>
      <c r="G168" s="4">
        <f t="shared" si="9"/>
        <v>500</v>
      </c>
    </row>
    <row r="169" spans="1:7" ht="94.5" x14ac:dyDescent="0.25">
      <c r="A169" s="41" t="s">
        <v>1390</v>
      </c>
      <c r="B169" s="7" t="s">
        <v>118</v>
      </c>
      <c r="C169" s="7" t="s">
        <v>140</v>
      </c>
      <c r="D169" s="7" t="s">
        <v>359</v>
      </c>
      <c r="E169" s="7"/>
      <c r="F169" s="4">
        <f t="shared" si="9"/>
        <v>200</v>
      </c>
      <c r="G169" s="4">
        <f t="shared" si="9"/>
        <v>500</v>
      </c>
    </row>
    <row r="170" spans="1:7" ht="63" x14ac:dyDescent="0.25">
      <c r="A170" s="247" t="s">
        <v>1047</v>
      </c>
      <c r="B170" s="7" t="s">
        <v>118</v>
      </c>
      <c r="C170" s="7" t="s">
        <v>140</v>
      </c>
      <c r="D170" s="7" t="s">
        <v>909</v>
      </c>
      <c r="E170" s="7"/>
      <c r="F170" s="4">
        <f t="shared" si="9"/>
        <v>200</v>
      </c>
      <c r="G170" s="4">
        <f t="shared" si="9"/>
        <v>500</v>
      </c>
    </row>
    <row r="171" spans="1:7" ht="31.5" x14ac:dyDescent="0.25">
      <c r="A171" s="98" t="s">
        <v>1099</v>
      </c>
      <c r="B171" s="40" t="s">
        <v>118</v>
      </c>
      <c r="C171" s="40" t="s">
        <v>140</v>
      </c>
      <c r="D171" s="40" t="s">
        <v>1203</v>
      </c>
      <c r="E171" s="40"/>
      <c r="F171" s="6">
        <f t="shared" si="9"/>
        <v>200</v>
      </c>
      <c r="G171" s="6">
        <f t="shared" si="9"/>
        <v>500</v>
      </c>
    </row>
    <row r="172" spans="1:7" ht="31.5" x14ac:dyDescent="0.25">
      <c r="A172" s="29" t="s">
        <v>131</v>
      </c>
      <c r="B172" s="40" t="s">
        <v>118</v>
      </c>
      <c r="C172" s="40" t="s">
        <v>140</v>
      </c>
      <c r="D172" s="40" t="s">
        <v>1203</v>
      </c>
      <c r="E172" s="40" t="s">
        <v>132</v>
      </c>
      <c r="F172" s="6">
        <f t="shared" si="9"/>
        <v>200</v>
      </c>
      <c r="G172" s="6">
        <f t="shared" si="9"/>
        <v>500</v>
      </c>
    </row>
    <row r="173" spans="1:7" ht="47.25" x14ac:dyDescent="0.25">
      <c r="A173" s="29" t="s">
        <v>133</v>
      </c>
      <c r="B173" s="40" t="s">
        <v>118</v>
      </c>
      <c r="C173" s="40" t="s">
        <v>140</v>
      </c>
      <c r="D173" s="40" t="s">
        <v>1203</v>
      </c>
      <c r="E173" s="40" t="s">
        <v>134</v>
      </c>
      <c r="F173" s="6">
        <f>'пр.4.1.ведом.22-23'!G250</f>
        <v>200</v>
      </c>
      <c r="G173" s="6">
        <f>'пр.4.1.ведом.22-23'!H250</f>
        <v>500</v>
      </c>
    </row>
    <row r="174" spans="1:7" ht="47.25" hidden="1" x14ac:dyDescent="0.25">
      <c r="A174" s="35" t="s">
        <v>886</v>
      </c>
      <c r="B174" s="20" t="s">
        <v>118</v>
      </c>
      <c r="C174" s="20" t="s">
        <v>140</v>
      </c>
      <c r="D174" s="20" t="s">
        <v>1302</v>
      </c>
      <c r="E174" s="24"/>
      <c r="F174" s="6" t="e">
        <f>'Пр.3 Рд,пр, ЦС,ВР 21'!#REF!</f>
        <v>#REF!</v>
      </c>
      <c r="G174" s="6" t="e">
        <f t="shared" si="8"/>
        <v>#REF!</v>
      </c>
    </row>
    <row r="175" spans="1:7" ht="31.5" hidden="1" x14ac:dyDescent="0.25">
      <c r="A175" s="25" t="s">
        <v>131</v>
      </c>
      <c r="B175" s="20" t="s">
        <v>118</v>
      </c>
      <c r="C175" s="20" t="s">
        <v>140</v>
      </c>
      <c r="D175" s="20" t="s">
        <v>1302</v>
      </c>
      <c r="E175" s="20" t="s">
        <v>132</v>
      </c>
      <c r="F175" s="6" t="e">
        <f>'Пр.3 Рд,пр, ЦС,ВР 21'!#REF!</f>
        <v>#REF!</v>
      </c>
      <c r="G175" s="6" t="e">
        <f t="shared" si="8"/>
        <v>#REF!</v>
      </c>
    </row>
    <row r="176" spans="1:7" ht="47.25" hidden="1" x14ac:dyDescent="0.25">
      <c r="A176" s="25" t="s">
        <v>133</v>
      </c>
      <c r="B176" s="20" t="s">
        <v>118</v>
      </c>
      <c r="C176" s="20" t="s">
        <v>140</v>
      </c>
      <c r="D176" s="20" t="s">
        <v>1302</v>
      </c>
      <c r="E176" s="20" t="s">
        <v>134</v>
      </c>
      <c r="F176" s="6" t="e">
        <f>'Пр.3 Рд,пр, ЦС,ВР 21'!#REF!</f>
        <v>#REF!</v>
      </c>
      <c r="G176" s="6" t="e">
        <f t="shared" si="8"/>
        <v>#REF!</v>
      </c>
    </row>
    <row r="177" spans="1:7" s="203" customFormat="1" ht="63" x14ac:dyDescent="0.25">
      <c r="A177" s="34" t="s">
        <v>1225</v>
      </c>
      <c r="B177" s="24" t="s">
        <v>118</v>
      </c>
      <c r="C177" s="24" t="s">
        <v>140</v>
      </c>
      <c r="D177" s="24" t="s">
        <v>324</v>
      </c>
      <c r="E177" s="24"/>
      <c r="F177" s="21">
        <f>F179</f>
        <v>12</v>
      </c>
      <c r="G177" s="21">
        <f>G179</f>
        <v>40</v>
      </c>
    </row>
    <row r="178" spans="1:7" s="203" customFormat="1" ht="63" x14ac:dyDescent="0.25">
      <c r="A178" s="34" t="s">
        <v>1025</v>
      </c>
      <c r="B178" s="24" t="s">
        <v>118</v>
      </c>
      <c r="C178" s="24" t="s">
        <v>140</v>
      </c>
      <c r="D178" s="24" t="s">
        <v>934</v>
      </c>
      <c r="E178" s="24"/>
      <c r="F178" s="21">
        <f>F181</f>
        <v>12</v>
      </c>
      <c r="G178" s="21">
        <f>G181</f>
        <v>40</v>
      </c>
    </row>
    <row r="179" spans="1:7" s="203" customFormat="1" ht="47.25" x14ac:dyDescent="0.25">
      <c r="A179" s="31" t="s">
        <v>1083</v>
      </c>
      <c r="B179" s="20" t="s">
        <v>118</v>
      </c>
      <c r="C179" s="20" t="s">
        <v>140</v>
      </c>
      <c r="D179" s="20" t="s">
        <v>1026</v>
      </c>
      <c r="E179" s="20"/>
      <c r="F179" s="26">
        <f>F180</f>
        <v>12</v>
      </c>
      <c r="G179" s="26">
        <f>G180</f>
        <v>40</v>
      </c>
    </row>
    <row r="180" spans="1:7" s="203" customFormat="1" ht="31.5" x14ac:dyDescent="0.25">
      <c r="A180" s="25" t="s">
        <v>131</v>
      </c>
      <c r="B180" s="20" t="s">
        <v>118</v>
      </c>
      <c r="C180" s="20" t="s">
        <v>140</v>
      </c>
      <c r="D180" s="20" t="s">
        <v>1026</v>
      </c>
      <c r="E180" s="20" t="s">
        <v>132</v>
      </c>
      <c r="F180" s="26">
        <f>F181</f>
        <v>12</v>
      </c>
      <c r="G180" s="26">
        <f>G181</f>
        <v>40</v>
      </c>
    </row>
    <row r="181" spans="1:7" s="203" customFormat="1" ht="47.25" x14ac:dyDescent="0.25">
      <c r="A181" s="25" t="s">
        <v>133</v>
      </c>
      <c r="B181" s="20" t="s">
        <v>118</v>
      </c>
      <c r="C181" s="20" t="s">
        <v>140</v>
      </c>
      <c r="D181" s="20" t="s">
        <v>1026</v>
      </c>
      <c r="E181" s="20" t="s">
        <v>134</v>
      </c>
      <c r="F181" s="26">
        <f>'пр.4.1.ведом.22-23'!G145</f>
        <v>12</v>
      </c>
      <c r="G181" s="26">
        <f>'пр.4.1.ведом.22-23'!H145</f>
        <v>40</v>
      </c>
    </row>
    <row r="182" spans="1:7" ht="47.25" x14ac:dyDescent="0.25">
      <c r="A182" s="23" t="s">
        <v>1366</v>
      </c>
      <c r="B182" s="24" t="s">
        <v>118</v>
      </c>
      <c r="C182" s="24" t="s">
        <v>140</v>
      </c>
      <c r="D182" s="24" t="s">
        <v>335</v>
      </c>
      <c r="E182" s="24"/>
      <c r="F182" s="59">
        <f>F183</f>
        <v>120</v>
      </c>
      <c r="G182" s="59">
        <f>G183</f>
        <v>120</v>
      </c>
    </row>
    <row r="183" spans="1:7" ht="45" customHeight="1" x14ac:dyDescent="0.25">
      <c r="A183" s="23" t="s">
        <v>1052</v>
      </c>
      <c r="B183" s="24" t="s">
        <v>118</v>
      </c>
      <c r="C183" s="24" t="s">
        <v>140</v>
      </c>
      <c r="D183" s="24" t="s">
        <v>1053</v>
      </c>
      <c r="E183" s="24"/>
      <c r="F183" s="59">
        <f>F184+F187+F190+F193+F196</f>
        <v>120</v>
      </c>
      <c r="G183" s="59">
        <f>G184+G187+G190+G193+G196</f>
        <v>120</v>
      </c>
    </row>
    <row r="184" spans="1:7" ht="31.5" x14ac:dyDescent="0.25">
      <c r="A184" s="97" t="s">
        <v>336</v>
      </c>
      <c r="B184" s="20" t="s">
        <v>118</v>
      </c>
      <c r="C184" s="20" t="s">
        <v>140</v>
      </c>
      <c r="D184" s="20" t="s">
        <v>1054</v>
      </c>
      <c r="E184" s="20"/>
      <c r="F184" s="6">
        <f>F185</f>
        <v>100</v>
      </c>
      <c r="G184" s="6">
        <f>G185</f>
        <v>100</v>
      </c>
    </row>
    <row r="185" spans="1:7" ht="31.5" x14ac:dyDescent="0.25">
      <c r="A185" s="25" t="s">
        <v>131</v>
      </c>
      <c r="B185" s="20" t="s">
        <v>118</v>
      </c>
      <c r="C185" s="20" t="s">
        <v>140</v>
      </c>
      <c r="D185" s="20" t="s">
        <v>1054</v>
      </c>
      <c r="E185" s="20" t="s">
        <v>132</v>
      </c>
      <c r="F185" s="6">
        <f>F186</f>
        <v>100</v>
      </c>
      <c r="G185" s="6">
        <f>G186</f>
        <v>100</v>
      </c>
    </row>
    <row r="186" spans="1:7" ht="47.25" x14ac:dyDescent="0.25">
      <c r="A186" s="25" t="s">
        <v>133</v>
      </c>
      <c r="B186" s="20" t="s">
        <v>118</v>
      </c>
      <c r="C186" s="20" t="s">
        <v>140</v>
      </c>
      <c r="D186" s="20" t="s">
        <v>1054</v>
      </c>
      <c r="E186" s="20" t="s">
        <v>134</v>
      </c>
      <c r="F186" s="6">
        <f>'пр.4.1.ведом.22-23'!G763+'пр.4.1.ведом.22-23'!G544+'пр.4.1.ведом.22-23'!G255</f>
        <v>100</v>
      </c>
      <c r="G186" s="6">
        <f>'пр.4.1.ведом.22-23'!H763+'пр.4.1.ведом.22-23'!H544+'пр.4.1.ведом.22-23'!H255</f>
        <v>100</v>
      </c>
    </row>
    <row r="187" spans="1:7" ht="31.5" x14ac:dyDescent="0.25">
      <c r="A187" s="25" t="s">
        <v>338</v>
      </c>
      <c r="B187" s="20" t="s">
        <v>118</v>
      </c>
      <c r="C187" s="20" t="s">
        <v>140</v>
      </c>
      <c r="D187" s="20" t="s">
        <v>1055</v>
      </c>
      <c r="E187" s="20"/>
      <c r="F187" s="6">
        <f>F188</f>
        <v>20</v>
      </c>
      <c r="G187" s="6">
        <f>G188</f>
        <v>20</v>
      </c>
    </row>
    <row r="188" spans="1:7" ht="31.5" x14ac:dyDescent="0.25">
      <c r="A188" s="25" t="s">
        <v>131</v>
      </c>
      <c r="B188" s="20" t="s">
        <v>118</v>
      </c>
      <c r="C188" s="20" t="s">
        <v>140</v>
      </c>
      <c r="D188" s="20" t="s">
        <v>1055</v>
      </c>
      <c r="E188" s="20" t="s">
        <v>132</v>
      </c>
      <c r="F188" s="6">
        <f>F189</f>
        <v>20</v>
      </c>
      <c r="G188" s="6">
        <f>G189</f>
        <v>20</v>
      </c>
    </row>
    <row r="189" spans="1:7" ht="47.25" x14ac:dyDescent="0.25">
      <c r="A189" s="25" t="s">
        <v>133</v>
      </c>
      <c r="B189" s="20" t="s">
        <v>118</v>
      </c>
      <c r="C189" s="20" t="s">
        <v>140</v>
      </c>
      <c r="D189" s="20" t="s">
        <v>1055</v>
      </c>
      <c r="E189" s="20" t="s">
        <v>134</v>
      </c>
      <c r="F189" s="6">
        <f>'пр.4.1.ведом.22-23'!G264</f>
        <v>20</v>
      </c>
      <c r="G189" s="6">
        <f>'пр.4.1.ведом.22-23'!H264</f>
        <v>20</v>
      </c>
    </row>
    <row r="190" spans="1:7" ht="63" hidden="1" x14ac:dyDescent="0.25">
      <c r="A190" s="31" t="s">
        <v>771</v>
      </c>
      <c r="B190" s="20" t="s">
        <v>118</v>
      </c>
      <c r="C190" s="20" t="s">
        <v>140</v>
      </c>
      <c r="D190" s="20" t="s">
        <v>1056</v>
      </c>
      <c r="E190" s="20"/>
      <c r="F190" s="6">
        <f>F191</f>
        <v>0</v>
      </c>
      <c r="G190" s="6">
        <f>G191</f>
        <v>0</v>
      </c>
    </row>
    <row r="191" spans="1:7" ht="31.5" hidden="1" x14ac:dyDescent="0.25">
      <c r="A191" s="25" t="s">
        <v>131</v>
      </c>
      <c r="B191" s="20" t="s">
        <v>118</v>
      </c>
      <c r="C191" s="20" t="s">
        <v>140</v>
      </c>
      <c r="D191" s="20" t="s">
        <v>1056</v>
      </c>
      <c r="E191" s="20" t="s">
        <v>132</v>
      </c>
      <c r="F191" s="6">
        <f>F192</f>
        <v>0</v>
      </c>
      <c r="G191" s="6">
        <f>G192</f>
        <v>0</v>
      </c>
    </row>
    <row r="192" spans="1:7" ht="47.25" hidden="1" x14ac:dyDescent="0.25">
      <c r="A192" s="25" t="s">
        <v>133</v>
      </c>
      <c r="B192" s="20" t="s">
        <v>118</v>
      </c>
      <c r="C192" s="20" t="s">
        <v>140</v>
      </c>
      <c r="D192" s="20" t="s">
        <v>1056</v>
      </c>
      <c r="E192" s="20" t="s">
        <v>134</v>
      </c>
      <c r="F192" s="6">
        <f>'пр.4.1.ведом.22-23'!G258</f>
        <v>0</v>
      </c>
      <c r="G192" s="6">
        <f>'пр.4.1.ведом.22-23'!H258</f>
        <v>0</v>
      </c>
    </row>
    <row r="193" spans="1:7" ht="31.5" hidden="1" x14ac:dyDescent="0.25">
      <c r="A193" s="25" t="s">
        <v>994</v>
      </c>
      <c r="B193" s="20" t="s">
        <v>118</v>
      </c>
      <c r="C193" s="20" t="s">
        <v>140</v>
      </c>
      <c r="D193" s="20" t="s">
        <v>1057</v>
      </c>
      <c r="E193" s="20"/>
      <c r="F193" s="6">
        <f>F194</f>
        <v>0</v>
      </c>
      <c r="G193" s="6">
        <f>G194</f>
        <v>0</v>
      </c>
    </row>
    <row r="194" spans="1:7" ht="31.5" hidden="1" x14ac:dyDescent="0.25">
      <c r="A194" s="25" t="s">
        <v>131</v>
      </c>
      <c r="B194" s="20" t="s">
        <v>118</v>
      </c>
      <c r="C194" s="20" t="s">
        <v>140</v>
      </c>
      <c r="D194" s="20" t="s">
        <v>1057</v>
      </c>
      <c r="E194" s="20" t="s">
        <v>132</v>
      </c>
      <c r="F194" s="6">
        <f>F195</f>
        <v>0</v>
      </c>
      <c r="G194" s="6">
        <f>G195</f>
        <v>0</v>
      </c>
    </row>
    <row r="195" spans="1:7" ht="47.25" hidden="1" x14ac:dyDescent="0.25">
      <c r="A195" s="25" t="s">
        <v>133</v>
      </c>
      <c r="B195" s="20" t="s">
        <v>118</v>
      </c>
      <c r="C195" s="20" t="s">
        <v>140</v>
      </c>
      <c r="D195" s="20" t="s">
        <v>1057</v>
      </c>
      <c r="E195" s="20" t="s">
        <v>134</v>
      </c>
      <c r="F195" s="6">
        <f>'пр.4.1.ведом.22-23'!G261</f>
        <v>0</v>
      </c>
      <c r="G195" s="6">
        <f>'пр.4.1.ведом.22-23'!H261</f>
        <v>0</v>
      </c>
    </row>
    <row r="196" spans="1:7" ht="31.5" hidden="1" x14ac:dyDescent="0.25">
      <c r="A196" s="31" t="s">
        <v>772</v>
      </c>
      <c r="B196" s="20" t="s">
        <v>118</v>
      </c>
      <c r="C196" s="20" t="s">
        <v>140</v>
      </c>
      <c r="D196" s="20" t="s">
        <v>1058</v>
      </c>
      <c r="E196" s="20"/>
      <c r="F196" s="6">
        <f>F197</f>
        <v>0</v>
      </c>
      <c r="G196" s="6">
        <f>G197</f>
        <v>0</v>
      </c>
    </row>
    <row r="197" spans="1:7" ht="31.5" hidden="1" x14ac:dyDescent="0.25">
      <c r="A197" s="25" t="s">
        <v>131</v>
      </c>
      <c r="B197" s="20" t="s">
        <v>118</v>
      </c>
      <c r="C197" s="20" t="s">
        <v>140</v>
      </c>
      <c r="D197" s="20" t="s">
        <v>1058</v>
      </c>
      <c r="E197" s="20" t="s">
        <v>132</v>
      </c>
      <c r="F197" s="6">
        <f>F198</f>
        <v>0</v>
      </c>
      <c r="G197" s="6">
        <f>G198</f>
        <v>0</v>
      </c>
    </row>
    <row r="198" spans="1:7" ht="47.25" hidden="1" x14ac:dyDescent="0.25">
      <c r="A198" s="25" t="s">
        <v>133</v>
      </c>
      <c r="B198" s="20" t="s">
        <v>118</v>
      </c>
      <c r="C198" s="20" t="s">
        <v>140</v>
      </c>
      <c r="D198" s="20" t="s">
        <v>1058</v>
      </c>
      <c r="E198" s="20" t="s">
        <v>134</v>
      </c>
      <c r="F198" s="6">
        <f>'пр.4.1.ведом.22-23'!G267</f>
        <v>0</v>
      </c>
      <c r="G198" s="6">
        <f>'пр.4.1.ведом.22-23'!H267</f>
        <v>0</v>
      </c>
    </row>
    <row r="199" spans="1:7" ht="57.2" customHeight="1" x14ac:dyDescent="0.25">
      <c r="A199" s="41" t="s">
        <v>1363</v>
      </c>
      <c r="B199" s="8" t="s">
        <v>118</v>
      </c>
      <c r="C199" s="8" t="s">
        <v>140</v>
      </c>
      <c r="D199" s="24" t="s">
        <v>705</v>
      </c>
      <c r="E199" s="221"/>
      <c r="F199" s="59">
        <f>F200+F204</f>
        <v>48</v>
      </c>
      <c r="G199" s="59">
        <f>G200+G204</f>
        <v>48</v>
      </c>
    </row>
    <row r="200" spans="1:7" ht="47.25" x14ac:dyDescent="0.25">
      <c r="A200" s="210" t="s">
        <v>846</v>
      </c>
      <c r="B200" s="24" t="s">
        <v>118</v>
      </c>
      <c r="C200" s="24" t="s">
        <v>140</v>
      </c>
      <c r="D200" s="24" t="s">
        <v>852</v>
      </c>
      <c r="E200" s="24"/>
      <c r="F200" s="59">
        <f>F201</f>
        <v>33</v>
      </c>
      <c r="G200" s="59">
        <f>G201</f>
        <v>33</v>
      </c>
    </row>
    <row r="201" spans="1:7" ht="47.25" x14ac:dyDescent="0.25">
      <c r="A201" s="98" t="s">
        <v>776</v>
      </c>
      <c r="B201" s="20" t="s">
        <v>118</v>
      </c>
      <c r="C201" s="20" t="s">
        <v>140</v>
      </c>
      <c r="D201" s="20" t="s">
        <v>847</v>
      </c>
      <c r="E201" s="20"/>
      <c r="F201" s="6">
        <f>F202</f>
        <v>33</v>
      </c>
      <c r="G201" s="6">
        <f>G202</f>
        <v>33</v>
      </c>
    </row>
    <row r="202" spans="1:7" ht="36.75" customHeight="1" x14ac:dyDescent="0.25">
      <c r="A202" s="25" t="s">
        <v>131</v>
      </c>
      <c r="B202" s="20" t="s">
        <v>118</v>
      </c>
      <c r="C202" s="20" t="s">
        <v>140</v>
      </c>
      <c r="D202" s="20" t="s">
        <v>847</v>
      </c>
      <c r="E202" s="20" t="s">
        <v>132</v>
      </c>
      <c r="F202" s="6">
        <f>F203</f>
        <v>33</v>
      </c>
      <c r="G202" s="6">
        <f t="shared" si="8"/>
        <v>33</v>
      </c>
    </row>
    <row r="203" spans="1:7" ht="47.25" x14ac:dyDescent="0.25">
      <c r="A203" s="25" t="s">
        <v>133</v>
      </c>
      <c r="B203" s="20" t="s">
        <v>118</v>
      </c>
      <c r="C203" s="20" t="s">
        <v>140</v>
      </c>
      <c r="D203" s="20" t="s">
        <v>847</v>
      </c>
      <c r="E203" s="20" t="s">
        <v>134</v>
      </c>
      <c r="F203" s="6">
        <f>'пр.4.1.ведом.22-23'!G150+'пр.4.1.ведом.22-23'!G272</f>
        <v>33</v>
      </c>
      <c r="G203" s="6">
        <f>'пр.4.1.ведом.22-23'!H150+'пр.4.1.ведом.22-23'!H272</f>
        <v>33</v>
      </c>
    </row>
    <row r="204" spans="1:7" ht="47.25" x14ac:dyDescent="0.25">
      <c r="A204" s="211" t="s">
        <v>1023</v>
      </c>
      <c r="B204" s="24" t="s">
        <v>118</v>
      </c>
      <c r="C204" s="24" t="s">
        <v>140</v>
      </c>
      <c r="D204" s="24" t="s">
        <v>853</v>
      </c>
      <c r="E204" s="221"/>
      <c r="F204" s="59">
        <f t="shared" ref="F204:G206" si="10">F205</f>
        <v>15</v>
      </c>
      <c r="G204" s="59">
        <f t="shared" si="10"/>
        <v>15</v>
      </c>
    </row>
    <row r="205" spans="1:7" ht="31.5" x14ac:dyDescent="0.25">
      <c r="A205" s="98" t="s">
        <v>777</v>
      </c>
      <c r="B205" s="20" t="s">
        <v>118</v>
      </c>
      <c r="C205" s="20" t="s">
        <v>140</v>
      </c>
      <c r="D205" s="20" t="s">
        <v>848</v>
      </c>
      <c r="E205" s="32"/>
      <c r="F205" s="6">
        <f t="shared" si="10"/>
        <v>15</v>
      </c>
      <c r="G205" s="6">
        <f t="shared" si="10"/>
        <v>15</v>
      </c>
    </row>
    <row r="206" spans="1:7" ht="31.5" x14ac:dyDescent="0.25">
      <c r="A206" s="25" t="s">
        <v>131</v>
      </c>
      <c r="B206" s="20" t="s">
        <v>118</v>
      </c>
      <c r="C206" s="20" t="s">
        <v>140</v>
      </c>
      <c r="D206" s="20" t="s">
        <v>848</v>
      </c>
      <c r="E206" s="32" t="s">
        <v>132</v>
      </c>
      <c r="F206" s="6">
        <f t="shared" si="10"/>
        <v>15</v>
      </c>
      <c r="G206" s="6">
        <f t="shared" si="10"/>
        <v>15</v>
      </c>
    </row>
    <row r="207" spans="1:7" ht="47.25" x14ac:dyDescent="0.25">
      <c r="A207" s="25" t="s">
        <v>133</v>
      </c>
      <c r="B207" s="20" t="s">
        <v>118</v>
      </c>
      <c r="C207" s="20" t="s">
        <v>140</v>
      </c>
      <c r="D207" s="20" t="s">
        <v>848</v>
      </c>
      <c r="E207" s="32" t="s">
        <v>134</v>
      </c>
      <c r="F207" s="6">
        <f>'пр.4.1.ведом.22-23'!G154</f>
        <v>15</v>
      </c>
      <c r="G207" s="6">
        <f>'пр.4.1.ведом.22-23'!H154</f>
        <v>15</v>
      </c>
    </row>
    <row r="208" spans="1:7" ht="63" hidden="1" x14ac:dyDescent="0.25">
      <c r="A208" s="216" t="s">
        <v>1391</v>
      </c>
      <c r="B208" s="24" t="s">
        <v>118</v>
      </c>
      <c r="C208" s="24" t="s">
        <v>140</v>
      </c>
      <c r="D208" s="24" t="s">
        <v>782</v>
      </c>
      <c r="E208" s="221"/>
      <c r="F208" s="59">
        <f>F210</f>
        <v>0</v>
      </c>
      <c r="G208" s="59">
        <f>G210</f>
        <v>0</v>
      </c>
    </row>
    <row r="209" spans="1:7" ht="31.5" hidden="1" x14ac:dyDescent="0.25">
      <c r="A209" s="23" t="s">
        <v>930</v>
      </c>
      <c r="B209" s="24" t="s">
        <v>118</v>
      </c>
      <c r="C209" s="24" t="s">
        <v>140</v>
      </c>
      <c r="D209" s="24" t="s">
        <v>1020</v>
      </c>
      <c r="E209" s="221"/>
      <c r="F209" s="59">
        <f t="shared" ref="F209:G211" si="11">F210</f>
        <v>0</v>
      </c>
      <c r="G209" s="59">
        <f t="shared" si="11"/>
        <v>0</v>
      </c>
    </row>
    <row r="210" spans="1:7" ht="31.5" hidden="1" x14ac:dyDescent="0.25">
      <c r="A210" s="182" t="s">
        <v>790</v>
      </c>
      <c r="B210" s="20" t="s">
        <v>118</v>
      </c>
      <c r="C210" s="20" t="s">
        <v>140</v>
      </c>
      <c r="D210" s="20" t="s">
        <v>1021</v>
      </c>
      <c r="E210" s="32"/>
      <c r="F210" s="6">
        <f t="shared" si="11"/>
        <v>0</v>
      </c>
      <c r="G210" s="6">
        <f t="shared" si="11"/>
        <v>0</v>
      </c>
    </row>
    <row r="211" spans="1:7" ht="31.5" hidden="1" x14ac:dyDescent="0.25">
      <c r="A211" s="182" t="s">
        <v>131</v>
      </c>
      <c r="B211" s="20" t="s">
        <v>118</v>
      </c>
      <c r="C211" s="20" t="s">
        <v>140</v>
      </c>
      <c r="D211" s="20" t="s">
        <v>1021</v>
      </c>
      <c r="E211" s="32" t="s">
        <v>132</v>
      </c>
      <c r="F211" s="6">
        <f t="shared" si="11"/>
        <v>0</v>
      </c>
      <c r="G211" s="6">
        <f t="shared" si="11"/>
        <v>0</v>
      </c>
    </row>
    <row r="212" spans="1:7" ht="47.25" hidden="1" x14ac:dyDescent="0.25">
      <c r="A212" s="182" t="s">
        <v>133</v>
      </c>
      <c r="B212" s="20" t="s">
        <v>118</v>
      </c>
      <c r="C212" s="20" t="s">
        <v>140</v>
      </c>
      <c r="D212" s="20" t="s">
        <v>1021</v>
      </c>
      <c r="E212" s="32" t="s">
        <v>134</v>
      </c>
      <c r="F212" s="6">
        <f>'пр.4.1.ведом.22-23'!G520</f>
        <v>0</v>
      </c>
      <c r="G212" s="6">
        <f>'пр.4.1.ведом.22-23'!H520</f>
        <v>0</v>
      </c>
    </row>
    <row r="213" spans="1:7" ht="78.75" x14ac:dyDescent="0.25">
      <c r="A213" s="41" t="s">
        <v>1353</v>
      </c>
      <c r="B213" s="8" t="s">
        <v>118</v>
      </c>
      <c r="C213" s="8" t="s">
        <v>140</v>
      </c>
      <c r="D213" s="355" t="s">
        <v>817</v>
      </c>
      <c r="E213" s="8"/>
      <c r="F213" s="59">
        <f t="shared" ref="F213:F216" si="12">F214</f>
        <v>45</v>
      </c>
      <c r="G213" s="59">
        <f>G214</f>
        <v>50</v>
      </c>
    </row>
    <row r="214" spans="1:7" ht="47.25" x14ac:dyDescent="0.25">
      <c r="A214" s="212" t="s">
        <v>854</v>
      </c>
      <c r="B214" s="8" t="s">
        <v>118</v>
      </c>
      <c r="C214" s="8" t="s">
        <v>140</v>
      </c>
      <c r="D214" s="194" t="s">
        <v>1078</v>
      </c>
      <c r="E214" s="8"/>
      <c r="F214" s="59">
        <f t="shared" si="12"/>
        <v>45</v>
      </c>
      <c r="G214" s="59">
        <f>G215</f>
        <v>50</v>
      </c>
    </row>
    <row r="215" spans="1:7" ht="31.5" x14ac:dyDescent="0.25">
      <c r="A215" s="97" t="s">
        <v>171</v>
      </c>
      <c r="B215" s="9" t="s">
        <v>118</v>
      </c>
      <c r="C215" s="9" t="s">
        <v>140</v>
      </c>
      <c r="D215" s="5" t="s">
        <v>855</v>
      </c>
      <c r="E215" s="9"/>
      <c r="F215" s="6">
        <f t="shared" si="12"/>
        <v>45</v>
      </c>
      <c r="G215" s="6">
        <f>G216</f>
        <v>50</v>
      </c>
    </row>
    <row r="216" spans="1:7" ht="31.5" x14ac:dyDescent="0.25">
      <c r="A216" s="25" t="s">
        <v>131</v>
      </c>
      <c r="B216" s="9" t="s">
        <v>118</v>
      </c>
      <c r="C216" s="9" t="s">
        <v>140</v>
      </c>
      <c r="D216" s="5" t="s">
        <v>855</v>
      </c>
      <c r="E216" s="9" t="s">
        <v>132</v>
      </c>
      <c r="F216" s="6">
        <f t="shared" si="12"/>
        <v>45</v>
      </c>
      <c r="G216" s="6">
        <f>G217</f>
        <v>50</v>
      </c>
    </row>
    <row r="217" spans="1:7" ht="47.25" x14ac:dyDescent="0.25">
      <c r="A217" s="25" t="s">
        <v>133</v>
      </c>
      <c r="B217" s="9" t="s">
        <v>118</v>
      </c>
      <c r="C217" s="9" t="s">
        <v>140</v>
      </c>
      <c r="D217" s="5" t="s">
        <v>855</v>
      </c>
      <c r="E217" s="9" t="s">
        <v>134</v>
      </c>
      <c r="F217" s="6">
        <f>'пр.4.1.ведом.22-23'!G159</f>
        <v>45</v>
      </c>
      <c r="G217" s="6">
        <f>'пр.4.1.ведом.22-23'!H159</f>
        <v>50</v>
      </c>
    </row>
    <row r="218" spans="1:7" ht="62.45" customHeight="1" x14ac:dyDescent="0.25">
      <c r="A218" s="41" t="s">
        <v>1354</v>
      </c>
      <c r="B218" s="8" t="s">
        <v>118</v>
      </c>
      <c r="C218" s="8" t="s">
        <v>140</v>
      </c>
      <c r="D218" s="194" t="s">
        <v>818</v>
      </c>
      <c r="E218" s="8"/>
      <c r="F218" s="4">
        <f>F219</f>
        <v>80</v>
      </c>
      <c r="G218" s="4">
        <f>G219</f>
        <v>90</v>
      </c>
    </row>
    <row r="219" spans="1:7" ht="31.5" x14ac:dyDescent="0.25">
      <c r="A219" s="58" t="s">
        <v>856</v>
      </c>
      <c r="B219" s="8" t="s">
        <v>118</v>
      </c>
      <c r="C219" s="8" t="s">
        <v>140</v>
      </c>
      <c r="D219" s="194" t="s">
        <v>864</v>
      </c>
      <c r="E219" s="8"/>
      <c r="F219" s="4">
        <f t="shared" ref="F219:G219" si="13">F220</f>
        <v>80</v>
      </c>
      <c r="G219" s="4">
        <f t="shared" si="13"/>
        <v>90</v>
      </c>
    </row>
    <row r="220" spans="1:7" ht="31.5" x14ac:dyDescent="0.25">
      <c r="A220" s="45" t="s">
        <v>822</v>
      </c>
      <c r="B220" s="9" t="s">
        <v>118</v>
      </c>
      <c r="C220" s="9" t="s">
        <v>140</v>
      </c>
      <c r="D220" s="5" t="s">
        <v>857</v>
      </c>
      <c r="E220" s="9"/>
      <c r="F220" s="6">
        <f>F221</f>
        <v>80</v>
      </c>
      <c r="G220" s="6">
        <f>G221</f>
        <v>90</v>
      </c>
    </row>
    <row r="221" spans="1:7" ht="31.5" x14ac:dyDescent="0.25">
      <c r="A221" s="25" t="s">
        <v>131</v>
      </c>
      <c r="B221" s="9" t="s">
        <v>118</v>
      </c>
      <c r="C221" s="9" t="s">
        <v>140</v>
      </c>
      <c r="D221" s="5" t="s">
        <v>857</v>
      </c>
      <c r="E221" s="9" t="s">
        <v>132</v>
      </c>
      <c r="F221" s="6">
        <f>F222</f>
        <v>80</v>
      </c>
      <c r="G221" s="6">
        <f>G222</f>
        <v>90</v>
      </c>
    </row>
    <row r="222" spans="1:7" ht="47.25" x14ac:dyDescent="0.25">
      <c r="A222" s="25" t="s">
        <v>133</v>
      </c>
      <c r="B222" s="9" t="s">
        <v>118</v>
      </c>
      <c r="C222" s="9" t="s">
        <v>140</v>
      </c>
      <c r="D222" s="5" t="s">
        <v>857</v>
      </c>
      <c r="E222" s="9" t="s">
        <v>134</v>
      </c>
      <c r="F222" s="6">
        <f>'пр.4.1.ведом.22-23'!G164</f>
        <v>80</v>
      </c>
      <c r="G222" s="6">
        <f>'пр.4.1.ведом.22-23'!H164</f>
        <v>90</v>
      </c>
    </row>
    <row r="223" spans="1:7" ht="15.75" hidden="1" x14ac:dyDescent="0.25">
      <c r="A223" s="23" t="s">
        <v>212</v>
      </c>
      <c r="B223" s="24" t="s">
        <v>213</v>
      </c>
      <c r="C223" s="24"/>
      <c r="D223" s="24"/>
      <c r="E223" s="24"/>
      <c r="F223" s="4">
        <f t="shared" ref="F223:G226" si="14">F224</f>
        <v>0</v>
      </c>
      <c r="G223" s="4">
        <f t="shared" si="14"/>
        <v>0</v>
      </c>
    </row>
    <row r="224" spans="1:7" ht="31.5" hidden="1" x14ac:dyDescent="0.25">
      <c r="A224" s="23" t="s">
        <v>218</v>
      </c>
      <c r="B224" s="24" t="s">
        <v>213</v>
      </c>
      <c r="C224" s="24" t="s">
        <v>219</v>
      </c>
      <c r="D224" s="24"/>
      <c r="E224" s="24"/>
      <c r="F224" s="4">
        <f t="shared" si="14"/>
        <v>0</v>
      </c>
      <c r="G224" s="4">
        <f t="shared" si="14"/>
        <v>0</v>
      </c>
    </row>
    <row r="225" spans="1:7" ht="15.75" hidden="1" x14ac:dyDescent="0.25">
      <c r="A225" s="23" t="s">
        <v>141</v>
      </c>
      <c r="B225" s="24" t="s">
        <v>213</v>
      </c>
      <c r="C225" s="24" t="s">
        <v>219</v>
      </c>
      <c r="D225" s="24" t="s">
        <v>866</v>
      </c>
      <c r="E225" s="24"/>
      <c r="F225" s="4">
        <f t="shared" si="14"/>
        <v>0</v>
      </c>
      <c r="G225" s="4">
        <f t="shared" si="14"/>
        <v>0</v>
      </c>
    </row>
    <row r="226" spans="1:7" ht="31.5" hidden="1" x14ac:dyDescent="0.25">
      <c r="A226" s="23" t="s">
        <v>870</v>
      </c>
      <c r="B226" s="24" t="s">
        <v>213</v>
      </c>
      <c r="C226" s="24" t="s">
        <v>219</v>
      </c>
      <c r="D226" s="24" t="s">
        <v>865</v>
      </c>
      <c r="E226" s="24"/>
      <c r="F226" s="4">
        <f t="shared" si="14"/>
        <v>0</v>
      </c>
      <c r="G226" s="4">
        <f t="shared" si="14"/>
        <v>0</v>
      </c>
    </row>
    <row r="227" spans="1:7" ht="16.350000000000001" hidden="1" customHeight="1" x14ac:dyDescent="0.25">
      <c r="A227" s="25" t="s">
        <v>220</v>
      </c>
      <c r="B227" s="20" t="s">
        <v>213</v>
      </c>
      <c r="C227" s="20" t="s">
        <v>219</v>
      </c>
      <c r="D227" s="20" t="s">
        <v>871</v>
      </c>
      <c r="E227" s="20"/>
      <c r="F227" s="6">
        <f>'Пр.3 Рд,пр, ЦС,ВР 21'!F256</f>
        <v>0</v>
      </c>
      <c r="G227" s="6">
        <f t="shared" ref="G227:G282" si="15">F227</f>
        <v>0</v>
      </c>
    </row>
    <row r="228" spans="1:7" ht="47.25" hidden="1" x14ac:dyDescent="0.25">
      <c r="A228" s="25" t="s">
        <v>198</v>
      </c>
      <c r="B228" s="20" t="s">
        <v>213</v>
      </c>
      <c r="C228" s="20" t="s">
        <v>219</v>
      </c>
      <c r="D228" s="20" t="s">
        <v>871</v>
      </c>
      <c r="E228" s="20" t="s">
        <v>132</v>
      </c>
      <c r="F228" s="6">
        <f>'Пр.3 Рд,пр, ЦС,ВР 21'!F257</f>
        <v>0</v>
      </c>
      <c r="G228" s="6">
        <f t="shared" si="15"/>
        <v>0</v>
      </c>
    </row>
    <row r="229" spans="1:7" ht="47.25" hidden="1" x14ac:dyDescent="0.25">
      <c r="A229" s="25" t="s">
        <v>133</v>
      </c>
      <c r="B229" s="20" t="s">
        <v>213</v>
      </c>
      <c r="C229" s="20" t="s">
        <v>219</v>
      </c>
      <c r="D229" s="20" t="s">
        <v>871</v>
      </c>
      <c r="E229" s="20" t="s">
        <v>134</v>
      </c>
      <c r="F229" s="6">
        <f>'Пр.3 Рд,пр, ЦС,ВР 21'!F258</f>
        <v>0</v>
      </c>
      <c r="G229" s="6">
        <f t="shared" si="15"/>
        <v>0</v>
      </c>
    </row>
    <row r="230" spans="1:7" ht="31.5" x14ac:dyDescent="0.25">
      <c r="A230" s="23" t="s">
        <v>222</v>
      </c>
      <c r="B230" s="24" t="s">
        <v>215</v>
      </c>
      <c r="C230" s="24"/>
      <c r="D230" s="24"/>
      <c r="E230" s="24"/>
      <c r="F230" s="4">
        <f t="shared" ref="F230:G231" si="16">F231</f>
        <v>8197.1</v>
      </c>
      <c r="G230" s="4">
        <f t="shared" si="16"/>
        <v>8197.1</v>
      </c>
    </row>
    <row r="231" spans="1:7" ht="63" x14ac:dyDescent="0.25">
      <c r="A231" s="23" t="s">
        <v>1356</v>
      </c>
      <c r="B231" s="24" t="s">
        <v>215</v>
      </c>
      <c r="C231" s="24" t="s">
        <v>244</v>
      </c>
      <c r="D231" s="20"/>
      <c r="E231" s="20"/>
      <c r="F231" s="4">
        <f t="shared" si="16"/>
        <v>8197.1</v>
      </c>
      <c r="G231" s="4">
        <f t="shared" si="16"/>
        <v>8197.1</v>
      </c>
    </row>
    <row r="232" spans="1:7" ht="15.75" x14ac:dyDescent="0.25">
      <c r="A232" s="23" t="s">
        <v>141</v>
      </c>
      <c r="B232" s="24" t="s">
        <v>215</v>
      </c>
      <c r="C232" s="24" t="s">
        <v>244</v>
      </c>
      <c r="D232" s="24" t="s">
        <v>866</v>
      </c>
      <c r="E232" s="24"/>
      <c r="F232" s="4">
        <f>F233+F240</f>
        <v>8197.1</v>
      </c>
      <c r="G232" s="4">
        <f>G233+G240</f>
        <v>8197.1</v>
      </c>
    </row>
    <row r="233" spans="1:7" ht="31.5" x14ac:dyDescent="0.25">
      <c r="A233" s="23" t="s">
        <v>870</v>
      </c>
      <c r="B233" s="24" t="s">
        <v>215</v>
      </c>
      <c r="C233" s="24" t="s">
        <v>244</v>
      </c>
      <c r="D233" s="24" t="s">
        <v>865</v>
      </c>
      <c r="E233" s="24"/>
      <c r="F233" s="4">
        <f>F234+F237</f>
        <v>2089</v>
      </c>
      <c r="G233" s="4">
        <f>G234+G237</f>
        <v>2089</v>
      </c>
    </row>
    <row r="234" spans="1:7" ht="47.25" x14ac:dyDescent="0.25">
      <c r="A234" s="25" t="s">
        <v>224</v>
      </c>
      <c r="B234" s="20" t="s">
        <v>215</v>
      </c>
      <c r="C234" s="20" t="s">
        <v>244</v>
      </c>
      <c r="D234" s="20" t="s">
        <v>875</v>
      </c>
      <c r="E234" s="20"/>
      <c r="F234" s="6">
        <f>F235</f>
        <v>1785</v>
      </c>
      <c r="G234" s="6">
        <f>G235</f>
        <v>1785</v>
      </c>
    </row>
    <row r="235" spans="1:7" ht="35.450000000000003" customHeight="1" x14ac:dyDescent="0.25">
      <c r="A235" s="25" t="s">
        <v>198</v>
      </c>
      <c r="B235" s="20" t="s">
        <v>215</v>
      </c>
      <c r="C235" s="20" t="s">
        <v>244</v>
      </c>
      <c r="D235" s="20" t="s">
        <v>875</v>
      </c>
      <c r="E235" s="20" t="s">
        <v>132</v>
      </c>
      <c r="F235" s="6">
        <f>F236</f>
        <v>1785</v>
      </c>
      <c r="G235" s="6">
        <f>G236</f>
        <v>1785</v>
      </c>
    </row>
    <row r="236" spans="1:7" ht="47.25" x14ac:dyDescent="0.25">
      <c r="A236" s="25" t="s">
        <v>133</v>
      </c>
      <c r="B236" s="20" t="s">
        <v>215</v>
      </c>
      <c r="C236" s="20" t="s">
        <v>244</v>
      </c>
      <c r="D236" s="20" t="s">
        <v>875</v>
      </c>
      <c r="E236" s="20" t="s">
        <v>134</v>
      </c>
      <c r="F236" s="6">
        <f>'пр.4.1.ведом.22-23'!G178</f>
        <v>1785</v>
      </c>
      <c r="G236" s="6">
        <f>'пр.4.1.ведом.22-23'!H178</f>
        <v>1785</v>
      </c>
    </row>
    <row r="237" spans="1:7" ht="15.75" x14ac:dyDescent="0.25">
      <c r="A237" s="25" t="s">
        <v>230</v>
      </c>
      <c r="B237" s="20" t="s">
        <v>215</v>
      </c>
      <c r="C237" s="20" t="s">
        <v>244</v>
      </c>
      <c r="D237" s="20" t="s">
        <v>876</v>
      </c>
      <c r="E237" s="20"/>
      <c r="F237" s="6">
        <f>F238</f>
        <v>304</v>
      </c>
      <c r="G237" s="6">
        <f>G238</f>
        <v>304</v>
      </c>
    </row>
    <row r="238" spans="1:7" ht="47.25" x14ac:dyDescent="0.25">
      <c r="A238" s="25" t="s">
        <v>198</v>
      </c>
      <c r="B238" s="20" t="s">
        <v>215</v>
      </c>
      <c r="C238" s="20" t="s">
        <v>244</v>
      </c>
      <c r="D238" s="20" t="s">
        <v>876</v>
      </c>
      <c r="E238" s="20" t="s">
        <v>132</v>
      </c>
      <c r="F238" s="6">
        <f>F239</f>
        <v>304</v>
      </c>
      <c r="G238" s="6">
        <f>G239</f>
        <v>304</v>
      </c>
    </row>
    <row r="239" spans="1:7" ht="47.25" x14ac:dyDescent="0.25">
      <c r="A239" s="25" t="s">
        <v>133</v>
      </c>
      <c r="B239" s="20" t="s">
        <v>215</v>
      </c>
      <c r="C239" s="20" t="s">
        <v>244</v>
      </c>
      <c r="D239" s="20" t="s">
        <v>876</v>
      </c>
      <c r="E239" s="20" t="s">
        <v>134</v>
      </c>
      <c r="F239" s="6">
        <f>'пр.4.1.ведом.22-23'!G181+'пр.4.1.ведом.22-23'!G852</f>
        <v>304</v>
      </c>
      <c r="G239" s="6">
        <f>'пр.4.1.ведом.22-23'!H181+'пр.4.1.ведом.22-23'!H852</f>
        <v>304</v>
      </c>
    </row>
    <row r="240" spans="1:7" ht="47.25" x14ac:dyDescent="0.25">
      <c r="A240" s="23" t="s">
        <v>923</v>
      </c>
      <c r="B240" s="24" t="s">
        <v>215</v>
      </c>
      <c r="C240" s="24" t="s">
        <v>244</v>
      </c>
      <c r="D240" s="24" t="s">
        <v>872</v>
      </c>
      <c r="E240" s="24"/>
      <c r="F240" s="4">
        <f>F241+F246</f>
        <v>6108.1</v>
      </c>
      <c r="G240" s="4">
        <f>G241+G246</f>
        <v>6108.1</v>
      </c>
    </row>
    <row r="241" spans="1:9" ht="31.5" x14ac:dyDescent="0.25">
      <c r="A241" s="25" t="s">
        <v>927</v>
      </c>
      <c r="B241" s="20" t="s">
        <v>215</v>
      </c>
      <c r="C241" s="20" t="s">
        <v>244</v>
      </c>
      <c r="D241" s="20" t="s">
        <v>873</v>
      </c>
      <c r="E241" s="20"/>
      <c r="F241" s="6">
        <f>F242+F244</f>
        <v>5856.1</v>
      </c>
      <c r="G241" s="6">
        <f>G242+G244</f>
        <v>5856.1</v>
      </c>
    </row>
    <row r="242" spans="1:9" ht="94.5" x14ac:dyDescent="0.25">
      <c r="A242" s="25" t="s">
        <v>127</v>
      </c>
      <c r="B242" s="20" t="s">
        <v>215</v>
      </c>
      <c r="C242" s="20" t="s">
        <v>244</v>
      </c>
      <c r="D242" s="20" t="s">
        <v>873</v>
      </c>
      <c r="E242" s="20" t="s">
        <v>128</v>
      </c>
      <c r="F242" s="6">
        <f>F243</f>
        <v>5693.1</v>
      </c>
      <c r="G242" s="6">
        <f>G243</f>
        <v>5693.1</v>
      </c>
    </row>
    <row r="243" spans="1:9" ht="31.5" x14ac:dyDescent="0.25">
      <c r="A243" s="25" t="s">
        <v>208</v>
      </c>
      <c r="B243" s="20" t="s">
        <v>215</v>
      </c>
      <c r="C243" s="20" t="s">
        <v>244</v>
      </c>
      <c r="D243" s="20" t="s">
        <v>873</v>
      </c>
      <c r="E243" s="20" t="s">
        <v>209</v>
      </c>
      <c r="F243" s="6">
        <f>'пр.4.1.ведом.22-23'!G185</f>
        <v>5693.1</v>
      </c>
      <c r="G243" s="6">
        <f>'пр.4.1.ведом.22-23'!H185</f>
        <v>5693.1</v>
      </c>
    </row>
    <row r="244" spans="1:9" ht="47.25" x14ac:dyDescent="0.25">
      <c r="A244" s="25" t="s">
        <v>198</v>
      </c>
      <c r="B244" s="20" t="s">
        <v>215</v>
      </c>
      <c r="C244" s="20" t="s">
        <v>244</v>
      </c>
      <c r="D244" s="20" t="s">
        <v>873</v>
      </c>
      <c r="E244" s="20" t="s">
        <v>132</v>
      </c>
      <c r="F244" s="6">
        <f>F245</f>
        <v>163</v>
      </c>
      <c r="G244" s="6">
        <f>G245</f>
        <v>163</v>
      </c>
    </row>
    <row r="245" spans="1:9" ht="47.25" x14ac:dyDescent="0.25">
      <c r="A245" s="25" t="s">
        <v>133</v>
      </c>
      <c r="B245" s="20" t="s">
        <v>215</v>
      </c>
      <c r="C245" s="20" t="s">
        <v>244</v>
      </c>
      <c r="D245" s="20" t="s">
        <v>873</v>
      </c>
      <c r="E245" s="20" t="s">
        <v>134</v>
      </c>
      <c r="F245" s="6">
        <f>'пр.4.1.ведом.22-23'!G187</f>
        <v>163</v>
      </c>
      <c r="G245" s="6">
        <f>'пр.4.1.ведом.22-23'!H187</f>
        <v>163</v>
      </c>
    </row>
    <row r="246" spans="1:9" ht="47.25" x14ac:dyDescent="0.25">
      <c r="A246" s="25" t="s">
        <v>839</v>
      </c>
      <c r="B246" s="20" t="s">
        <v>215</v>
      </c>
      <c r="C246" s="20" t="s">
        <v>244</v>
      </c>
      <c r="D246" s="20" t="s">
        <v>874</v>
      </c>
      <c r="E246" s="20"/>
      <c r="F246" s="6">
        <f>F247</f>
        <v>252</v>
      </c>
      <c r="G246" s="6">
        <f>G247</f>
        <v>252</v>
      </c>
    </row>
    <row r="247" spans="1:9" ht="94.5" x14ac:dyDescent="0.25">
      <c r="A247" s="25" t="s">
        <v>127</v>
      </c>
      <c r="B247" s="20" t="s">
        <v>215</v>
      </c>
      <c r="C247" s="20" t="s">
        <v>244</v>
      </c>
      <c r="D247" s="20" t="s">
        <v>874</v>
      </c>
      <c r="E247" s="20" t="s">
        <v>128</v>
      </c>
      <c r="F247" s="6">
        <f>F248</f>
        <v>252</v>
      </c>
      <c r="G247" s="6">
        <f>G248</f>
        <v>252</v>
      </c>
    </row>
    <row r="248" spans="1:9" ht="31.7" customHeight="1" x14ac:dyDescent="0.25">
      <c r="A248" s="25" t="s">
        <v>129</v>
      </c>
      <c r="B248" s="20" t="s">
        <v>215</v>
      </c>
      <c r="C248" s="20" t="s">
        <v>244</v>
      </c>
      <c r="D248" s="20" t="s">
        <v>874</v>
      </c>
      <c r="E248" s="20" t="s">
        <v>130</v>
      </c>
      <c r="F248" s="6">
        <f>'пр.4.1.ведом.22-23'!G190</f>
        <v>252</v>
      </c>
      <c r="G248" s="6">
        <f>'пр.4.1.ведом.22-23'!H190</f>
        <v>252</v>
      </c>
    </row>
    <row r="249" spans="1:9" ht="15.75" x14ac:dyDescent="0.25">
      <c r="A249" s="23" t="s">
        <v>232</v>
      </c>
      <c r="B249" s="24" t="s">
        <v>150</v>
      </c>
      <c r="C249" s="24"/>
      <c r="D249" s="24"/>
      <c r="E249" s="20"/>
      <c r="F249" s="4">
        <f t="shared" ref="F249" si="17">F263+F269+F283+F250</f>
        <v>6333.8</v>
      </c>
      <c r="G249" s="4">
        <f>G263+G269+G283+G250</f>
        <v>6165.9000000000005</v>
      </c>
    </row>
    <row r="250" spans="1:9" ht="15.75" x14ac:dyDescent="0.25">
      <c r="A250" s="23" t="s">
        <v>233</v>
      </c>
      <c r="B250" s="24" t="s">
        <v>150</v>
      </c>
      <c r="C250" s="24" t="s">
        <v>234</v>
      </c>
      <c r="D250" s="24"/>
      <c r="E250" s="20"/>
      <c r="F250" s="4">
        <f>F251</f>
        <v>274</v>
      </c>
      <c r="G250" s="4">
        <f>G251</f>
        <v>274</v>
      </c>
      <c r="H250" s="22"/>
      <c r="I250" s="22"/>
    </row>
    <row r="251" spans="1:9" ht="47.25" x14ac:dyDescent="0.25">
      <c r="A251" s="34" t="s">
        <v>1392</v>
      </c>
      <c r="B251" s="24" t="s">
        <v>150</v>
      </c>
      <c r="C251" s="24" t="s">
        <v>234</v>
      </c>
      <c r="D251" s="194" t="s">
        <v>182</v>
      </c>
      <c r="E251" s="221"/>
      <c r="F251" s="4">
        <f>F252+F259</f>
        <v>274</v>
      </c>
      <c r="G251" s="4">
        <f>G252+G259</f>
        <v>274</v>
      </c>
    </row>
    <row r="252" spans="1:9" ht="47.25" x14ac:dyDescent="0.25">
      <c r="A252" s="34" t="s">
        <v>1006</v>
      </c>
      <c r="B252" s="24" t="s">
        <v>150</v>
      </c>
      <c r="C252" s="24" t="s">
        <v>234</v>
      </c>
      <c r="D252" s="248" t="s">
        <v>877</v>
      </c>
      <c r="E252" s="221"/>
      <c r="F252" s="4">
        <f>F253+F256</f>
        <v>274</v>
      </c>
      <c r="G252" s="4">
        <f>G253+G256</f>
        <v>274</v>
      </c>
    </row>
    <row r="253" spans="1:9" ht="31.5" x14ac:dyDescent="0.25">
      <c r="A253" s="25" t="s">
        <v>235</v>
      </c>
      <c r="B253" s="20" t="s">
        <v>150</v>
      </c>
      <c r="C253" s="20" t="s">
        <v>234</v>
      </c>
      <c r="D253" s="20" t="s">
        <v>898</v>
      </c>
      <c r="E253" s="32"/>
      <c r="F253" s="6">
        <f>F254</f>
        <v>274</v>
      </c>
      <c r="G253" s="6">
        <f>G254</f>
        <v>274</v>
      </c>
    </row>
    <row r="254" spans="1:9" ht="15.75" x14ac:dyDescent="0.25">
      <c r="A254" s="29" t="s">
        <v>135</v>
      </c>
      <c r="B254" s="20" t="s">
        <v>150</v>
      </c>
      <c r="C254" s="20" t="s">
        <v>234</v>
      </c>
      <c r="D254" s="20" t="s">
        <v>898</v>
      </c>
      <c r="E254" s="32" t="s">
        <v>145</v>
      </c>
      <c r="F254" s="6">
        <f>F255</f>
        <v>274</v>
      </c>
      <c r="G254" s="6">
        <f>G255</f>
        <v>274</v>
      </c>
    </row>
    <row r="255" spans="1:9" ht="63" x14ac:dyDescent="0.25">
      <c r="A255" s="29" t="s">
        <v>184</v>
      </c>
      <c r="B255" s="20" t="s">
        <v>150</v>
      </c>
      <c r="C255" s="20" t="s">
        <v>234</v>
      </c>
      <c r="D255" s="20" t="s">
        <v>898</v>
      </c>
      <c r="E255" s="32" t="s">
        <v>160</v>
      </c>
      <c r="F255" s="6">
        <f>'пр.4.1.ведом.22-23'!G197</f>
        <v>274</v>
      </c>
      <c r="G255" s="6">
        <f>'пр.4.1.ведом.22-23'!H197</f>
        <v>274</v>
      </c>
    </row>
    <row r="256" spans="1:9" ht="31.5" hidden="1" x14ac:dyDescent="0.25">
      <c r="A256" s="25" t="s">
        <v>235</v>
      </c>
      <c r="B256" s="20" t="s">
        <v>150</v>
      </c>
      <c r="C256" s="20" t="s">
        <v>234</v>
      </c>
      <c r="D256" s="20" t="s">
        <v>880</v>
      </c>
      <c r="E256" s="20"/>
      <c r="F256" s="6">
        <f>F257</f>
        <v>0</v>
      </c>
      <c r="G256" s="6">
        <f>G257</f>
        <v>0</v>
      </c>
    </row>
    <row r="257" spans="1:7" ht="15.75" hidden="1" x14ac:dyDescent="0.25">
      <c r="A257" s="25" t="s">
        <v>135</v>
      </c>
      <c r="B257" s="20" t="s">
        <v>150</v>
      </c>
      <c r="C257" s="20" t="s">
        <v>234</v>
      </c>
      <c r="D257" s="20" t="s">
        <v>880</v>
      </c>
      <c r="E257" s="20" t="s">
        <v>145</v>
      </c>
      <c r="F257" s="6">
        <f>F258</f>
        <v>0</v>
      </c>
      <c r="G257" s="6">
        <f>G258</f>
        <v>0</v>
      </c>
    </row>
    <row r="258" spans="1:7" ht="63" hidden="1" x14ac:dyDescent="0.25">
      <c r="A258" s="25" t="s">
        <v>184</v>
      </c>
      <c r="B258" s="20" t="s">
        <v>150</v>
      </c>
      <c r="C258" s="20" t="s">
        <v>234</v>
      </c>
      <c r="D258" s="20" t="s">
        <v>880</v>
      </c>
      <c r="E258" s="20" t="s">
        <v>160</v>
      </c>
      <c r="F258" s="6">
        <f>'пр.4.1.ведом.22-23'!G200</f>
        <v>0</v>
      </c>
      <c r="G258" s="6">
        <f>'пр.4.1.ведом.22-23'!H200</f>
        <v>0</v>
      </c>
    </row>
    <row r="259" spans="1:7" ht="47.25" hidden="1" x14ac:dyDescent="0.25">
      <c r="A259" s="213" t="s">
        <v>1007</v>
      </c>
      <c r="B259" s="24" t="s">
        <v>150</v>
      </c>
      <c r="C259" s="24" t="s">
        <v>234</v>
      </c>
      <c r="D259" s="194" t="s">
        <v>879</v>
      </c>
      <c r="E259" s="221"/>
      <c r="F259" s="4">
        <f t="shared" ref="F259:G261" si="18">F260</f>
        <v>0</v>
      </c>
      <c r="G259" s="4">
        <f t="shared" si="18"/>
        <v>0</v>
      </c>
    </row>
    <row r="260" spans="1:7" ht="15.75" hidden="1" x14ac:dyDescent="0.25">
      <c r="A260" s="25" t="s">
        <v>878</v>
      </c>
      <c r="B260" s="20" t="s">
        <v>150</v>
      </c>
      <c r="C260" s="20" t="s">
        <v>234</v>
      </c>
      <c r="D260" s="5" t="s">
        <v>899</v>
      </c>
      <c r="E260" s="32"/>
      <c r="F260" s="6">
        <f t="shared" si="18"/>
        <v>0</v>
      </c>
      <c r="G260" s="6">
        <f t="shared" si="18"/>
        <v>0</v>
      </c>
    </row>
    <row r="261" spans="1:7" ht="15.75" hidden="1" x14ac:dyDescent="0.25">
      <c r="A261" s="29" t="s">
        <v>135</v>
      </c>
      <c r="B261" s="20" t="s">
        <v>150</v>
      </c>
      <c r="C261" s="20" t="s">
        <v>234</v>
      </c>
      <c r="D261" s="5" t="s">
        <v>899</v>
      </c>
      <c r="E261" s="32" t="s">
        <v>145</v>
      </c>
      <c r="F261" s="6">
        <f t="shared" si="18"/>
        <v>0</v>
      </c>
      <c r="G261" s="6">
        <f t="shared" si="18"/>
        <v>0</v>
      </c>
    </row>
    <row r="262" spans="1:7" ht="63" hidden="1" x14ac:dyDescent="0.25">
      <c r="A262" s="29" t="s">
        <v>184</v>
      </c>
      <c r="B262" s="20" t="s">
        <v>150</v>
      </c>
      <c r="C262" s="20" t="s">
        <v>234</v>
      </c>
      <c r="D262" s="5" t="s">
        <v>899</v>
      </c>
      <c r="E262" s="32" t="s">
        <v>160</v>
      </c>
      <c r="F262" s="6">
        <f>'пр.4.1.ведом.22-23'!G204</f>
        <v>0</v>
      </c>
      <c r="G262" s="6">
        <f>'пр.4.1.ведом.22-23'!H204</f>
        <v>0</v>
      </c>
    </row>
    <row r="263" spans="1:7" ht="15.75" x14ac:dyDescent="0.25">
      <c r="A263" s="23" t="s">
        <v>505</v>
      </c>
      <c r="B263" s="24" t="s">
        <v>150</v>
      </c>
      <c r="C263" s="24" t="s">
        <v>299</v>
      </c>
      <c r="D263" s="24"/>
      <c r="E263" s="24"/>
      <c r="F263" s="4">
        <f t="shared" ref="F263:G265" si="19">F264</f>
        <v>3258</v>
      </c>
      <c r="G263" s="4">
        <f t="shared" si="19"/>
        <v>3258</v>
      </c>
    </row>
    <row r="264" spans="1:7" ht="15.75" x14ac:dyDescent="0.25">
      <c r="A264" s="23" t="s">
        <v>141</v>
      </c>
      <c r="B264" s="24" t="s">
        <v>150</v>
      </c>
      <c r="C264" s="24" t="s">
        <v>299</v>
      </c>
      <c r="D264" s="24" t="s">
        <v>866</v>
      </c>
      <c r="E264" s="24"/>
      <c r="F264" s="4">
        <f t="shared" si="19"/>
        <v>3258</v>
      </c>
      <c r="G264" s="4">
        <f t="shared" si="19"/>
        <v>3258</v>
      </c>
    </row>
    <row r="265" spans="1:7" ht="31.5" x14ac:dyDescent="0.25">
      <c r="A265" s="23" t="s">
        <v>870</v>
      </c>
      <c r="B265" s="24" t="s">
        <v>150</v>
      </c>
      <c r="C265" s="24" t="s">
        <v>299</v>
      </c>
      <c r="D265" s="24" t="s">
        <v>865</v>
      </c>
      <c r="E265" s="24"/>
      <c r="F265" s="4">
        <f t="shared" si="19"/>
        <v>3258</v>
      </c>
      <c r="G265" s="4">
        <f t="shared" si="19"/>
        <v>3258</v>
      </c>
    </row>
    <row r="266" spans="1:7" ht="31.5" x14ac:dyDescent="0.25">
      <c r="A266" s="25" t="s">
        <v>506</v>
      </c>
      <c r="B266" s="20" t="s">
        <v>150</v>
      </c>
      <c r="C266" s="20" t="s">
        <v>299</v>
      </c>
      <c r="D266" s="20" t="s">
        <v>957</v>
      </c>
      <c r="E266" s="20"/>
      <c r="F266" s="6">
        <f>F267</f>
        <v>3258</v>
      </c>
      <c r="G266" s="6">
        <f>G267</f>
        <v>3258</v>
      </c>
    </row>
    <row r="267" spans="1:7" ht="31.5" x14ac:dyDescent="0.25">
      <c r="A267" s="25" t="s">
        <v>131</v>
      </c>
      <c r="B267" s="20" t="s">
        <v>150</v>
      </c>
      <c r="C267" s="20" t="s">
        <v>299</v>
      </c>
      <c r="D267" s="20" t="s">
        <v>957</v>
      </c>
      <c r="E267" s="20" t="s">
        <v>132</v>
      </c>
      <c r="F267" s="6">
        <f>F268</f>
        <v>3258</v>
      </c>
      <c r="G267" s="6">
        <f>G268</f>
        <v>3258</v>
      </c>
    </row>
    <row r="268" spans="1:7" ht="47.25" x14ac:dyDescent="0.25">
      <c r="A268" s="25" t="s">
        <v>133</v>
      </c>
      <c r="B268" s="20" t="s">
        <v>150</v>
      </c>
      <c r="C268" s="20" t="s">
        <v>299</v>
      </c>
      <c r="D268" s="20" t="s">
        <v>957</v>
      </c>
      <c r="E268" s="20" t="s">
        <v>134</v>
      </c>
      <c r="F268" s="6">
        <f>'пр.4.1.ведом.22-23'!G859</f>
        <v>3258</v>
      </c>
      <c r="G268" s="6">
        <f>'пр.4.1.ведом.22-23'!H859</f>
        <v>3258</v>
      </c>
    </row>
    <row r="269" spans="1:7" ht="15.75" x14ac:dyDescent="0.25">
      <c r="A269" s="23" t="s">
        <v>508</v>
      </c>
      <c r="B269" s="24" t="s">
        <v>150</v>
      </c>
      <c r="C269" s="24" t="s">
        <v>219</v>
      </c>
      <c r="D269" s="20"/>
      <c r="E269" s="24"/>
      <c r="F269" s="4">
        <f t="shared" ref="F269:G269" si="20">F270</f>
        <v>2127.6</v>
      </c>
      <c r="G269" s="4">
        <f t="shared" si="20"/>
        <v>1949.1</v>
      </c>
    </row>
    <row r="270" spans="1:7" ht="47.25" x14ac:dyDescent="0.25">
      <c r="A270" s="34" t="s">
        <v>1381</v>
      </c>
      <c r="B270" s="24" t="s">
        <v>150</v>
      </c>
      <c r="C270" s="24" t="s">
        <v>219</v>
      </c>
      <c r="D270" s="24" t="s">
        <v>510</v>
      </c>
      <c r="E270" s="24"/>
      <c r="F270" s="59">
        <f>F271+F275</f>
        <v>2127.6</v>
      </c>
      <c r="G270" s="59">
        <f>G271+G275</f>
        <v>1949.1</v>
      </c>
    </row>
    <row r="271" spans="1:7" ht="31.5" hidden="1" x14ac:dyDescent="0.25">
      <c r="A271" s="34" t="s">
        <v>999</v>
      </c>
      <c r="B271" s="24" t="s">
        <v>150</v>
      </c>
      <c r="C271" s="24" t="s">
        <v>219</v>
      </c>
      <c r="D271" s="7" t="s">
        <v>958</v>
      </c>
      <c r="E271" s="24"/>
      <c r="F271" s="59">
        <f t="shared" ref="F271:G273" si="21">F272</f>
        <v>0</v>
      </c>
      <c r="G271" s="59">
        <f t="shared" si="21"/>
        <v>0</v>
      </c>
    </row>
    <row r="272" spans="1:7" ht="15.75" hidden="1" x14ac:dyDescent="0.25">
      <c r="A272" s="29" t="s">
        <v>1001</v>
      </c>
      <c r="B272" s="20" t="s">
        <v>150</v>
      </c>
      <c r="C272" s="20" t="s">
        <v>219</v>
      </c>
      <c r="D272" s="40" t="s">
        <v>1000</v>
      </c>
      <c r="E272" s="20"/>
      <c r="F272" s="6">
        <f t="shared" si="21"/>
        <v>0</v>
      </c>
      <c r="G272" s="6">
        <f t="shared" si="21"/>
        <v>0</v>
      </c>
    </row>
    <row r="273" spans="1:7" ht="31.5" hidden="1" x14ac:dyDescent="0.25">
      <c r="A273" s="25" t="s">
        <v>131</v>
      </c>
      <c r="B273" s="20" t="s">
        <v>150</v>
      </c>
      <c r="C273" s="20" t="s">
        <v>219</v>
      </c>
      <c r="D273" s="40" t="s">
        <v>1000</v>
      </c>
      <c r="E273" s="20" t="s">
        <v>132</v>
      </c>
      <c r="F273" s="6">
        <f t="shared" si="21"/>
        <v>0</v>
      </c>
      <c r="G273" s="6">
        <f t="shared" si="21"/>
        <v>0</v>
      </c>
    </row>
    <row r="274" spans="1:7" ht="47.25" hidden="1" x14ac:dyDescent="0.25">
      <c r="A274" s="25" t="s">
        <v>133</v>
      </c>
      <c r="B274" s="20" t="s">
        <v>150</v>
      </c>
      <c r="C274" s="20" t="s">
        <v>219</v>
      </c>
      <c r="D274" s="40" t="s">
        <v>1000</v>
      </c>
      <c r="E274" s="20" t="s">
        <v>134</v>
      </c>
      <c r="F274" s="6">
        <f>'пр.4.1.ведом.22-23'!G865</f>
        <v>0</v>
      </c>
      <c r="G274" s="6">
        <f>'пр.4.1.ведом.22-23'!H865</f>
        <v>0</v>
      </c>
    </row>
    <row r="275" spans="1:7" ht="47.25" x14ac:dyDescent="0.25">
      <c r="A275" s="34" t="s">
        <v>1063</v>
      </c>
      <c r="B275" s="24" t="s">
        <v>150</v>
      </c>
      <c r="C275" s="24" t="s">
        <v>219</v>
      </c>
      <c r="D275" s="24" t="s">
        <v>959</v>
      </c>
      <c r="E275" s="24"/>
      <c r="F275" s="380">
        <f t="shared" ref="F275:G279" si="22">F276</f>
        <v>2127.6</v>
      </c>
      <c r="G275" s="380">
        <f t="shared" si="22"/>
        <v>1949.1</v>
      </c>
    </row>
    <row r="276" spans="1:7" ht="15.75" x14ac:dyDescent="0.25">
      <c r="A276" s="29" t="s">
        <v>511</v>
      </c>
      <c r="B276" s="20" t="s">
        <v>150</v>
      </c>
      <c r="C276" s="20" t="s">
        <v>219</v>
      </c>
      <c r="D276" s="40" t="s">
        <v>1002</v>
      </c>
      <c r="E276" s="20"/>
      <c r="F276" s="6">
        <f>F279+F277</f>
        <v>2127.6</v>
      </c>
      <c r="G276" s="6">
        <f>G279+G277</f>
        <v>1949.1</v>
      </c>
    </row>
    <row r="277" spans="1:7" s="203" customFormat="1" ht="94.5" x14ac:dyDescent="0.25">
      <c r="A277" s="25" t="s">
        <v>127</v>
      </c>
      <c r="B277" s="20" t="s">
        <v>150</v>
      </c>
      <c r="C277" s="20" t="s">
        <v>219</v>
      </c>
      <c r="D277" s="40" t="s">
        <v>1002</v>
      </c>
      <c r="E277" s="20" t="s">
        <v>128</v>
      </c>
      <c r="F277" s="26">
        <f>F278</f>
        <v>1807</v>
      </c>
      <c r="G277" s="26">
        <f>G278</f>
        <v>1807</v>
      </c>
    </row>
    <row r="278" spans="1:7" s="203" customFormat="1" ht="31.5" x14ac:dyDescent="0.25">
      <c r="A278" s="25" t="s">
        <v>342</v>
      </c>
      <c r="B278" s="20" t="s">
        <v>150</v>
      </c>
      <c r="C278" s="20" t="s">
        <v>219</v>
      </c>
      <c r="D278" s="40" t="s">
        <v>1002</v>
      </c>
      <c r="E278" s="20" t="s">
        <v>209</v>
      </c>
      <c r="F278" s="26">
        <f>'пр.4.1.ведом.22-23'!G869</f>
        <v>1807</v>
      </c>
      <c r="G278" s="26">
        <f>'пр.4.1.ведом.22-23'!H869</f>
        <v>1807</v>
      </c>
    </row>
    <row r="279" spans="1:7" ht="31.5" x14ac:dyDescent="0.25">
      <c r="A279" s="25" t="s">
        <v>131</v>
      </c>
      <c r="B279" s="20" t="s">
        <v>150</v>
      </c>
      <c r="C279" s="20" t="s">
        <v>219</v>
      </c>
      <c r="D279" s="40" t="s">
        <v>1002</v>
      </c>
      <c r="E279" s="20" t="s">
        <v>132</v>
      </c>
      <c r="F279" s="6">
        <f t="shared" si="22"/>
        <v>320.60000000000002</v>
      </c>
      <c r="G279" s="6">
        <f t="shared" si="22"/>
        <v>142.10000000000002</v>
      </c>
    </row>
    <row r="280" spans="1:7" ht="47.25" x14ac:dyDescent="0.25">
      <c r="A280" s="25" t="s">
        <v>133</v>
      </c>
      <c r="B280" s="20" t="s">
        <v>150</v>
      </c>
      <c r="C280" s="20" t="s">
        <v>219</v>
      </c>
      <c r="D280" s="40" t="s">
        <v>1002</v>
      </c>
      <c r="E280" s="20" t="s">
        <v>134</v>
      </c>
      <c r="F280" s="6">
        <f>'пр.4.1.ведом.22-23'!G871</f>
        <v>320.60000000000002</v>
      </c>
      <c r="G280" s="6">
        <f>'пр.4.1.ведом.22-23'!H871</f>
        <v>142.10000000000002</v>
      </c>
    </row>
    <row r="281" spans="1:7" ht="15.75" hidden="1" x14ac:dyDescent="0.25">
      <c r="A281" s="25" t="s">
        <v>135</v>
      </c>
      <c r="B281" s="20" t="s">
        <v>150</v>
      </c>
      <c r="C281" s="20" t="s">
        <v>219</v>
      </c>
      <c r="D281" s="40" t="s">
        <v>1002</v>
      </c>
      <c r="E281" s="20" t="s">
        <v>145</v>
      </c>
      <c r="F281" s="6">
        <f>'Пр.3 Рд,пр, ЦС,ВР 21'!F318</f>
        <v>0</v>
      </c>
      <c r="G281" s="6">
        <f t="shared" si="15"/>
        <v>0</v>
      </c>
    </row>
    <row r="282" spans="1:7" ht="15.75" hidden="1" x14ac:dyDescent="0.25">
      <c r="A282" s="25" t="s">
        <v>568</v>
      </c>
      <c r="B282" s="20" t="s">
        <v>150</v>
      </c>
      <c r="C282" s="20" t="s">
        <v>219</v>
      </c>
      <c r="D282" s="40" t="s">
        <v>1002</v>
      </c>
      <c r="E282" s="20" t="s">
        <v>138</v>
      </c>
      <c r="F282" s="6">
        <f>'Пр.3 Рд,пр, ЦС,ВР 21'!F319</f>
        <v>0</v>
      </c>
      <c r="G282" s="6">
        <f t="shared" si="15"/>
        <v>0</v>
      </c>
    </row>
    <row r="283" spans="1:7" ht="31.5" x14ac:dyDescent="0.25">
      <c r="A283" s="23" t="s">
        <v>237</v>
      </c>
      <c r="B283" s="24" t="s">
        <v>150</v>
      </c>
      <c r="C283" s="24" t="s">
        <v>238</v>
      </c>
      <c r="D283" s="24"/>
      <c r="E283" s="24"/>
      <c r="F283" s="59">
        <f>F284+F291+F309</f>
        <v>674.2</v>
      </c>
      <c r="G283" s="59">
        <f>G284+G291+G309</f>
        <v>684.8</v>
      </c>
    </row>
    <row r="284" spans="1:7" ht="31.5" x14ac:dyDescent="0.25">
      <c r="A284" s="23" t="s">
        <v>917</v>
      </c>
      <c r="B284" s="24" t="s">
        <v>150</v>
      </c>
      <c r="C284" s="24" t="s">
        <v>238</v>
      </c>
      <c r="D284" s="24" t="s">
        <v>858</v>
      </c>
      <c r="E284" s="24"/>
      <c r="F284" s="59">
        <f>F285</f>
        <v>264.2</v>
      </c>
      <c r="G284" s="59">
        <f>G285</f>
        <v>274.8</v>
      </c>
    </row>
    <row r="285" spans="1:7" ht="47.25" x14ac:dyDescent="0.25">
      <c r="A285" s="23" t="s">
        <v>885</v>
      </c>
      <c r="B285" s="24" t="s">
        <v>150</v>
      </c>
      <c r="C285" s="24" t="s">
        <v>238</v>
      </c>
      <c r="D285" s="24" t="s">
        <v>863</v>
      </c>
      <c r="E285" s="24"/>
      <c r="F285" s="59">
        <f>F286</f>
        <v>264.2</v>
      </c>
      <c r="G285" s="59">
        <f>G286</f>
        <v>274.8</v>
      </c>
    </row>
    <row r="286" spans="1:7" ht="63" x14ac:dyDescent="0.25">
      <c r="A286" s="31" t="s">
        <v>241</v>
      </c>
      <c r="B286" s="20" t="s">
        <v>150</v>
      </c>
      <c r="C286" s="20" t="s">
        <v>238</v>
      </c>
      <c r="D286" s="20" t="s">
        <v>924</v>
      </c>
      <c r="E286" s="20"/>
      <c r="F286" s="6">
        <f>F287+F289</f>
        <v>264.2</v>
      </c>
      <c r="G286" s="6">
        <f>G287+G289</f>
        <v>274.8</v>
      </c>
    </row>
    <row r="287" spans="1:7" ht="94.5" x14ac:dyDescent="0.25">
      <c r="A287" s="25" t="s">
        <v>127</v>
      </c>
      <c r="B287" s="20" t="s">
        <v>150</v>
      </c>
      <c r="C287" s="20" t="s">
        <v>238</v>
      </c>
      <c r="D287" s="20" t="s">
        <v>924</v>
      </c>
      <c r="E287" s="20" t="s">
        <v>128</v>
      </c>
      <c r="F287" s="6">
        <f>F288</f>
        <v>205.8</v>
      </c>
      <c r="G287" s="6">
        <f>G288</f>
        <v>205.8</v>
      </c>
    </row>
    <row r="288" spans="1:7" ht="31.5" x14ac:dyDescent="0.25">
      <c r="A288" s="25" t="s">
        <v>129</v>
      </c>
      <c r="B288" s="20" t="s">
        <v>150</v>
      </c>
      <c r="C288" s="20" t="s">
        <v>238</v>
      </c>
      <c r="D288" s="20" t="s">
        <v>924</v>
      </c>
      <c r="E288" s="20" t="s">
        <v>130</v>
      </c>
      <c r="F288" s="6">
        <f>'пр.4.1.ведом.22-23'!G210</f>
        <v>205.8</v>
      </c>
      <c r="G288" s="6">
        <f>'пр.4.1.ведом.22-23'!H210</f>
        <v>205.8</v>
      </c>
    </row>
    <row r="289" spans="1:7" ht="31.5" x14ac:dyDescent="0.25">
      <c r="A289" s="25" t="s">
        <v>131</v>
      </c>
      <c r="B289" s="20" t="s">
        <v>150</v>
      </c>
      <c r="C289" s="20" t="s">
        <v>238</v>
      </c>
      <c r="D289" s="20" t="s">
        <v>924</v>
      </c>
      <c r="E289" s="20" t="s">
        <v>132</v>
      </c>
      <c r="F289" s="6">
        <f>F290</f>
        <v>58.4</v>
      </c>
      <c r="G289" s="6">
        <f>G290</f>
        <v>69</v>
      </c>
    </row>
    <row r="290" spans="1:7" ht="47.25" x14ac:dyDescent="0.25">
      <c r="A290" s="25" t="s">
        <v>133</v>
      </c>
      <c r="B290" s="20" t="s">
        <v>150</v>
      </c>
      <c r="C290" s="20" t="s">
        <v>238</v>
      </c>
      <c r="D290" s="20" t="s">
        <v>924</v>
      </c>
      <c r="E290" s="20" t="s">
        <v>134</v>
      </c>
      <c r="F290" s="6">
        <f>'пр.4.1.ведом.22-23'!G212</f>
        <v>58.4</v>
      </c>
      <c r="G290" s="6">
        <f>'пр.4.1.ведом.22-23'!H212</f>
        <v>69</v>
      </c>
    </row>
    <row r="291" spans="1:7" ht="47.25" x14ac:dyDescent="0.25">
      <c r="A291" s="23" t="s">
        <v>1383</v>
      </c>
      <c r="B291" s="24" t="s">
        <v>150</v>
      </c>
      <c r="C291" s="24" t="s">
        <v>238</v>
      </c>
      <c r="D291" s="24" t="s">
        <v>344</v>
      </c>
      <c r="E291" s="221"/>
      <c r="F291" s="59">
        <f>F292</f>
        <v>260</v>
      </c>
      <c r="G291" s="59">
        <f>G292</f>
        <v>260</v>
      </c>
    </row>
    <row r="292" spans="1:7" ht="63" x14ac:dyDescent="0.25">
      <c r="A292" s="23" t="s">
        <v>367</v>
      </c>
      <c r="B292" s="24" t="s">
        <v>150</v>
      </c>
      <c r="C292" s="24" t="s">
        <v>238</v>
      </c>
      <c r="D292" s="24" t="s">
        <v>356</v>
      </c>
      <c r="E292" s="24"/>
      <c r="F292" s="59">
        <f>F293+F297+F301+F305</f>
        <v>260</v>
      </c>
      <c r="G292" s="59">
        <f>G293+G297+G301+G305</f>
        <v>260</v>
      </c>
    </row>
    <row r="293" spans="1:7" ht="47.25" hidden="1" x14ac:dyDescent="0.25">
      <c r="A293" s="214" t="s">
        <v>1045</v>
      </c>
      <c r="B293" s="24" t="s">
        <v>150</v>
      </c>
      <c r="C293" s="24" t="s">
        <v>238</v>
      </c>
      <c r="D293" s="24" t="s">
        <v>907</v>
      </c>
      <c r="E293" s="24"/>
      <c r="F293" s="59">
        <f>F294</f>
        <v>0</v>
      </c>
      <c r="G293" s="59">
        <f>G294</f>
        <v>0</v>
      </c>
    </row>
    <row r="294" spans="1:7" ht="63" hidden="1" x14ac:dyDescent="0.25">
      <c r="A294" s="25" t="s">
        <v>375</v>
      </c>
      <c r="B294" s="20" t="s">
        <v>150</v>
      </c>
      <c r="C294" s="20" t="s">
        <v>238</v>
      </c>
      <c r="D294" s="20" t="s">
        <v>1323</v>
      </c>
      <c r="E294" s="20"/>
      <c r="F294" s="6">
        <f>'Пр.3 Рд,пр, ЦС,ВР 21'!F331</f>
        <v>0</v>
      </c>
      <c r="G294" s="6">
        <f t="shared" ref="G294:G341" si="23">F294</f>
        <v>0</v>
      </c>
    </row>
    <row r="295" spans="1:7" ht="31.5" hidden="1" x14ac:dyDescent="0.25">
      <c r="A295" s="25" t="s">
        <v>248</v>
      </c>
      <c r="B295" s="20" t="s">
        <v>150</v>
      </c>
      <c r="C295" s="20" t="s">
        <v>238</v>
      </c>
      <c r="D295" s="20" t="s">
        <v>1323</v>
      </c>
      <c r="E295" s="20" t="s">
        <v>249</v>
      </c>
      <c r="F295" s="6">
        <f>'Пр.3 Рд,пр, ЦС,ВР 21'!F332</f>
        <v>0</v>
      </c>
      <c r="G295" s="6">
        <f t="shared" si="23"/>
        <v>0</v>
      </c>
    </row>
    <row r="296" spans="1:7" ht="31.5" hidden="1" x14ac:dyDescent="0.25">
      <c r="A296" s="25" t="s">
        <v>250</v>
      </c>
      <c r="B296" s="20" t="s">
        <v>150</v>
      </c>
      <c r="C296" s="20" t="s">
        <v>238</v>
      </c>
      <c r="D296" s="20" t="s">
        <v>1323</v>
      </c>
      <c r="E296" s="20" t="s">
        <v>251</v>
      </c>
      <c r="F296" s="6">
        <f>'Пр.3 Рд,пр, ЦС,ВР 21'!F333</f>
        <v>0</v>
      </c>
      <c r="G296" s="6">
        <f t="shared" si="23"/>
        <v>0</v>
      </c>
    </row>
    <row r="297" spans="1:7" ht="47.25" x14ac:dyDescent="0.25">
      <c r="A297" s="23" t="s">
        <v>1043</v>
      </c>
      <c r="B297" s="24" t="s">
        <v>150</v>
      </c>
      <c r="C297" s="24" t="s">
        <v>238</v>
      </c>
      <c r="D297" s="24" t="s">
        <v>1204</v>
      </c>
      <c r="E297" s="24"/>
      <c r="F297" s="59">
        <f t="shared" ref="F297:G299" si="24">F298</f>
        <v>260</v>
      </c>
      <c r="G297" s="59">
        <f t="shared" si="24"/>
        <v>260</v>
      </c>
    </row>
    <row r="298" spans="1:7" ht="126" x14ac:dyDescent="0.25">
      <c r="A298" s="25" t="s">
        <v>1517</v>
      </c>
      <c r="B298" s="20" t="s">
        <v>150</v>
      </c>
      <c r="C298" s="20" t="s">
        <v>238</v>
      </c>
      <c r="D298" s="20" t="s">
        <v>1205</v>
      </c>
      <c r="E298" s="20"/>
      <c r="F298" s="6">
        <f t="shared" si="24"/>
        <v>260</v>
      </c>
      <c r="G298" s="6">
        <f t="shared" si="24"/>
        <v>260</v>
      </c>
    </row>
    <row r="299" spans="1:7" ht="15.75" x14ac:dyDescent="0.25">
      <c r="A299" s="25" t="s">
        <v>135</v>
      </c>
      <c r="B299" s="20" t="s">
        <v>150</v>
      </c>
      <c r="C299" s="20" t="s">
        <v>238</v>
      </c>
      <c r="D299" s="20" t="s">
        <v>1205</v>
      </c>
      <c r="E299" s="20" t="s">
        <v>145</v>
      </c>
      <c r="F299" s="6">
        <f t="shared" si="24"/>
        <v>260</v>
      </c>
      <c r="G299" s="6">
        <f t="shared" si="24"/>
        <v>260</v>
      </c>
    </row>
    <row r="300" spans="1:7" ht="63" x14ac:dyDescent="0.25">
      <c r="A300" s="25" t="s">
        <v>184</v>
      </c>
      <c r="B300" s="20" t="s">
        <v>150</v>
      </c>
      <c r="C300" s="20" t="s">
        <v>238</v>
      </c>
      <c r="D300" s="20" t="s">
        <v>1205</v>
      </c>
      <c r="E300" s="20" t="s">
        <v>160</v>
      </c>
      <c r="F300" s="6">
        <f>'пр.4.1.ведом.22-23'!G284</f>
        <v>260</v>
      </c>
      <c r="G300" s="6">
        <f>'пр.4.1.ведом.22-23'!H284</f>
        <v>260</v>
      </c>
    </row>
    <row r="301" spans="1:7" ht="31.5" hidden="1" x14ac:dyDescent="0.25">
      <c r="A301" s="23" t="s">
        <v>995</v>
      </c>
      <c r="B301" s="24" t="s">
        <v>150</v>
      </c>
      <c r="C301" s="24" t="s">
        <v>238</v>
      </c>
      <c r="D301" s="24" t="s">
        <v>1315</v>
      </c>
      <c r="E301" s="24"/>
      <c r="F301" s="59">
        <f>F302</f>
        <v>0</v>
      </c>
      <c r="G301" s="59">
        <f>G302</f>
        <v>0</v>
      </c>
    </row>
    <row r="302" spans="1:7" ht="47.25" hidden="1" x14ac:dyDescent="0.25">
      <c r="A302" s="249" t="s">
        <v>1046</v>
      </c>
      <c r="B302" s="20" t="s">
        <v>150</v>
      </c>
      <c r="C302" s="20" t="s">
        <v>238</v>
      </c>
      <c r="D302" s="20" t="s">
        <v>1316</v>
      </c>
      <c r="E302" s="20"/>
      <c r="F302" s="6">
        <f>'Пр.3 Рд,пр, ЦС,ВР 21'!F339</f>
        <v>0</v>
      </c>
      <c r="G302" s="6">
        <f t="shared" si="23"/>
        <v>0</v>
      </c>
    </row>
    <row r="303" spans="1:7" ht="31.5" hidden="1" x14ac:dyDescent="0.25">
      <c r="A303" s="25" t="s">
        <v>131</v>
      </c>
      <c r="B303" s="20" t="s">
        <v>150</v>
      </c>
      <c r="C303" s="20" t="s">
        <v>238</v>
      </c>
      <c r="D303" s="20" t="s">
        <v>1316</v>
      </c>
      <c r="E303" s="20" t="s">
        <v>132</v>
      </c>
      <c r="F303" s="6">
        <f>'Пр.3 Рд,пр, ЦС,ВР 21'!F340</f>
        <v>0</v>
      </c>
      <c r="G303" s="6">
        <f t="shared" si="23"/>
        <v>0</v>
      </c>
    </row>
    <row r="304" spans="1:7" ht="47.25" hidden="1" x14ac:dyDescent="0.25">
      <c r="A304" s="25" t="s">
        <v>133</v>
      </c>
      <c r="B304" s="20" t="s">
        <v>150</v>
      </c>
      <c r="C304" s="20" t="s">
        <v>238</v>
      </c>
      <c r="D304" s="20" t="s">
        <v>1316</v>
      </c>
      <c r="E304" s="20" t="s">
        <v>134</v>
      </c>
      <c r="F304" s="6">
        <f>'Пр.3 Рд,пр, ЦС,ВР 21'!F341</f>
        <v>0</v>
      </c>
      <c r="G304" s="6">
        <f t="shared" si="23"/>
        <v>0</v>
      </c>
    </row>
    <row r="305" spans="1:9" s="203" customFormat="1" ht="47.25" hidden="1" x14ac:dyDescent="0.25">
      <c r="A305" s="211" t="s">
        <v>1106</v>
      </c>
      <c r="B305" s="24" t="s">
        <v>150</v>
      </c>
      <c r="C305" s="24" t="s">
        <v>238</v>
      </c>
      <c r="D305" s="24" t="s">
        <v>1206</v>
      </c>
      <c r="E305" s="24"/>
      <c r="F305" s="21">
        <f t="shared" ref="F305:G307" si="25">F306</f>
        <v>0</v>
      </c>
      <c r="G305" s="21">
        <f t="shared" si="25"/>
        <v>0</v>
      </c>
    </row>
    <row r="306" spans="1:9" s="203" customFormat="1" ht="31.5" hidden="1" x14ac:dyDescent="0.25">
      <c r="A306" s="230" t="s">
        <v>1107</v>
      </c>
      <c r="B306" s="20" t="s">
        <v>150</v>
      </c>
      <c r="C306" s="20" t="s">
        <v>238</v>
      </c>
      <c r="D306" s="20" t="s">
        <v>1207</v>
      </c>
      <c r="E306" s="20"/>
      <c r="F306" s="26">
        <f t="shared" si="25"/>
        <v>0</v>
      </c>
      <c r="G306" s="6">
        <f t="shared" si="25"/>
        <v>0</v>
      </c>
    </row>
    <row r="307" spans="1:9" s="203" customFormat="1" ht="31.5" hidden="1" x14ac:dyDescent="0.25">
      <c r="A307" s="25" t="s">
        <v>131</v>
      </c>
      <c r="B307" s="20" t="s">
        <v>150</v>
      </c>
      <c r="C307" s="20" t="s">
        <v>238</v>
      </c>
      <c r="D307" s="20" t="s">
        <v>1207</v>
      </c>
      <c r="E307" s="20" t="s">
        <v>132</v>
      </c>
      <c r="F307" s="26">
        <f t="shared" si="25"/>
        <v>0</v>
      </c>
      <c r="G307" s="6">
        <f t="shared" si="25"/>
        <v>0</v>
      </c>
    </row>
    <row r="308" spans="1:9" s="203" customFormat="1" ht="47.25" hidden="1" x14ac:dyDescent="0.25">
      <c r="A308" s="25" t="s">
        <v>133</v>
      </c>
      <c r="B308" s="20" t="s">
        <v>150</v>
      </c>
      <c r="C308" s="20" t="s">
        <v>238</v>
      </c>
      <c r="D308" s="20" t="s">
        <v>1207</v>
      </c>
      <c r="E308" s="20" t="s">
        <v>134</v>
      </c>
      <c r="F308" s="26">
        <f>'пр.4.1.ведом.22-23'!G292</f>
        <v>0</v>
      </c>
      <c r="G308" s="6">
        <f>'пр.4.1.ведом.22-23'!H292</f>
        <v>0</v>
      </c>
    </row>
    <row r="309" spans="1:9" ht="47.25" x14ac:dyDescent="0.25">
      <c r="A309" s="23" t="s">
        <v>1345</v>
      </c>
      <c r="B309" s="24" t="s">
        <v>150</v>
      </c>
      <c r="C309" s="24" t="s">
        <v>238</v>
      </c>
      <c r="D309" s="24" t="s">
        <v>156</v>
      </c>
      <c r="E309" s="24"/>
      <c r="F309" s="59">
        <f t="shared" ref="F309:G312" si="26">F310</f>
        <v>150</v>
      </c>
      <c r="G309" s="59">
        <f t="shared" si="26"/>
        <v>150</v>
      </c>
    </row>
    <row r="310" spans="1:9" ht="47.25" x14ac:dyDescent="0.25">
      <c r="A310" s="23" t="s">
        <v>1067</v>
      </c>
      <c r="B310" s="24" t="s">
        <v>150</v>
      </c>
      <c r="C310" s="24" t="s">
        <v>238</v>
      </c>
      <c r="D310" s="24" t="s">
        <v>1064</v>
      </c>
      <c r="E310" s="24"/>
      <c r="F310" s="59">
        <f t="shared" si="26"/>
        <v>150</v>
      </c>
      <c r="G310" s="59">
        <f t="shared" si="26"/>
        <v>150</v>
      </c>
    </row>
    <row r="311" spans="1:9" ht="31.5" x14ac:dyDescent="0.25">
      <c r="A311" s="25" t="s">
        <v>1068</v>
      </c>
      <c r="B311" s="20" t="s">
        <v>150</v>
      </c>
      <c r="C311" s="20" t="s">
        <v>238</v>
      </c>
      <c r="D311" s="20" t="s">
        <v>1065</v>
      </c>
      <c r="E311" s="20"/>
      <c r="F311" s="6">
        <f t="shared" si="26"/>
        <v>150</v>
      </c>
      <c r="G311" s="6">
        <f t="shared" si="26"/>
        <v>150</v>
      </c>
    </row>
    <row r="312" spans="1:9" ht="15.75" x14ac:dyDescent="0.25">
      <c r="A312" s="25" t="s">
        <v>135</v>
      </c>
      <c r="B312" s="20" t="s">
        <v>150</v>
      </c>
      <c r="C312" s="20" t="s">
        <v>238</v>
      </c>
      <c r="D312" s="20" t="s">
        <v>1065</v>
      </c>
      <c r="E312" s="20" t="s">
        <v>145</v>
      </c>
      <c r="F312" s="6">
        <f t="shared" si="26"/>
        <v>150</v>
      </c>
      <c r="G312" s="6">
        <f t="shared" si="26"/>
        <v>150</v>
      </c>
    </row>
    <row r="313" spans="1:9" ht="63" x14ac:dyDescent="0.25">
      <c r="A313" s="25" t="s">
        <v>184</v>
      </c>
      <c r="B313" s="20" t="s">
        <v>150</v>
      </c>
      <c r="C313" s="20" t="s">
        <v>238</v>
      </c>
      <c r="D313" s="20" t="s">
        <v>1065</v>
      </c>
      <c r="E313" s="20" t="s">
        <v>160</v>
      </c>
      <c r="F313" s="6">
        <f>'пр.4.1.ведом.22-23'!G217</f>
        <v>150</v>
      </c>
      <c r="G313" s="6">
        <f>'пр.4.1.ведом.22-23'!H217</f>
        <v>150</v>
      </c>
    </row>
    <row r="314" spans="1:9" ht="15.75" x14ac:dyDescent="0.25">
      <c r="A314" s="23" t="s">
        <v>390</v>
      </c>
      <c r="B314" s="24" t="s">
        <v>234</v>
      </c>
      <c r="C314" s="24"/>
      <c r="D314" s="24"/>
      <c r="E314" s="24"/>
      <c r="F314" s="4">
        <f>F315++F329+F393+F443</f>
        <v>39509</v>
      </c>
      <c r="G314" s="4">
        <f>G315++G329+G393+G443</f>
        <v>47933.850000000006</v>
      </c>
    </row>
    <row r="315" spans="1:9" ht="15.75" x14ac:dyDescent="0.25">
      <c r="A315" s="23" t="s">
        <v>391</v>
      </c>
      <c r="B315" s="24" t="s">
        <v>234</v>
      </c>
      <c r="C315" s="24" t="s">
        <v>118</v>
      </c>
      <c r="D315" s="24"/>
      <c r="E315" s="24"/>
      <c r="F315" s="4">
        <f t="shared" ref="F315:G316" si="27">F316</f>
        <v>6060.4</v>
      </c>
      <c r="G315" s="4">
        <f t="shared" si="27"/>
        <v>6060.4</v>
      </c>
      <c r="I315" s="22"/>
    </row>
    <row r="316" spans="1:9" ht="15.75" x14ac:dyDescent="0.25">
      <c r="A316" s="23" t="s">
        <v>141</v>
      </c>
      <c r="B316" s="24" t="s">
        <v>234</v>
      </c>
      <c r="C316" s="24" t="s">
        <v>118</v>
      </c>
      <c r="D316" s="24" t="s">
        <v>866</v>
      </c>
      <c r="E316" s="24"/>
      <c r="F316" s="4">
        <f t="shared" si="27"/>
        <v>6060.4</v>
      </c>
      <c r="G316" s="4">
        <f t="shared" si="27"/>
        <v>6060.4</v>
      </c>
    </row>
    <row r="317" spans="1:9" ht="31.5" x14ac:dyDescent="0.25">
      <c r="A317" s="23" t="s">
        <v>870</v>
      </c>
      <c r="B317" s="24" t="s">
        <v>234</v>
      </c>
      <c r="C317" s="24" t="s">
        <v>118</v>
      </c>
      <c r="D317" s="24" t="s">
        <v>865</v>
      </c>
      <c r="E317" s="24"/>
      <c r="F317" s="4">
        <f>F318+F323+F326</f>
        <v>6060.4</v>
      </c>
      <c r="G317" s="4">
        <f>G318+G323+G326</f>
        <v>6060.4</v>
      </c>
    </row>
    <row r="318" spans="1:9" ht="15.75" hidden="1" x14ac:dyDescent="0.25">
      <c r="A318" s="25" t="s">
        <v>515</v>
      </c>
      <c r="B318" s="20" t="s">
        <v>774</v>
      </c>
      <c r="C318" s="20" t="s">
        <v>118</v>
      </c>
      <c r="D318" s="20" t="s">
        <v>960</v>
      </c>
      <c r="E318" s="24"/>
      <c r="F318" s="6">
        <f>F319</f>
        <v>0</v>
      </c>
      <c r="G318" s="6">
        <f t="shared" si="23"/>
        <v>0</v>
      </c>
    </row>
    <row r="319" spans="1:9" ht="31.5" hidden="1" x14ac:dyDescent="0.25">
      <c r="A319" s="25" t="s">
        <v>131</v>
      </c>
      <c r="B319" s="20" t="s">
        <v>234</v>
      </c>
      <c r="C319" s="20" t="s">
        <v>118</v>
      </c>
      <c r="D319" s="20" t="s">
        <v>960</v>
      </c>
      <c r="E319" s="20" t="s">
        <v>132</v>
      </c>
      <c r="F319" s="6">
        <f>F320</f>
        <v>0</v>
      </c>
      <c r="G319" s="6">
        <f t="shared" si="23"/>
        <v>0</v>
      </c>
    </row>
    <row r="320" spans="1:9" ht="47.25" hidden="1" x14ac:dyDescent="0.25">
      <c r="A320" s="25" t="s">
        <v>133</v>
      </c>
      <c r="B320" s="20" t="s">
        <v>234</v>
      </c>
      <c r="C320" s="20" t="s">
        <v>118</v>
      </c>
      <c r="D320" s="20" t="s">
        <v>960</v>
      </c>
      <c r="E320" s="20" t="s">
        <v>134</v>
      </c>
      <c r="F320" s="6">
        <f>F321</f>
        <v>0</v>
      </c>
      <c r="G320" s="6">
        <f t="shared" si="23"/>
        <v>0</v>
      </c>
    </row>
    <row r="321" spans="1:7" ht="15.75" hidden="1" x14ac:dyDescent="0.25">
      <c r="A321" s="25" t="s">
        <v>135</v>
      </c>
      <c r="B321" s="20" t="s">
        <v>234</v>
      </c>
      <c r="C321" s="20" t="s">
        <v>118</v>
      </c>
      <c r="D321" s="20" t="s">
        <v>960</v>
      </c>
      <c r="E321" s="20" t="s">
        <v>145</v>
      </c>
      <c r="F321" s="6">
        <f>'Пр.3 Рд,пр, ЦС,ВР 21'!F358</f>
        <v>0</v>
      </c>
      <c r="G321" s="6">
        <f t="shared" si="23"/>
        <v>0</v>
      </c>
    </row>
    <row r="322" spans="1:7" ht="63" hidden="1" x14ac:dyDescent="0.25">
      <c r="A322" s="25" t="s">
        <v>184</v>
      </c>
      <c r="B322" s="20" t="s">
        <v>234</v>
      </c>
      <c r="C322" s="20" t="s">
        <v>118</v>
      </c>
      <c r="D322" s="20" t="s">
        <v>960</v>
      </c>
      <c r="E322" s="20" t="s">
        <v>160</v>
      </c>
      <c r="F322" s="6">
        <f>'Пр.3 Рд,пр, ЦС,ВР 21'!F359</f>
        <v>0</v>
      </c>
      <c r="G322" s="6">
        <f t="shared" si="23"/>
        <v>0</v>
      </c>
    </row>
    <row r="323" spans="1:7" ht="31.5" x14ac:dyDescent="0.25">
      <c r="A323" s="29" t="s">
        <v>398</v>
      </c>
      <c r="B323" s="20" t="s">
        <v>234</v>
      </c>
      <c r="C323" s="20" t="s">
        <v>118</v>
      </c>
      <c r="D323" s="20" t="s">
        <v>961</v>
      </c>
      <c r="E323" s="24"/>
      <c r="F323" s="6">
        <f>F324</f>
        <v>4920.3999999999996</v>
      </c>
      <c r="G323" s="6">
        <f>G324</f>
        <v>4920.3999999999996</v>
      </c>
    </row>
    <row r="324" spans="1:7" ht="31.5" x14ac:dyDescent="0.25">
      <c r="A324" s="25" t="s">
        <v>131</v>
      </c>
      <c r="B324" s="20" t="s">
        <v>234</v>
      </c>
      <c r="C324" s="20" t="s">
        <v>118</v>
      </c>
      <c r="D324" s="20" t="s">
        <v>961</v>
      </c>
      <c r="E324" s="20" t="s">
        <v>132</v>
      </c>
      <c r="F324" s="6">
        <f>F325</f>
        <v>4920.3999999999996</v>
      </c>
      <c r="G324" s="6">
        <f>G325</f>
        <v>4920.3999999999996</v>
      </c>
    </row>
    <row r="325" spans="1:7" ht="47.25" x14ac:dyDescent="0.25">
      <c r="A325" s="25" t="s">
        <v>133</v>
      </c>
      <c r="B325" s="20" t="s">
        <v>234</v>
      </c>
      <c r="C325" s="20" t="s">
        <v>118</v>
      </c>
      <c r="D325" s="20" t="s">
        <v>961</v>
      </c>
      <c r="E325" s="20" t="s">
        <v>134</v>
      </c>
      <c r="F325" s="6">
        <f>'пр.4.1.ведом.22-23'!G885+'пр.4.1.ведом.22-23'!G527</f>
        <v>4920.3999999999996</v>
      </c>
      <c r="G325" s="6">
        <f>'пр.4.1.ведом.22-23'!H885+'пр.4.1.ведом.22-23'!H527</f>
        <v>4920.3999999999996</v>
      </c>
    </row>
    <row r="326" spans="1:7" ht="47.25" x14ac:dyDescent="0.25">
      <c r="A326" s="29" t="s">
        <v>932</v>
      </c>
      <c r="B326" s="20" t="s">
        <v>234</v>
      </c>
      <c r="C326" s="20" t="s">
        <v>118</v>
      </c>
      <c r="D326" s="20" t="s">
        <v>962</v>
      </c>
      <c r="E326" s="24"/>
      <c r="F326" s="6">
        <f>F327</f>
        <v>1140</v>
      </c>
      <c r="G326" s="6">
        <f>G327</f>
        <v>1140</v>
      </c>
    </row>
    <row r="327" spans="1:7" ht="31.5" x14ac:dyDescent="0.25">
      <c r="A327" s="25" t="s">
        <v>131</v>
      </c>
      <c r="B327" s="20" t="s">
        <v>234</v>
      </c>
      <c r="C327" s="20" t="s">
        <v>118</v>
      </c>
      <c r="D327" s="20" t="s">
        <v>962</v>
      </c>
      <c r="E327" s="20" t="s">
        <v>132</v>
      </c>
      <c r="F327" s="6">
        <f>F328</f>
        <v>1140</v>
      </c>
      <c r="G327" s="6">
        <f>G328</f>
        <v>1140</v>
      </c>
    </row>
    <row r="328" spans="1:7" ht="47.25" x14ac:dyDescent="0.25">
      <c r="A328" s="25" t="s">
        <v>133</v>
      </c>
      <c r="B328" s="20" t="s">
        <v>234</v>
      </c>
      <c r="C328" s="20" t="s">
        <v>118</v>
      </c>
      <c r="D328" s="20" t="s">
        <v>962</v>
      </c>
      <c r="E328" s="20" t="s">
        <v>134</v>
      </c>
      <c r="F328" s="6">
        <f>'пр.4.1.ведом.22-23'!G530+'пр.4.1.ведом.22-23'!G888</f>
        <v>1140</v>
      </c>
      <c r="G328" s="6">
        <f>'пр.4.1.ведом.22-23'!H530+'пр.4.1.ведом.22-23'!H888</f>
        <v>1140</v>
      </c>
    </row>
    <row r="329" spans="1:7" ht="15.75" x14ac:dyDescent="0.25">
      <c r="A329" s="23" t="s">
        <v>517</v>
      </c>
      <c r="B329" s="24" t="s">
        <v>234</v>
      </c>
      <c r="C329" s="24" t="s">
        <v>213</v>
      </c>
      <c r="D329" s="24"/>
      <c r="E329" s="24"/>
      <c r="F329" s="4">
        <f>F359+F330+F388</f>
        <v>4334.0999999999985</v>
      </c>
      <c r="G329" s="4">
        <f>G359+G330+G388</f>
        <v>12505.950000000003</v>
      </c>
    </row>
    <row r="330" spans="1:7" ht="15.75" x14ac:dyDescent="0.25">
      <c r="A330" s="23" t="s">
        <v>141</v>
      </c>
      <c r="B330" s="24" t="s">
        <v>234</v>
      </c>
      <c r="C330" s="24" t="s">
        <v>213</v>
      </c>
      <c r="D330" s="24" t="s">
        <v>866</v>
      </c>
      <c r="E330" s="24"/>
      <c r="F330" s="4">
        <f>F331+F342</f>
        <v>3430.0999999999981</v>
      </c>
      <c r="G330" s="4">
        <f>G331+G342</f>
        <v>11590.950000000003</v>
      </c>
    </row>
    <row r="331" spans="1:7" ht="31.5" x14ac:dyDescent="0.25">
      <c r="A331" s="23" t="s">
        <v>870</v>
      </c>
      <c r="B331" s="24" t="s">
        <v>234</v>
      </c>
      <c r="C331" s="24" t="s">
        <v>213</v>
      </c>
      <c r="D331" s="24" t="s">
        <v>865</v>
      </c>
      <c r="E331" s="24"/>
      <c r="F331" s="4">
        <f>F332+F337</f>
        <v>3430.0999999999981</v>
      </c>
      <c r="G331" s="4">
        <f>G332+G337</f>
        <v>11590.950000000003</v>
      </c>
    </row>
    <row r="332" spans="1:7" ht="31.5" hidden="1" x14ac:dyDescent="0.25">
      <c r="A332" s="35" t="s">
        <v>537</v>
      </c>
      <c r="B332" s="20" t="s">
        <v>234</v>
      </c>
      <c r="C332" s="20" t="s">
        <v>213</v>
      </c>
      <c r="D332" s="20" t="s">
        <v>979</v>
      </c>
      <c r="E332" s="20"/>
      <c r="F332" s="6">
        <f>F333+F335</f>
        <v>0</v>
      </c>
      <c r="G332" s="6">
        <f t="shared" si="23"/>
        <v>0</v>
      </c>
    </row>
    <row r="333" spans="1:7" ht="31.5" hidden="1" x14ac:dyDescent="0.25">
      <c r="A333" s="25" t="s">
        <v>131</v>
      </c>
      <c r="B333" s="20" t="s">
        <v>234</v>
      </c>
      <c r="C333" s="20" t="s">
        <v>213</v>
      </c>
      <c r="D333" s="20" t="s">
        <v>979</v>
      </c>
      <c r="E333" s="20" t="s">
        <v>132</v>
      </c>
      <c r="F333" s="6">
        <f>F334</f>
        <v>0</v>
      </c>
      <c r="G333" s="6">
        <f t="shared" si="23"/>
        <v>0</v>
      </c>
    </row>
    <row r="334" spans="1:7" ht="47.25" hidden="1" x14ac:dyDescent="0.25">
      <c r="A334" s="25" t="s">
        <v>133</v>
      </c>
      <c r="B334" s="20" t="s">
        <v>234</v>
      </c>
      <c r="C334" s="20" t="s">
        <v>213</v>
      </c>
      <c r="D334" s="20" t="s">
        <v>979</v>
      </c>
      <c r="E334" s="20" t="s">
        <v>134</v>
      </c>
      <c r="F334" s="6">
        <f>'пр.4.1.ведом.22-23'!G894</f>
        <v>0</v>
      </c>
      <c r="G334" s="6">
        <f t="shared" si="23"/>
        <v>0</v>
      </c>
    </row>
    <row r="335" spans="1:7" ht="15.75" hidden="1" x14ac:dyDescent="0.25">
      <c r="A335" s="25" t="s">
        <v>135</v>
      </c>
      <c r="B335" s="20" t="s">
        <v>234</v>
      </c>
      <c r="C335" s="20" t="s">
        <v>213</v>
      </c>
      <c r="D335" s="20" t="s">
        <v>979</v>
      </c>
      <c r="E335" s="20" t="s">
        <v>145</v>
      </c>
      <c r="F335" s="6">
        <f>F336</f>
        <v>0</v>
      </c>
      <c r="G335" s="6">
        <f t="shared" si="23"/>
        <v>0</v>
      </c>
    </row>
    <row r="336" spans="1:7" ht="63" hidden="1" x14ac:dyDescent="0.25">
      <c r="A336" s="25" t="s">
        <v>184</v>
      </c>
      <c r="B336" s="20" t="s">
        <v>234</v>
      </c>
      <c r="C336" s="20" t="s">
        <v>213</v>
      </c>
      <c r="D336" s="20" t="s">
        <v>979</v>
      </c>
      <c r="E336" s="20" t="s">
        <v>160</v>
      </c>
      <c r="F336" s="6">
        <f>'пр.4.1.ведом.22-23'!G896</f>
        <v>0</v>
      </c>
      <c r="G336" s="6">
        <f t="shared" si="23"/>
        <v>0</v>
      </c>
    </row>
    <row r="337" spans="1:10" ht="47.25" x14ac:dyDescent="0.25">
      <c r="A337" s="29" t="s">
        <v>932</v>
      </c>
      <c r="B337" s="20" t="s">
        <v>234</v>
      </c>
      <c r="C337" s="20" t="s">
        <v>213</v>
      </c>
      <c r="D337" s="20" t="s">
        <v>962</v>
      </c>
      <c r="E337" s="20"/>
      <c r="F337" s="6">
        <f>F338</f>
        <v>3430.0999999999981</v>
      </c>
      <c r="G337" s="6">
        <f>G338</f>
        <v>11590.950000000003</v>
      </c>
    </row>
    <row r="338" spans="1:10" ht="31.5" x14ac:dyDescent="0.25">
      <c r="A338" s="25" t="s">
        <v>131</v>
      </c>
      <c r="B338" s="20" t="s">
        <v>234</v>
      </c>
      <c r="C338" s="20" t="s">
        <v>213</v>
      </c>
      <c r="D338" s="20" t="s">
        <v>962</v>
      </c>
      <c r="E338" s="20" t="s">
        <v>132</v>
      </c>
      <c r="F338" s="6">
        <f>F339</f>
        <v>3430.0999999999981</v>
      </c>
      <c r="G338" s="6">
        <f>G339</f>
        <v>11590.950000000003</v>
      </c>
    </row>
    <row r="339" spans="1:10" ht="47.25" x14ac:dyDescent="0.25">
      <c r="A339" s="25" t="s">
        <v>133</v>
      </c>
      <c r="B339" s="20" t="s">
        <v>234</v>
      </c>
      <c r="C339" s="20" t="s">
        <v>213</v>
      </c>
      <c r="D339" s="20" t="s">
        <v>962</v>
      </c>
      <c r="E339" s="20" t="s">
        <v>134</v>
      </c>
      <c r="F339" s="6">
        <f>'пр.4.1.ведом.22-23'!G899</f>
        <v>3430.0999999999981</v>
      </c>
      <c r="G339" s="459">
        <f>'пр.4.1.ведом.22-23'!H899</f>
        <v>11590.950000000003</v>
      </c>
      <c r="H339" s="459">
        <f>'пр.4.1.ведом.22-23'!I899</f>
        <v>0</v>
      </c>
      <c r="I339" s="459">
        <f>'пр.4.1.ведом.22-23'!J899</f>
        <v>0</v>
      </c>
      <c r="J339" s="459">
        <f>'пр.4.1.ведом.22-23'!K899</f>
        <v>0</v>
      </c>
    </row>
    <row r="340" spans="1:10" ht="15.75" x14ac:dyDescent="0.25">
      <c r="A340" s="25" t="s">
        <v>135</v>
      </c>
      <c r="B340" s="20" t="s">
        <v>234</v>
      </c>
      <c r="C340" s="20" t="s">
        <v>213</v>
      </c>
      <c r="D340" s="20" t="s">
        <v>962</v>
      </c>
      <c r="E340" s="20" t="s">
        <v>145</v>
      </c>
      <c r="F340" s="6">
        <f>'Пр.3 Рд,пр, ЦС,ВР 21'!F381</f>
        <v>50</v>
      </c>
      <c r="G340" s="6">
        <f t="shared" si="23"/>
        <v>50</v>
      </c>
    </row>
    <row r="341" spans="1:10" ht="15.75" x14ac:dyDescent="0.25">
      <c r="A341" s="25" t="s">
        <v>146</v>
      </c>
      <c r="B341" s="20" t="s">
        <v>234</v>
      </c>
      <c r="C341" s="20" t="s">
        <v>213</v>
      </c>
      <c r="D341" s="20" t="s">
        <v>962</v>
      </c>
      <c r="E341" s="20" t="s">
        <v>147</v>
      </c>
      <c r="F341" s="6">
        <f>'Пр.3 Рд,пр, ЦС,ВР 21'!F382</f>
        <v>50</v>
      </c>
      <c r="G341" s="6">
        <f t="shared" si="23"/>
        <v>50</v>
      </c>
    </row>
    <row r="342" spans="1:10" ht="63" hidden="1" x14ac:dyDescent="0.25">
      <c r="A342" s="23" t="s">
        <v>1013</v>
      </c>
      <c r="B342" s="24" t="s">
        <v>234</v>
      </c>
      <c r="C342" s="24" t="s">
        <v>213</v>
      </c>
      <c r="D342" s="24" t="s">
        <v>980</v>
      </c>
      <c r="E342" s="24"/>
      <c r="F342" s="4">
        <f>F343+F348+F351+F356</f>
        <v>0</v>
      </c>
      <c r="G342" s="4">
        <f>G343+G348+G351+G356</f>
        <v>0</v>
      </c>
    </row>
    <row r="343" spans="1:10" ht="47.25" hidden="1" x14ac:dyDescent="0.25">
      <c r="A343" s="25" t="s">
        <v>827</v>
      </c>
      <c r="B343" s="20" t="s">
        <v>234</v>
      </c>
      <c r="C343" s="20" t="s">
        <v>213</v>
      </c>
      <c r="D343" s="20" t="s">
        <v>981</v>
      </c>
      <c r="E343" s="20"/>
      <c r="F343" s="6">
        <f>F344</f>
        <v>0</v>
      </c>
      <c r="G343" s="6">
        <f t="shared" ref="G343:G387" si="28">F343</f>
        <v>0</v>
      </c>
    </row>
    <row r="344" spans="1:10" ht="31.5" hidden="1" x14ac:dyDescent="0.25">
      <c r="A344" s="25" t="s">
        <v>131</v>
      </c>
      <c r="B344" s="20" t="s">
        <v>234</v>
      </c>
      <c r="C344" s="20" t="s">
        <v>213</v>
      </c>
      <c r="D344" s="20" t="s">
        <v>981</v>
      </c>
      <c r="E344" s="20" t="s">
        <v>132</v>
      </c>
      <c r="F344" s="6">
        <f>F345</f>
        <v>0</v>
      </c>
      <c r="G344" s="6">
        <f t="shared" si="28"/>
        <v>0</v>
      </c>
    </row>
    <row r="345" spans="1:10" ht="47.25" hidden="1" x14ac:dyDescent="0.25">
      <c r="A345" s="25" t="s">
        <v>133</v>
      </c>
      <c r="B345" s="20" t="s">
        <v>234</v>
      </c>
      <c r="C345" s="20" t="s">
        <v>213</v>
      </c>
      <c r="D345" s="20" t="s">
        <v>981</v>
      </c>
      <c r="E345" s="20" t="s">
        <v>134</v>
      </c>
      <c r="F345" s="6">
        <v>0</v>
      </c>
      <c r="G345" s="6">
        <f t="shared" si="28"/>
        <v>0</v>
      </c>
    </row>
    <row r="346" spans="1:10" ht="15.75" hidden="1" x14ac:dyDescent="0.25">
      <c r="A346" s="25" t="s">
        <v>135</v>
      </c>
      <c r="B346" s="20" t="s">
        <v>234</v>
      </c>
      <c r="C346" s="20" t="s">
        <v>213</v>
      </c>
      <c r="D346" s="20" t="s">
        <v>981</v>
      </c>
      <c r="E346" s="20" t="s">
        <v>837</v>
      </c>
      <c r="F346" s="6">
        <f>'Пр.3 Рд,пр, ЦС,ВР 21'!F387</f>
        <v>0</v>
      </c>
      <c r="G346" s="6">
        <f t="shared" si="28"/>
        <v>0</v>
      </c>
    </row>
    <row r="347" spans="1:10" ht="15.75" hidden="1" x14ac:dyDescent="0.25">
      <c r="A347" s="25" t="s">
        <v>568</v>
      </c>
      <c r="B347" s="20" t="s">
        <v>234</v>
      </c>
      <c r="C347" s="20" t="s">
        <v>213</v>
      </c>
      <c r="D347" s="20" t="s">
        <v>981</v>
      </c>
      <c r="E347" s="20" t="s">
        <v>1070</v>
      </c>
      <c r="F347" s="6">
        <f>'Пр.3 Рд,пр, ЦС,ВР 21'!F388</f>
        <v>0</v>
      </c>
      <c r="G347" s="6">
        <f t="shared" si="28"/>
        <v>0</v>
      </c>
    </row>
    <row r="348" spans="1:10" ht="63" hidden="1" x14ac:dyDescent="0.25">
      <c r="A348" s="25" t="s">
        <v>793</v>
      </c>
      <c r="B348" s="20" t="s">
        <v>234</v>
      </c>
      <c r="C348" s="20" t="s">
        <v>213</v>
      </c>
      <c r="D348" s="20" t="s">
        <v>982</v>
      </c>
      <c r="E348" s="20"/>
      <c r="F348" s="6">
        <f>'Пр.3 Рд,пр, ЦС,ВР 21'!F389</f>
        <v>0</v>
      </c>
      <c r="G348" s="6">
        <f t="shared" si="28"/>
        <v>0</v>
      </c>
    </row>
    <row r="349" spans="1:10" ht="31.5" hidden="1" x14ac:dyDescent="0.25">
      <c r="A349" s="25" t="s">
        <v>131</v>
      </c>
      <c r="B349" s="20" t="s">
        <v>234</v>
      </c>
      <c r="C349" s="20" t="s">
        <v>213</v>
      </c>
      <c r="D349" s="20" t="s">
        <v>982</v>
      </c>
      <c r="E349" s="20" t="s">
        <v>132</v>
      </c>
      <c r="F349" s="6">
        <f>'Пр.3 Рд,пр, ЦС,ВР 21'!F390</f>
        <v>0</v>
      </c>
      <c r="G349" s="6">
        <f t="shared" si="28"/>
        <v>0</v>
      </c>
    </row>
    <row r="350" spans="1:10" ht="47.25" hidden="1" x14ac:dyDescent="0.25">
      <c r="A350" s="25" t="s">
        <v>133</v>
      </c>
      <c r="B350" s="20" t="s">
        <v>234</v>
      </c>
      <c r="C350" s="20" t="s">
        <v>213</v>
      </c>
      <c r="D350" s="20" t="s">
        <v>982</v>
      </c>
      <c r="E350" s="20" t="s">
        <v>134</v>
      </c>
      <c r="F350" s="6">
        <f>'Пр.3 Рд,пр, ЦС,ВР 21'!F391</f>
        <v>0</v>
      </c>
      <c r="G350" s="6">
        <f t="shared" si="28"/>
        <v>0</v>
      </c>
    </row>
    <row r="351" spans="1:10" ht="47.25" hidden="1" x14ac:dyDescent="0.25">
      <c r="A351" s="97" t="s">
        <v>833</v>
      </c>
      <c r="B351" s="20" t="s">
        <v>234</v>
      </c>
      <c r="C351" s="20" t="s">
        <v>213</v>
      </c>
      <c r="D351" s="20" t="s">
        <v>983</v>
      </c>
      <c r="E351" s="20"/>
      <c r="F351" s="6">
        <f>'Пр.3 Рд,пр, ЦС,ВР 21'!F392</f>
        <v>0</v>
      </c>
      <c r="G351" s="6">
        <f t="shared" si="28"/>
        <v>0</v>
      </c>
    </row>
    <row r="352" spans="1:10" ht="47.25" hidden="1" x14ac:dyDescent="0.25">
      <c r="A352" s="25" t="s">
        <v>838</v>
      </c>
      <c r="B352" s="20" t="s">
        <v>234</v>
      </c>
      <c r="C352" s="20" t="s">
        <v>213</v>
      </c>
      <c r="D352" s="20" t="s">
        <v>983</v>
      </c>
      <c r="E352" s="20" t="s">
        <v>837</v>
      </c>
      <c r="F352" s="6">
        <f>'Пр.3 Рд,пр, ЦС,ВР 21'!F393</f>
        <v>0</v>
      </c>
      <c r="G352" s="6">
        <f t="shared" si="28"/>
        <v>0</v>
      </c>
    </row>
    <row r="353" spans="1:7" ht="63" hidden="1" x14ac:dyDescent="0.25">
      <c r="A353" s="25" t="s">
        <v>1051</v>
      </c>
      <c r="B353" s="20" t="s">
        <v>234</v>
      </c>
      <c r="C353" s="20" t="s">
        <v>213</v>
      </c>
      <c r="D353" s="20" t="s">
        <v>983</v>
      </c>
      <c r="E353" s="20" t="s">
        <v>1070</v>
      </c>
      <c r="F353" s="6">
        <f>'Пр.3 Рд,пр, ЦС,ВР 21'!F394</f>
        <v>0</v>
      </c>
      <c r="G353" s="6">
        <f t="shared" si="28"/>
        <v>0</v>
      </c>
    </row>
    <row r="354" spans="1:7" ht="15.75" hidden="1" x14ac:dyDescent="0.25">
      <c r="A354" s="25" t="s">
        <v>135</v>
      </c>
      <c r="B354" s="20" t="s">
        <v>234</v>
      </c>
      <c r="C354" s="20" t="s">
        <v>213</v>
      </c>
      <c r="D354" s="20" t="s">
        <v>983</v>
      </c>
      <c r="E354" s="20" t="s">
        <v>145</v>
      </c>
      <c r="F354" s="6">
        <f>'Пр.3 Рд,пр, ЦС,ВР 21'!F395</f>
        <v>0</v>
      </c>
      <c r="G354" s="6">
        <f t="shared" si="28"/>
        <v>0</v>
      </c>
    </row>
    <row r="355" spans="1:7" ht="15.75" hidden="1" x14ac:dyDescent="0.25">
      <c r="A355" s="25" t="s">
        <v>704</v>
      </c>
      <c r="B355" s="20" t="s">
        <v>234</v>
      </c>
      <c r="C355" s="20" t="s">
        <v>213</v>
      </c>
      <c r="D355" s="20" t="s">
        <v>983</v>
      </c>
      <c r="E355" s="20" t="s">
        <v>138</v>
      </c>
      <c r="F355" s="6">
        <f>'Пр.3 Рд,пр, ЦС,ВР 21'!F396</f>
        <v>0</v>
      </c>
      <c r="G355" s="6">
        <f t="shared" si="28"/>
        <v>0</v>
      </c>
    </row>
    <row r="356" spans="1:7" ht="31.5" hidden="1" x14ac:dyDescent="0.25">
      <c r="A356" s="25" t="s">
        <v>1071</v>
      </c>
      <c r="B356" s="20" t="s">
        <v>234</v>
      </c>
      <c r="C356" s="20" t="s">
        <v>213</v>
      </c>
      <c r="D356" s="20" t="s">
        <v>1072</v>
      </c>
      <c r="E356" s="20"/>
      <c r="F356" s="6">
        <f>'Пр.3 Рд,пр, ЦС,ВР 21'!F397</f>
        <v>0</v>
      </c>
      <c r="G356" s="6">
        <f t="shared" si="28"/>
        <v>0</v>
      </c>
    </row>
    <row r="357" spans="1:7" ht="31.5" hidden="1" x14ac:dyDescent="0.25">
      <c r="A357" s="25" t="s">
        <v>131</v>
      </c>
      <c r="B357" s="20" t="s">
        <v>234</v>
      </c>
      <c r="C357" s="20" t="s">
        <v>213</v>
      </c>
      <c r="D357" s="20" t="s">
        <v>1072</v>
      </c>
      <c r="E357" s="20" t="s">
        <v>132</v>
      </c>
      <c r="F357" s="6">
        <f>'Пр.3 Рд,пр, ЦС,ВР 21'!F398</f>
        <v>0</v>
      </c>
      <c r="G357" s="6">
        <f t="shared" si="28"/>
        <v>0</v>
      </c>
    </row>
    <row r="358" spans="1:7" ht="47.25" hidden="1" x14ac:dyDescent="0.25">
      <c r="A358" s="25" t="s">
        <v>133</v>
      </c>
      <c r="B358" s="20" t="s">
        <v>234</v>
      </c>
      <c r="C358" s="20" t="s">
        <v>213</v>
      </c>
      <c r="D358" s="20" t="s">
        <v>1072</v>
      </c>
      <c r="E358" s="20" t="s">
        <v>134</v>
      </c>
      <c r="F358" s="6">
        <f>'Пр.3 Рд,пр, ЦС,ВР 21'!F399</f>
        <v>0</v>
      </c>
      <c r="G358" s="6">
        <f t="shared" si="28"/>
        <v>0</v>
      </c>
    </row>
    <row r="359" spans="1:7" ht="63" x14ac:dyDescent="0.25">
      <c r="A359" s="23" t="s">
        <v>1544</v>
      </c>
      <c r="B359" s="24" t="s">
        <v>234</v>
      </c>
      <c r="C359" s="24" t="s">
        <v>213</v>
      </c>
      <c r="D359" s="24" t="s">
        <v>518</v>
      </c>
      <c r="E359" s="24"/>
      <c r="F359" s="4">
        <f>F360+F364+F368+F372+F376+F380+F384</f>
        <v>700</v>
      </c>
      <c r="G359" s="4">
        <f>G360+G364+G368+G372+G376+G380+G384</f>
        <v>700</v>
      </c>
    </row>
    <row r="360" spans="1:7" ht="31.5" x14ac:dyDescent="0.25">
      <c r="A360" s="23" t="s">
        <v>963</v>
      </c>
      <c r="B360" s="24" t="s">
        <v>234</v>
      </c>
      <c r="C360" s="24" t="s">
        <v>213</v>
      </c>
      <c r="D360" s="24" t="s">
        <v>965</v>
      </c>
      <c r="E360" s="24"/>
      <c r="F360" s="4">
        <f t="shared" ref="F360:G362" si="29">F361</f>
        <v>700</v>
      </c>
      <c r="G360" s="4">
        <f t="shared" si="29"/>
        <v>700</v>
      </c>
    </row>
    <row r="361" spans="1:7" ht="15.75" x14ac:dyDescent="0.25">
      <c r="A361" s="45" t="s">
        <v>964</v>
      </c>
      <c r="B361" s="40" t="s">
        <v>234</v>
      </c>
      <c r="C361" s="40" t="s">
        <v>213</v>
      </c>
      <c r="D361" s="20" t="s">
        <v>966</v>
      </c>
      <c r="E361" s="40"/>
      <c r="F361" s="6">
        <f t="shared" si="29"/>
        <v>700</v>
      </c>
      <c r="G361" s="6">
        <f t="shared" si="29"/>
        <v>700</v>
      </c>
    </row>
    <row r="362" spans="1:7" ht="31.5" x14ac:dyDescent="0.25">
      <c r="A362" s="31" t="s">
        <v>131</v>
      </c>
      <c r="B362" s="40" t="s">
        <v>234</v>
      </c>
      <c r="C362" s="40" t="s">
        <v>213</v>
      </c>
      <c r="D362" s="20" t="s">
        <v>966</v>
      </c>
      <c r="E362" s="40" t="s">
        <v>132</v>
      </c>
      <c r="F362" s="6">
        <f t="shared" si="29"/>
        <v>700</v>
      </c>
      <c r="G362" s="6">
        <f t="shared" si="29"/>
        <v>700</v>
      </c>
    </row>
    <row r="363" spans="1:7" ht="47.25" x14ac:dyDescent="0.25">
      <c r="A363" s="31" t="s">
        <v>133</v>
      </c>
      <c r="B363" s="40" t="s">
        <v>234</v>
      </c>
      <c r="C363" s="40" t="s">
        <v>213</v>
      </c>
      <c r="D363" s="20" t="s">
        <v>966</v>
      </c>
      <c r="E363" s="40" t="s">
        <v>134</v>
      </c>
      <c r="F363" s="6">
        <f>'пр.4.1.ведом.22-23'!G923</f>
        <v>700</v>
      </c>
      <c r="G363" s="6">
        <f>'пр.4.1.ведом.22-23'!H923</f>
        <v>700</v>
      </c>
    </row>
    <row r="364" spans="1:7" ht="31.5" hidden="1" x14ac:dyDescent="0.25">
      <c r="A364" s="34" t="s">
        <v>967</v>
      </c>
      <c r="B364" s="7" t="s">
        <v>234</v>
      </c>
      <c r="C364" s="7" t="s">
        <v>213</v>
      </c>
      <c r="D364" s="24" t="s">
        <v>968</v>
      </c>
      <c r="E364" s="7"/>
      <c r="F364" s="4">
        <f>F365</f>
        <v>0</v>
      </c>
      <c r="G364" s="4">
        <f>G365</f>
        <v>0</v>
      </c>
    </row>
    <row r="365" spans="1:7" ht="15.75" hidden="1" x14ac:dyDescent="0.25">
      <c r="A365" s="45" t="s">
        <v>523</v>
      </c>
      <c r="B365" s="40" t="s">
        <v>234</v>
      </c>
      <c r="C365" s="40" t="s">
        <v>213</v>
      </c>
      <c r="D365" s="20" t="s">
        <v>971</v>
      </c>
      <c r="E365" s="40"/>
      <c r="F365" s="6">
        <f>F366</f>
        <v>0</v>
      </c>
      <c r="G365" s="6">
        <f t="shared" si="28"/>
        <v>0</v>
      </c>
    </row>
    <row r="366" spans="1:7" ht="31.5" hidden="1" x14ac:dyDescent="0.25">
      <c r="A366" s="31" t="s">
        <v>131</v>
      </c>
      <c r="B366" s="40" t="s">
        <v>234</v>
      </c>
      <c r="C366" s="40" t="s">
        <v>213</v>
      </c>
      <c r="D366" s="20" t="s">
        <v>971</v>
      </c>
      <c r="E366" s="40" t="s">
        <v>132</v>
      </c>
      <c r="F366" s="6">
        <f>F367</f>
        <v>0</v>
      </c>
      <c r="G366" s="6">
        <f t="shared" si="28"/>
        <v>0</v>
      </c>
    </row>
    <row r="367" spans="1:7" ht="47.25" hidden="1" x14ac:dyDescent="0.25">
      <c r="A367" s="31" t="s">
        <v>133</v>
      </c>
      <c r="B367" s="40" t="s">
        <v>234</v>
      </c>
      <c r="C367" s="40" t="s">
        <v>213</v>
      </c>
      <c r="D367" s="20" t="s">
        <v>971</v>
      </c>
      <c r="E367" s="40" t="s">
        <v>134</v>
      </c>
      <c r="F367" s="6">
        <v>0</v>
      </c>
      <c r="G367" s="6">
        <f t="shared" si="28"/>
        <v>0</v>
      </c>
    </row>
    <row r="368" spans="1:7" ht="31.5" hidden="1" x14ac:dyDescent="0.25">
      <c r="A368" s="58" t="s">
        <v>969</v>
      </c>
      <c r="B368" s="7" t="s">
        <v>234</v>
      </c>
      <c r="C368" s="7" t="s">
        <v>213</v>
      </c>
      <c r="D368" s="24" t="s">
        <v>970</v>
      </c>
      <c r="E368" s="7"/>
      <c r="F368" s="4">
        <f>F369</f>
        <v>0</v>
      </c>
      <c r="G368" s="4">
        <f>G369</f>
        <v>0</v>
      </c>
    </row>
    <row r="369" spans="1:7" ht="15.75" hidden="1" x14ac:dyDescent="0.25">
      <c r="A369" s="45" t="s">
        <v>525</v>
      </c>
      <c r="B369" s="40" t="s">
        <v>234</v>
      </c>
      <c r="C369" s="40" t="s">
        <v>213</v>
      </c>
      <c r="D369" s="20" t="s">
        <v>972</v>
      </c>
      <c r="E369" s="40"/>
      <c r="F369" s="6">
        <f>'Пр.3 Рд,пр, ЦС,ВР 21'!F410</f>
        <v>0</v>
      </c>
      <c r="G369" s="6">
        <f t="shared" si="28"/>
        <v>0</v>
      </c>
    </row>
    <row r="370" spans="1:7" ht="31.5" hidden="1" x14ac:dyDescent="0.25">
      <c r="A370" s="31" t="s">
        <v>131</v>
      </c>
      <c r="B370" s="40" t="s">
        <v>234</v>
      </c>
      <c r="C370" s="40" t="s">
        <v>213</v>
      </c>
      <c r="D370" s="20" t="s">
        <v>972</v>
      </c>
      <c r="E370" s="40" t="s">
        <v>132</v>
      </c>
      <c r="F370" s="6">
        <f>'Пр.3 Рд,пр, ЦС,ВР 21'!F411</f>
        <v>0</v>
      </c>
      <c r="G370" s="6">
        <f t="shared" si="28"/>
        <v>0</v>
      </c>
    </row>
    <row r="371" spans="1:7" ht="47.25" hidden="1" x14ac:dyDescent="0.25">
      <c r="A371" s="31" t="s">
        <v>133</v>
      </c>
      <c r="B371" s="40" t="s">
        <v>234</v>
      </c>
      <c r="C371" s="40" t="s">
        <v>213</v>
      </c>
      <c r="D371" s="20" t="s">
        <v>972</v>
      </c>
      <c r="E371" s="40" t="s">
        <v>134</v>
      </c>
      <c r="F371" s="6">
        <f>'Пр.3 Рд,пр, ЦС,ВР 21'!F412</f>
        <v>0</v>
      </c>
      <c r="G371" s="6">
        <f t="shared" si="28"/>
        <v>0</v>
      </c>
    </row>
    <row r="372" spans="1:7" ht="31.5" hidden="1" x14ac:dyDescent="0.25">
      <c r="A372" s="58" t="s">
        <v>973</v>
      </c>
      <c r="B372" s="7" t="s">
        <v>234</v>
      </c>
      <c r="C372" s="7" t="s">
        <v>213</v>
      </c>
      <c r="D372" s="24" t="s">
        <v>974</v>
      </c>
      <c r="E372" s="7"/>
      <c r="F372" s="4">
        <f>F373</f>
        <v>0</v>
      </c>
      <c r="G372" s="4">
        <f>G373</f>
        <v>0</v>
      </c>
    </row>
    <row r="373" spans="1:7" ht="15.75" hidden="1" x14ac:dyDescent="0.25">
      <c r="A373" s="45" t="s">
        <v>527</v>
      </c>
      <c r="B373" s="40" t="s">
        <v>234</v>
      </c>
      <c r="C373" s="40" t="s">
        <v>213</v>
      </c>
      <c r="D373" s="20" t="s">
        <v>975</v>
      </c>
      <c r="E373" s="40"/>
      <c r="F373" s="6">
        <f>F374</f>
        <v>0</v>
      </c>
      <c r="G373" s="6">
        <f t="shared" si="28"/>
        <v>0</v>
      </c>
    </row>
    <row r="374" spans="1:7" ht="31.5" hidden="1" x14ac:dyDescent="0.25">
      <c r="A374" s="31" t="s">
        <v>131</v>
      </c>
      <c r="B374" s="40" t="s">
        <v>234</v>
      </c>
      <c r="C374" s="40" t="s">
        <v>213</v>
      </c>
      <c r="D374" s="20" t="s">
        <v>975</v>
      </c>
      <c r="E374" s="40" t="s">
        <v>132</v>
      </c>
      <c r="F374" s="6">
        <f>F375</f>
        <v>0</v>
      </c>
      <c r="G374" s="6">
        <f t="shared" si="28"/>
        <v>0</v>
      </c>
    </row>
    <row r="375" spans="1:7" ht="47.25" hidden="1" x14ac:dyDescent="0.25">
      <c r="A375" s="31" t="s">
        <v>133</v>
      </c>
      <c r="B375" s="40" t="s">
        <v>234</v>
      </c>
      <c r="C375" s="40" t="s">
        <v>213</v>
      </c>
      <c r="D375" s="20" t="s">
        <v>975</v>
      </c>
      <c r="E375" s="40" t="s">
        <v>134</v>
      </c>
      <c r="F375" s="6">
        <v>0</v>
      </c>
      <c r="G375" s="6">
        <f t="shared" si="28"/>
        <v>0</v>
      </c>
    </row>
    <row r="376" spans="1:7" ht="31.5" hidden="1" x14ac:dyDescent="0.25">
      <c r="A376" s="34" t="s">
        <v>1014</v>
      </c>
      <c r="B376" s="7" t="s">
        <v>234</v>
      </c>
      <c r="C376" s="7" t="s">
        <v>213</v>
      </c>
      <c r="D376" s="24" t="s">
        <v>1015</v>
      </c>
      <c r="E376" s="7"/>
      <c r="F376" s="4">
        <f>F377</f>
        <v>0</v>
      </c>
      <c r="G376" s="4">
        <f>G377</f>
        <v>0</v>
      </c>
    </row>
    <row r="377" spans="1:7" ht="15.75" hidden="1" x14ac:dyDescent="0.25">
      <c r="A377" s="45" t="s">
        <v>529</v>
      </c>
      <c r="B377" s="40" t="s">
        <v>234</v>
      </c>
      <c r="C377" s="40" t="s">
        <v>213</v>
      </c>
      <c r="D377" s="20" t="s">
        <v>1018</v>
      </c>
      <c r="E377" s="40"/>
      <c r="F377" s="6">
        <f>F378</f>
        <v>0</v>
      </c>
      <c r="G377" s="6">
        <f t="shared" si="28"/>
        <v>0</v>
      </c>
    </row>
    <row r="378" spans="1:7" ht="31.5" hidden="1" x14ac:dyDescent="0.25">
      <c r="A378" s="31" t="s">
        <v>131</v>
      </c>
      <c r="B378" s="40" t="s">
        <v>234</v>
      </c>
      <c r="C378" s="40" t="s">
        <v>213</v>
      </c>
      <c r="D378" s="20" t="s">
        <v>1018</v>
      </c>
      <c r="E378" s="40" t="s">
        <v>132</v>
      </c>
      <c r="F378" s="6">
        <f>F379</f>
        <v>0</v>
      </c>
      <c r="G378" s="6">
        <f t="shared" si="28"/>
        <v>0</v>
      </c>
    </row>
    <row r="379" spans="1:7" ht="47.25" hidden="1" x14ac:dyDescent="0.25">
      <c r="A379" s="31" t="s">
        <v>133</v>
      </c>
      <c r="B379" s="40" t="s">
        <v>234</v>
      </c>
      <c r="C379" s="40" t="s">
        <v>213</v>
      </c>
      <c r="D379" s="20" t="s">
        <v>1018</v>
      </c>
      <c r="E379" s="40" t="s">
        <v>134</v>
      </c>
      <c r="F379" s="6">
        <v>0</v>
      </c>
      <c r="G379" s="6">
        <f t="shared" si="28"/>
        <v>0</v>
      </c>
    </row>
    <row r="380" spans="1:7" ht="47.25" hidden="1" x14ac:dyDescent="0.25">
      <c r="A380" s="219" t="s">
        <v>1016</v>
      </c>
      <c r="B380" s="7" t="s">
        <v>234</v>
      </c>
      <c r="C380" s="7" t="s">
        <v>213</v>
      </c>
      <c r="D380" s="24" t="s">
        <v>1017</v>
      </c>
      <c r="E380" s="7"/>
      <c r="F380" s="4">
        <f>F381</f>
        <v>0</v>
      </c>
      <c r="G380" s="4">
        <f>G381</f>
        <v>0</v>
      </c>
    </row>
    <row r="381" spans="1:7" ht="31.5" hidden="1" x14ac:dyDescent="0.25">
      <c r="A381" s="174" t="s">
        <v>531</v>
      </c>
      <c r="B381" s="40" t="s">
        <v>234</v>
      </c>
      <c r="C381" s="40" t="s">
        <v>213</v>
      </c>
      <c r="D381" s="20" t="s">
        <v>1019</v>
      </c>
      <c r="E381" s="40"/>
      <c r="F381" s="6">
        <f>'Пр.3 Рд,пр, ЦС,ВР 21'!F422</f>
        <v>0</v>
      </c>
      <c r="G381" s="6">
        <f t="shared" si="28"/>
        <v>0</v>
      </c>
    </row>
    <row r="382" spans="1:7" ht="31.5" hidden="1" x14ac:dyDescent="0.25">
      <c r="A382" s="31" t="s">
        <v>131</v>
      </c>
      <c r="B382" s="40" t="s">
        <v>234</v>
      </c>
      <c r="C382" s="40" t="s">
        <v>213</v>
      </c>
      <c r="D382" s="20" t="s">
        <v>1019</v>
      </c>
      <c r="E382" s="40" t="s">
        <v>132</v>
      </c>
      <c r="F382" s="6">
        <f>'Пр.3 Рд,пр, ЦС,ВР 21'!F423</f>
        <v>0</v>
      </c>
      <c r="G382" s="6">
        <f t="shared" si="28"/>
        <v>0</v>
      </c>
    </row>
    <row r="383" spans="1:7" ht="47.25" hidden="1" x14ac:dyDescent="0.25">
      <c r="A383" s="31" t="s">
        <v>133</v>
      </c>
      <c r="B383" s="40" t="s">
        <v>234</v>
      </c>
      <c r="C383" s="40" t="s">
        <v>213</v>
      </c>
      <c r="D383" s="20" t="s">
        <v>1019</v>
      </c>
      <c r="E383" s="40" t="s">
        <v>134</v>
      </c>
      <c r="F383" s="6">
        <f>'Пр.3 Рд,пр, ЦС,ВР 21'!F424</f>
        <v>0</v>
      </c>
      <c r="G383" s="6">
        <f t="shared" si="28"/>
        <v>0</v>
      </c>
    </row>
    <row r="384" spans="1:7" ht="31.5" hidden="1" x14ac:dyDescent="0.25">
      <c r="A384" s="219" t="s">
        <v>977</v>
      </c>
      <c r="B384" s="7" t="s">
        <v>234</v>
      </c>
      <c r="C384" s="7" t="s">
        <v>213</v>
      </c>
      <c r="D384" s="24" t="s">
        <v>978</v>
      </c>
      <c r="E384" s="7"/>
      <c r="F384" s="4">
        <f>F385</f>
        <v>0</v>
      </c>
      <c r="G384" s="4">
        <f>G385</f>
        <v>0</v>
      </c>
    </row>
    <row r="385" spans="1:9" ht="15.75" hidden="1" x14ac:dyDescent="0.25">
      <c r="A385" s="174" t="s">
        <v>533</v>
      </c>
      <c r="B385" s="40" t="s">
        <v>234</v>
      </c>
      <c r="C385" s="40" t="s">
        <v>213</v>
      </c>
      <c r="D385" s="20" t="s">
        <v>976</v>
      </c>
      <c r="E385" s="40"/>
      <c r="F385" s="6">
        <f>F386</f>
        <v>0</v>
      </c>
      <c r="G385" s="6">
        <f t="shared" si="28"/>
        <v>0</v>
      </c>
    </row>
    <row r="386" spans="1:9" ht="31.5" hidden="1" x14ac:dyDescent="0.25">
      <c r="A386" s="25" t="s">
        <v>131</v>
      </c>
      <c r="B386" s="40" t="s">
        <v>234</v>
      </c>
      <c r="C386" s="40" t="s">
        <v>213</v>
      </c>
      <c r="D386" s="20" t="s">
        <v>976</v>
      </c>
      <c r="E386" s="40" t="s">
        <v>132</v>
      </c>
      <c r="F386" s="6">
        <f>F387</f>
        <v>0</v>
      </c>
      <c r="G386" s="6">
        <f t="shared" si="28"/>
        <v>0</v>
      </c>
    </row>
    <row r="387" spans="1:9" ht="47.25" hidden="1" x14ac:dyDescent="0.25">
      <c r="A387" s="25" t="s">
        <v>133</v>
      </c>
      <c r="B387" s="40" t="s">
        <v>234</v>
      </c>
      <c r="C387" s="40" t="s">
        <v>213</v>
      </c>
      <c r="D387" s="20" t="s">
        <v>976</v>
      </c>
      <c r="E387" s="40" t="s">
        <v>134</v>
      </c>
      <c r="F387" s="6"/>
      <c r="G387" s="6">
        <f t="shared" si="28"/>
        <v>0</v>
      </c>
    </row>
    <row r="388" spans="1:9" s="203" customFormat="1" ht="47.25" x14ac:dyDescent="0.25">
      <c r="A388" s="23" t="s">
        <v>1545</v>
      </c>
      <c r="B388" s="7" t="s">
        <v>234</v>
      </c>
      <c r="C388" s="7" t="s">
        <v>213</v>
      </c>
      <c r="D388" s="24" t="s">
        <v>1146</v>
      </c>
      <c r="E388" s="7"/>
      <c r="F388" s="4">
        <f t="shared" ref="F388:G391" si="30">F389</f>
        <v>204</v>
      </c>
      <c r="G388" s="4">
        <f t="shared" si="30"/>
        <v>215</v>
      </c>
    </row>
    <row r="389" spans="1:9" s="203" customFormat="1" ht="31.5" x14ac:dyDescent="0.25">
      <c r="A389" s="23" t="s">
        <v>1549</v>
      </c>
      <c r="B389" s="7" t="s">
        <v>234</v>
      </c>
      <c r="C389" s="7" t="s">
        <v>213</v>
      </c>
      <c r="D389" s="24" t="s">
        <v>1148</v>
      </c>
      <c r="E389" s="7"/>
      <c r="F389" s="4">
        <f t="shared" si="30"/>
        <v>204</v>
      </c>
      <c r="G389" s="4">
        <f t="shared" si="30"/>
        <v>215</v>
      </c>
    </row>
    <row r="390" spans="1:9" s="203" customFormat="1" ht="31.5" x14ac:dyDescent="0.25">
      <c r="A390" s="25" t="s">
        <v>537</v>
      </c>
      <c r="B390" s="40" t="s">
        <v>234</v>
      </c>
      <c r="C390" s="40" t="s">
        <v>213</v>
      </c>
      <c r="D390" s="20" t="s">
        <v>1149</v>
      </c>
      <c r="E390" s="40"/>
      <c r="F390" s="6">
        <f t="shared" si="30"/>
        <v>204</v>
      </c>
      <c r="G390" s="6">
        <f t="shared" si="30"/>
        <v>215</v>
      </c>
    </row>
    <row r="391" spans="1:9" s="203" customFormat="1" ht="31.5" x14ac:dyDescent="0.25">
      <c r="A391" s="25" t="s">
        <v>131</v>
      </c>
      <c r="B391" s="40" t="s">
        <v>234</v>
      </c>
      <c r="C391" s="40" t="s">
        <v>213</v>
      </c>
      <c r="D391" s="20" t="s">
        <v>1149</v>
      </c>
      <c r="E391" s="40" t="s">
        <v>132</v>
      </c>
      <c r="F391" s="6">
        <f t="shared" si="30"/>
        <v>204</v>
      </c>
      <c r="G391" s="6">
        <f t="shared" si="30"/>
        <v>215</v>
      </c>
    </row>
    <row r="392" spans="1:9" s="203" customFormat="1" ht="47.25" x14ac:dyDescent="0.25">
      <c r="A392" s="25" t="s">
        <v>133</v>
      </c>
      <c r="B392" s="40" t="s">
        <v>234</v>
      </c>
      <c r="C392" s="40" t="s">
        <v>213</v>
      </c>
      <c r="D392" s="20" t="s">
        <v>1149</v>
      </c>
      <c r="E392" s="40" t="s">
        <v>134</v>
      </c>
      <c r="F392" s="6">
        <f>'пр.4.1.ведом.22-23'!G952</f>
        <v>204</v>
      </c>
      <c r="G392" s="6">
        <f>'пр.4.1.ведом.22-23'!H952</f>
        <v>215</v>
      </c>
    </row>
    <row r="393" spans="1:9" ht="15.75" x14ac:dyDescent="0.25">
      <c r="A393" s="41" t="s">
        <v>541</v>
      </c>
      <c r="B393" s="7" t="s">
        <v>234</v>
      </c>
      <c r="C393" s="7" t="s">
        <v>215</v>
      </c>
      <c r="D393" s="7"/>
      <c r="E393" s="7"/>
      <c r="F393" s="4">
        <f>F394+F399+F438</f>
        <v>3810</v>
      </c>
      <c r="G393" s="4">
        <f>G394+G399+G438</f>
        <v>4063</v>
      </c>
    </row>
    <row r="394" spans="1:9" ht="15.75" x14ac:dyDescent="0.25">
      <c r="A394" s="23" t="s">
        <v>141</v>
      </c>
      <c r="B394" s="24" t="s">
        <v>234</v>
      </c>
      <c r="C394" s="24" t="s">
        <v>215</v>
      </c>
      <c r="D394" s="24" t="s">
        <v>866</v>
      </c>
      <c r="E394" s="24"/>
      <c r="F394" s="4">
        <f t="shared" ref="F394:G397" si="31">F395</f>
        <v>1390</v>
      </c>
      <c r="G394" s="4">
        <f t="shared" si="31"/>
        <v>1390</v>
      </c>
    </row>
    <row r="395" spans="1:9" ht="31.5" x14ac:dyDescent="0.25">
      <c r="A395" s="23" t="s">
        <v>870</v>
      </c>
      <c r="B395" s="24" t="s">
        <v>234</v>
      </c>
      <c r="C395" s="24" t="s">
        <v>215</v>
      </c>
      <c r="D395" s="24" t="s">
        <v>865</v>
      </c>
      <c r="E395" s="24"/>
      <c r="F395" s="4">
        <f t="shared" si="31"/>
        <v>1390</v>
      </c>
      <c r="G395" s="4">
        <f t="shared" si="31"/>
        <v>1390</v>
      </c>
    </row>
    <row r="396" spans="1:9" ht="15.75" x14ac:dyDescent="0.25">
      <c r="A396" s="25" t="s">
        <v>564</v>
      </c>
      <c r="B396" s="20" t="s">
        <v>234</v>
      </c>
      <c r="C396" s="20" t="s">
        <v>215</v>
      </c>
      <c r="D396" s="20" t="s">
        <v>1077</v>
      </c>
      <c r="E396" s="20"/>
      <c r="F396" s="6">
        <f t="shared" si="31"/>
        <v>1390</v>
      </c>
      <c r="G396" s="6">
        <f t="shared" si="31"/>
        <v>1390</v>
      </c>
    </row>
    <row r="397" spans="1:9" ht="31.5" x14ac:dyDescent="0.25">
      <c r="A397" s="25" t="s">
        <v>131</v>
      </c>
      <c r="B397" s="20" t="s">
        <v>234</v>
      </c>
      <c r="C397" s="20" t="s">
        <v>215</v>
      </c>
      <c r="D397" s="20" t="s">
        <v>1077</v>
      </c>
      <c r="E397" s="20" t="s">
        <v>132</v>
      </c>
      <c r="F397" s="6">
        <f t="shared" si="31"/>
        <v>1390</v>
      </c>
      <c r="G397" s="6">
        <f t="shared" si="31"/>
        <v>1390</v>
      </c>
    </row>
    <row r="398" spans="1:9" ht="47.25" x14ac:dyDescent="0.25">
      <c r="A398" s="25" t="s">
        <v>133</v>
      </c>
      <c r="B398" s="20" t="s">
        <v>234</v>
      </c>
      <c r="C398" s="20" t="s">
        <v>215</v>
      </c>
      <c r="D398" s="20" t="s">
        <v>1077</v>
      </c>
      <c r="E398" s="20" t="s">
        <v>134</v>
      </c>
      <c r="F398" s="6">
        <f>'пр.4.1.ведом.22-23'!G958</f>
        <v>1390</v>
      </c>
      <c r="G398" s="6">
        <f>'пр.4.1.ведом.22-23'!H958</f>
        <v>1390</v>
      </c>
    </row>
    <row r="399" spans="1:9" ht="47.25" x14ac:dyDescent="0.25">
      <c r="A399" s="23" t="s">
        <v>1373</v>
      </c>
      <c r="B399" s="7" t="s">
        <v>234</v>
      </c>
      <c r="C399" s="7" t="s">
        <v>215</v>
      </c>
      <c r="D399" s="7" t="s">
        <v>543</v>
      </c>
      <c r="E399" s="7"/>
      <c r="F399" s="4">
        <f>F400+F404+F431</f>
        <v>1920</v>
      </c>
      <c r="G399" s="4">
        <f>G400+G404+G431</f>
        <v>2173</v>
      </c>
      <c r="I399" s="22"/>
    </row>
    <row r="400" spans="1:9" ht="47.25" hidden="1" x14ac:dyDescent="0.25">
      <c r="A400" s="23" t="s">
        <v>1443</v>
      </c>
      <c r="B400" s="24" t="s">
        <v>234</v>
      </c>
      <c r="C400" s="24" t="s">
        <v>215</v>
      </c>
      <c r="D400" s="24" t="s">
        <v>1278</v>
      </c>
      <c r="E400" s="24"/>
      <c r="F400" s="4">
        <f t="shared" ref="F400:G402" si="32">F401</f>
        <v>0</v>
      </c>
      <c r="G400" s="4">
        <f t="shared" si="32"/>
        <v>0</v>
      </c>
    </row>
    <row r="401" spans="1:7" s="203" customFormat="1" ht="31.5" hidden="1" x14ac:dyDescent="0.25">
      <c r="A401" s="322" t="s">
        <v>1444</v>
      </c>
      <c r="B401" s="20" t="s">
        <v>234</v>
      </c>
      <c r="C401" s="20" t="s">
        <v>215</v>
      </c>
      <c r="D401" s="20" t="s">
        <v>1431</v>
      </c>
      <c r="E401" s="20"/>
      <c r="F401" s="26">
        <f t="shared" si="32"/>
        <v>0</v>
      </c>
      <c r="G401" s="6">
        <f t="shared" si="32"/>
        <v>0</v>
      </c>
    </row>
    <row r="402" spans="1:7" s="203" customFormat="1" ht="31.5" hidden="1" x14ac:dyDescent="0.25">
      <c r="A402" s="25" t="s">
        <v>131</v>
      </c>
      <c r="B402" s="20" t="s">
        <v>234</v>
      </c>
      <c r="C402" s="20" t="s">
        <v>215</v>
      </c>
      <c r="D402" s="20" t="s">
        <v>1431</v>
      </c>
      <c r="E402" s="20" t="s">
        <v>132</v>
      </c>
      <c r="F402" s="26">
        <f t="shared" si="32"/>
        <v>0</v>
      </c>
      <c r="G402" s="6">
        <f t="shared" si="32"/>
        <v>0</v>
      </c>
    </row>
    <row r="403" spans="1:7" s="203" customFormat="1" ht="47.25" hidden="1" x14ac:dyDescent="0.25">
      <c r="A403" s="25" t="s">
        <v>133</v>
      </c>
      <c r="B403" s="20" t="s">
        <v>234</v>
      </c>
      <c r="C403" s="20" t="s">
        <v>215</v>
      </c>
      <c r="D403" s="20" t="s">
        <v>1431</v>
      </c>
      <c r="E403" s="20" t="s">
        <v>134</v>
      </c>
      <c r="F403" s="26">
        <f>'пр.4.1.ведом.22-23'!G963</f>
        <v>0</v>
      </c>
      <c r="G403" s="6">
        <f>'пр.4.1.ведом.22-23'!H963</f>
        <v>0</v>
      </c>
    </row>
    <row r="404" spans="1:7" s="203" customFormat="1" ht="47.25" x14ac:dyDescent="0.25">
      <c r="A404" s="23" t="s">
        <v>1446</v>
      </c>
      <c r="B404" s="24" t="s">
        <v>234</v>
      </c>
      <c r="C404" s="24" t="s">
        <v>215</v>
      </c>
      <c r="D404" s="24" t="s">
        <v>1279</v>
      </c>
      <c r="E404" s="24"/>
      <c r="F404" s="4">
        <f>F405+F408+F414+F417+F420+F425+F428</f>
        <v>1920</v>
      </c>
      <c r="G404" s="4">
        <f>G405+G408+G414+G417+G420+G425+G428</f>
        <v>2173</v>
      </c>
    </row>
    <row r="405" spans="1:7" ht="24.4" customHeight="1" x14ac:dyDescent="0.25">
      <c r="A405" s="25" t="s">
        <v>546</v>
      </c>
      <c r="B405" s="20" t="s">
        <v>234</v>
      </c>
      <c r="C405" s="20" t="s">
        <v>215</v>
      </c>
      <c r="D405" s="20" t="s">
        <v>1442</v>
      </c>
      <c r="E405" s="20"/>
      <c r="F405" s="6">
        <f>F406</f>
        <v>365</v>
      </c>
      <c r="G405" s="6">
        <f>G406</f>
        <v>365</v>
      </c>
    </row>
    <row r="406" spans="1:7" ht="31.5" x14ac:dyDescent="0.25">
      <c r="A406" s="25" t="s">
        <v>131</v>
      </c>
      <c r="B406" s="20" t="s">
        <v>234</v>
      </c>
      <c r="C406" s="20" t="s">
        <v>215</v>
      </c>
      <c r="D406" s="20" t="s">
        <v>1442</v>
      </c>
      <c r="E406" s="20" t="s">
        <v>132</v>
      </c>
      <c r="F406" s="6">
        <f>F407</f>
        <v>365</v>
      </c>
      <c r="G406" s="6">
        <f>G407</f>
        <v>365</v>
      </c>
    </row>
    <row r="407" spans="1:7" ht="47.25" x14ac:dyDescent="0.25">
      <c r="A407" s="25" t="s">
        <v>133</v>
      </c>
      <c r="B407" s="20" t="s">
        <v>234</v>
      </c>
      <c r="C407" s="20" t="s">
        <v>215</v>
      </c>
      <c r="D407" s="20" t="s">
        <v>1442</v>
      </c>
      <c r="E407" s="20" t="s">
        <v>134</v>
      </c>
      <c r="F407" s="6">
        <f>'пр.4.1.ведом.22-23'!G967</f>
        <v>365</v>
      </c>
      <c r="G407" s="6">
        <f>'пр.4.1.ведом.22-23'!H967</f>
        <v>365</v>
      </c>
    </row>
    <row r="408" spans="1:7" ht="15.75" x14ac:dyDescent="0.25">
      <c r="A408" s="25" t="s">
        <v>548</v>
      </c>
      <c r="B408" s="20" t="s">
        <v>234</v>
      </c>
      <c r="C408" s="20" t="s">
        <v>215</v>
      </c>
      <c r="D408" s="20" t="s">
        <v>1430</v>
      </c>
      <c r="E408" s="20"/>
      <c r="F408" s="6">
        <f>F409</f>
        <v>1080</v>
      </c>
      <c r="G408" s="6">
        <f>G409</f>
        <v>1188</v>
      </c>
    </row>
    <row r="409" spans="1:7" ht="31.5" x14ac:dyDescent="0.25">
      <c r="A409" s="25" t="s">
        <v>131</v>
      </c>
      <c r="B409" s="20" t="s">
        <v>234</v>
      </c>
      <c r="C409" s="20" t="s">
        <v>215</v>
      </c>
      <c r="D409" s="20" t="s">
        <v>1430</v>
      </c>
      <c r="E409" s="20" t="s">
        <v>132</v>
      </c>
      <c r="F409" s="6">
        <f>F410</f>
        <v>1080</v>
      </c>
      <c r="G409" s="6">
        <f>G410</f>
        <v>1188</v>
      </c>
    </row>
    <row r="410" spans="1:7" ht="47.25" x14ac:dyDescent="0.25">
      <c r="A410" s="25" t="s">
        <v>133</v>
      </c>
      <c r="B410" s="20" t="s">
        <v>234</v>
      </c>
      <c r="C410" s="20" t="s">
        <v>215</v>
      </c>
      <c r="D410" s="20" t="s">
        <v>1430</v>
      </c>
      <c r="E410" s="20" t="s">
        <v>134</v>
      </c>
      <c r="F410" s="6">
        <f>'пр.4.1.ведом.22-23'!G970</f>
        <v>1080</v>
      </c>
      <c r="G410" s="6">
        <f>'пр.4.1.ведом.22-23'!H970</f>
        <v>1188</v>
      </c>
    </row>
    <row r="411" spans="1:7" ht="15.75" hidden="1" x14ac:dyDescent="0.25">
      <c r="A411" s="29" t="s">
        <v>135</v>
      </c>
      <c r="B411" s="20" t="s">
        <v>234</v>
      </c>
      <c r="C411" s="20" t="s">
        <v>215</v>
      </c>
      <c r="D411" s="20" t="s">
        <v>1430</v>
      </c>
      <c r="E411" s="20" t="s">
        <v>145</v>
      </c>
      <c r="F411" s="6">
        <f>'Пр.3 Рд,пр, ЦС,ВР 21'!F456</f>
        <v>0</v>
      </c>
      <c r="G411" s="6">
        <f>'Пр.3 Рд,пр, ЦС,ВР 21'!G456</f>
        <v>0</v>
      </c>
    </row>
    <row r="412" spans="1:7" ht="47.25" hidden="1" x14ac:dyDescent="0.25">
      <c r="A412" s="25" t="s">
        <v>836</v>
      </c>
      <c r="B412" s="20" t="s">
        <v>234</v>
      </c>
      <c r="C412" s="20" t="s">
        <v>215</v>
      </c>
      <c r="D412" s="20" t="s">
        <v>1430</v>
      </c>
      <c r="E412" s="20" t="s">
        <v>147</v>
      </c>
      <c r="F412" s="6">
        <f>'Пр.3 Рд,пр, ЦС,ВР 21'!F457</f>
        <v>0</v>
      </c>
      <c r="G412" s="6">
        <f>'Пр.3 Рд,пр, ЦС,ВР 21'!G457</f>
        <v>0</v>
      </c>
    </row>
    <row r="413" spans="1:7" ht="15.75" hidden="1" x14ac:dyDescent="0.25">
      <c r="A413" s="29" t="s">
        <v>568</v>
      </c>
      <c r="B413" s="20" t="s">
        <v>234</v>
      </c>
      <c r="C413" s="20" t="s">
        <v>215</v>
      </c>
      <c r="D413" s="20" t="s">
        <v>1430</v>
      </c>
      <c r="E413" s="20" t="s">
        <v>138</v>
      </c>
      <c r="F413" s="6">
        <f>'Пр.3 Рд,пр, ЦС,ВР 21'!F458</f>
        <v>0</v>
      </c>
      <c r="G413" s="6">
        <f>'Пр.3 Рд,пр, ЦС,ВР 21'!G458</f>
        <v>0</v>
      </c>
    </row>
    <row r="414" spans="1:7" ht="15.75" hidden="1" x14ac:dyDescent="0.25">
      <c r="A414" s="25" t="s">
        <v>550</v>
      </c>
      <c r="B414" s="20" t="s">
        <v>234</v>
      </c>
      <c r="C414" s="20" t="s">
        <v>215</v>
      </c>
      <c r="D414" s="20" t="s">
        <v>1303</v>
      </c>
      <c r="E414" s="20"/>
      <c r="F414" s="6">
        <f>F415</f>
        <v>0</v>
      </c>
      <c r="G414" s="6">
        <f>G415</f>
        <v>0</v>
      </c>
    </row>
    <row r="415" spans="1:7" ht="31.5" hidden="1" x14ac:dyDescent="0.25">
      <c r="A415" s="25" t="s">
        <v>131</v>
      </c>
      <c r="B415" s="20" t="s">
        <v>234</v>
      </c>
      <c r="C415" s="20" t="s">
        <v>215</v>
      </c>
      <c r="D415" s="20" t="s">
        <v>1303</v>
      </c>
      <c r="E415" s="20" t="s">
        <v>132</v>
      </c>
      <c r="F415" s="6">
        <f>F416</f>
        <v>0</v>
      </c>
      <c r="G415" s="6">
        <f>G416</f>
        <v>0</v>
      </c>
    </row>
    <row r="416" spans="1:7" ht="47.25" hidden="1" x14ac:dyDescent="0.25">
      <c r="A416" s="25" t="s">
        <v>133</v>
      </c>
      <c r="B416" s="20" t="s">
        <v>234</v>
      </c>
      <c r="C416" s="20" t="s">
        <v>215</v>
      </c>
      <c r="D416" s="20" t="s">
        <v>1303</v>
      </c>
      <c r="E416" s="20" t="s">
        <v>134</v>
      </c>
      <c r="F416" s="6">
        <f>'пр.4.1.ведом.22-23'!G976</f>
        <v>0</v>
      </c>
      <c r="G416" s="6">
        <f>'пр.4.1.ведом.22-23'!H976</f>
        <v>0</v>
      </c>
    </row>
    <row r="417" spans="1:7" ht="15.75" x14ac:dyDescent="0.25">
      <c r="A417" s="25" t="s">
        <v>555</v>
      </c>
      <c r="B417" s="20" t="s">
        <v>234</v>
      </c>
      <c r="C417" s="20" t="s">
        <v>215</v>
      </c>
      <c r="D417" s="20" t="s">
        <v>1280</v>
      </c>
      <c r="E417" s="20"/>
      <c r="F417" s="6">
        <f>F418</f>
        <v>50</v>
      </c>
      <c r="G417" s="6">
        <f>G418</f>
        <v>55</v>
      </c>
    </row>
    <row r="418" spans="1:7" ht="31.5" x14ac:dyDescent="0.25">
      <c r="A418" s="25" t="s">
        <v>131</v>
      </c>
      <c r="B418" s="20" t="s">
        <v>234</v>
      </c>
      <c r="C418" s="20" t="s">
        <v>215</v>
      </c>
      <c r="D418" s="20" t="s">
        <v>1280</v>
      </c>
      <c r="E418" s="20" t="s">
        <v>132</v>
      </c>
      <c r="F418" s="6">
        <f>F419</f>
        <v>50</v>
      </c>
      <c r="G418" s="6">
        <f>G419</f>
        <v>55</v>
      </c>
    </row>
    <row r="419" spans="1:7" ht="47.25" x14ac:dyDescent="0.25">
      <c r="A419" s="25" t="s">
        <v>133</v>
      </c>
      <c r="B419" s="20" t="s">
        <v>234</v>
      </c>
      <c r="C419" s="20" t="s">
        <v>215</v>
      </c>
      <c r="D419" s="20" t="s">
        <v>1280</v>
      </c>
      <c r="E419" s="20" t="s">
        <v>134</v>
      </c>
      <c r="F419" s="6">
        <f>'пр.4.1.ведом.22-23'!G979</f>
        <v>50</v>
      </c>
      <c r="G419" s="6">
        <f>'пр.4.1.ведом.22-23'!H979</f>
        <v>55</v>
      </c>
    </row>
    <row r="420" spans="1:7" ht="31.5" x14ac:dyDescent="0.25">
      <c r="A420" s="320" t="s">
        <v>1445</v>
      </c>
      <c r="B420" s="20" t="s">
        <v>234</v>
      </c>
      <c r="C420" s="20" t="s">
        <v>215</v>
      </c>
      <c r="D420" s="20" t="s">
        <v>1281</v>
      </c>
      <c r="E420" s="20"/>
      <c r="F420" s="6">
        <f>F421+F423</f>
        <v>375</v>
      </c>
      <c r="G420" s="6">
        <f>G421+G423</f>
        <v>375</v>
      </c>
    </row>
    <row r="421" spans="1:7" ht="31.5" x14ac:dyDescent="0.25">
      <c r="A421" s="25" t="s">
        <v>131</v>
      </c>
      <c r="B421" s="20" t="s">
        <v>234</v>
      </c>
      <c r="C421" s="20" t="s">
        <v>215</v>
      </c>
      <c r="D421" s="20" t="s">
        <v>1281</v>
      </c>
      <c r="E421" s="20" t="s">
        <v>132</v>
      </c>
      <c r="F421" s="6">
        <f>F422</f>
        <v>300</v>
      </c>
      <c r="G421" s="6">
        <f>G422</f>
        <v>300</v>
      </c>
    </row>
    <row r="422" spans="1:7" ht="47.25" x14ac:dyDescent="0.25">
      <c r="A422" s="25" t="s">
        <v>133</v>
      </c>
      <c r="B422" s="20" t="s">
        <v>234</v>
      </c>
      <c r="C422" s="20" t="s">
        <v>215</v>
      </c>
      <c r="D422" s="20" t="s">
        <v>1281</v>
      </c>
      <c r="E422" s="20" t="s">
        <v>134</v>
      </c>
      <c r="F422" s="6">
        <f>'пр.4.1.ведом.22-23'!G982</f>
        <v>300</v>
      </c>
      <c r="G422" s="6">
        <f>'пр.4.1.ведом.22-23'!H982</f>
        <v>300</v>
      </c>
    </row>
    <row r="423" spans="1:7" ht="15.75" x14ac:dyDescent="0.25">
      <c r="A423" s="29" t="s">
        <v>135</v>
      </c>
      <c r="B423" s="20" t="s">
        <v>234</v>
      </c>
      <c r="C423" s="20" t="s">
        <v>215</v>
      </c>
      <c r="D423" s="20" t="s">
        <v>1281</v>
      </c>
      <c r="E423" s="20" t="s">
        <v>145</v>
      </c>
      <c r="F423" s="6">
        <f>F424</f>
        <v>75</v>
      </c>
      <c r="G423" s="6">
        <f>G424</f>
        <v>75</v>
      </c>
    </row>
    <row r="424" spans="1:7" ht="20.25" customHeight="1" x14ac:dyDescent="0.25">
      <c r="A424" s="29" t="s">
        <v>568</v>
      </c>
      <c r="B424" s="20" t="s">
        <v>234</v>
      </c>
      <c r="C424" s="20" t="s">
        <v>215</v>
      </c>
      <c r="D424" s="20" t="s">
        <v>1281</v>
      </c>
      <c r="E424" s="20" t="s">
        <v>138</v>
      </c>
      <c r="F424" s="6">
        <f>'пр.4.1.ведом.22-23'!G984</f>
        <v>75</v>
      </c>
      <c r="G424" s="6">
        <f>'пр.4.1.ведом.22-23'!H984</f>
        <v>75</v>
      </c>
    </row>
    <row r="425" spans="1:7" ht="19.149999999999999" hidden="1" customHeight="1" x14ac:dyDescent="0.25">
      <c r="A425" s="98" t="s">
        <v>559</v>
      </c>
      <c r="B425" s="20" t="s">
        <v>234</v>
      </c>
      <c r="C425" s="20" t="s">
        <v>215</v>
      </c>
      <c r="D425" s="20" t="s">
        <v>1282</v>
      </c>
      <c r="E425" s="20"/>
      <c r="F425" s="6">
        <f>F426</f>
        <v>0</v>
      </c>
      <c r="G425" s="6">
        <f>G426</f>
        <v>130</v>
      </c>
    </row>
    <row r="426" spans="1:7" ht="31.5" hidden="1" x14ac:dyDescent="0.25">
      <c r="A426" s="25" t="s">
        <v>131</v>
      </c>
      <c r="B426" s="20" t="s">
        <v>234</v>
      </c>
      <c r="C426" s="20" t="s">
        <v>215</v>
      </c>
      <c r="D426" s="20" t="s">
        <v>1282</v>
      </c>
      <c r="E426" s="20" t="s">
        <v>132</v>
      </c>
      <c r="F426" s="6">
        <f>F427</f>
        <v>0</v>
      </c>
      <c r="G426" s="6">
        <f>G427</f>
        <v>130</v>
      </c>
    </row>
    <row r="427" spans="1:7" ht="47.25" hidden="1" x14ac:dyDescent="0.25">
      <c r="A427" s="25" t="s">
        <v>133</v>
      </c>
      <c r="B427" s="20" t="s">
        <v>234</v>
      </c>
      <c r="C427" s="20" t="s">
        <v>215</v>
      </c>
      <c r="D427" s="20" t="s">
        <v>1282</v>
      </c>
      <c r="E427" s="20" t="s">
        <v>134</v>
      </c>
      <c r="F427" s="6">
        <f>'пр.4.1.ведом.22-23'!G987</f>
        <v>0</v>
      </c>
      <c r="G427" s="6">
        <f>'пр.4.1.ведом.22-23'!H987</f>
        <v>130</v>
      </c>
    </row>
    <row r="428" spans="1:7" s="203" customFormat="1" ht="31.5" x14ac:dyDescent="0.25">
      <c r="A428" s="228" t="s">
        <v>1092</v>
      </c>
      <c r="B428" s="20" t="s">
        <v>234</v>
      </c>
      <c r="C428" s="20" t="s">
        <v>215</v>
      </c>
      <c r="D428" s="20" t="s">
        <v>1283</v>
      </c>
      <c r="E428" s="20"/>
      <c r="F428" s="26">
        <f>F429</f>
        <v>50</v>
      </c>
      <c r="G428" s="26">
        <f>G429</f>
        <v>60</v>
      </c>
    </row>
    <row r="429" spans="1:7" s="203" customFormat="1" ht="31.5" x14ac:dyDescent="0.25">
      <c r="A429" s="25" t="s">
        <v>131</v>
      </c>
      <c r="B429" s="20" t="s">
        <v>234</v>
      </c>
      <c r="C429" s="20" t="s">
        <v>215</v>
      </c>
      <c r="D429" s="20" t="s">
        <v>1283</v>
      </c>
      <c r="E429" s="20" t="s">
        <v>132</v>
      </c>
      <c r="F429" s="26">
        <f>F430</f>
        <v>50</v>
      </c>
      <c r="G429" s="26">
        <f>G430</f>
        <v>60</v>
      </c>
    </row>
    <row r="430" spans="1:7" s="203" customFormat="1" ht="47.25" x14ac:dyDescent="0.25">
      <c r="A430" s="25" t="s">
        <v>133</v>
      </c>
      <c r="B430" s="20" t="s">
        <v>234</v>
      </c>
      <c r="C430" s="20" t="s">
        <v>215</v>
      </c>
      <c r="D430" s="20" t="s">
        <v>1283</v>
      </c>
      <c r="E430" s="20" t="s">
        <v>134</v>
      </c>
      <c r="F430" s="26">
        <f>'пр.4.1.ведом.22-23'!G990</f>
        <v>50</v>
      </c>
      <c r="G430" s="26">
        <f>'пр.4.1.ведом.22-23'!H990</f>
        <v>60</v>
      </c>
    </row>
    <row r="431" spans="1:7" ht="41.25" hidden="1" customHeight="1" x14ac:dyDescent="0.25">
      <c r="A431" s="23" t="s">
        <v>891</v>
      </c>
      <c r="B431" s="7" t="s">
        <v>234</v>
      </c>
      <c r="C431" s="7" t="s">
        <v>215</v>
      </c>
      <c r="D431" s="24" t="s">
        <v>1301</v>
      </c>
      <c r="E431" s="24"/>
      <c r="F431" s="4">
        <f>F432+F435</f>
        <v>0</v>
      </c>
      <c r="G431" s="4">
        <f>G432+G435</f>
        <v>0</v>
      </c>
    </row>
    <row r="432" spans="1:7" ht="47.25" hidden="1" x14ac:dyDescent="0.25">
      <c r="A432" s="25" t="s">
        <v>690</v>
      </c>
      <c r="B432" s="20" t="s">
        <v>234</v>
      </c>
      <c r="C432" s="20" t="s">
        <v>215</v>
      </c>
      <c r="D432" s="20" t="s">
        <v>1334</v>
      </c>
      <c r="E432" s="20"/>
      <c r="F432" s="6">
        <f>F433</f>
        <v>0</v>
      </c>
      <c r="G432" s="6">
        <f t="shared" ref="G432:G463" si="33">F432</f>
        <v>0</v>
      </c>
    </row>
    <row r="433" spans="1:7" ht="31.5" hidden="1" x14ac:dyDescent="0.25">
      <c r="A433" s="25" t="s">
        <v>131</v>
      </c>
      <c r="B433" s="20" t="s">
        <v>234</v>
      </c>
      <c r="C433" s="20" t="s">
        <v>215</v>
      </c>
      <c r="D433" s="20" t="s">
        <v>1334</v>
      </c>
      <c r="E433" s="20" t="s">
        <v>132</v>
      </c>
      <c r="F433" s="6">
        <f>F434</f>
        <v>0</v>
      </c>
      <c r="G433" s="6">
        <f t="shared" si="33"/>
        <v>0</v>
      </c>
    </row>
    <row r="434" spans="1:7" ht="47.25" hidden="1" x14ac:dyDescent="0.25">
      <c r="A434" s="25" t="s">
        <v>133</v>
      </c>
      <c r="B434" s="20" t="s">
        <v>234</v>
      </c>
      <c r="C434" s="20" t="s">
        <v>215</v>
      </c>
      <c r="D434" s="20" t="s">
        <v>1334</v>
      </c>
      <c r="E434" s="20" t="s">
        <v>134</v>
      </c>
      <c r="F434" s="6">
        <f>'Пр.3 Рд,пр, ЦС,ВР 21'!F479</f>
        <v>0</v>
      </c>
      <c r="G434" s="6">
        <f t="shared" si="33"/>
        <v>0</v>
      </c>
    </row>
    <row r="435" spans="1:7" ht="63" hidden="1" x14ac:dyDescent="0.25">
      <c r="A435" s="25" t="s">
        <v>1073</v>
      </c>
      <c r="B435" s="20" t="s">
        <v>234</v>
      </c>
      <c r="C435" s="20" t="s">
        <v>215</v>
      </c>
      <c r="D435" s="20" t="s">
        <v>1300</v>
      </c>
      <c r="E435" s="20"/>
      <c r="F435" s="6">
        <f>F436</f>
        <v>0</v>
      </c>
      <c r="G435" s="6">
        <f>G436</f>
        <v>0</v>
      </c>
    </row>
    <row r="436" spans="1:7" ht="31.5" hidden="1" x14ac:dyDescent="0.25">
      <c r="A436" s="25" t="s">
        <v>131</v>
      </c>
      <c r="B436" s="20" t="s">
        <v>234</v>
      </c>
      <c r="C436" s="20" t="s">
        <v>215</v>
      </c>
      <c r="D436" s="20" t="s">
        <v>1300</v>
      </c>
      <c r="E436" s="20" t="s">
        <v>132</v>
      </c>
      <c r="F436" s="6">
        <f>F437</f>
        <v>0</v>
      </c>
      <c r="G436" s="6">
        <f>G437</f>
        <v>0</v>
      </c>
    </row>
    <row r="437" spans="1:7" ht="47.25" hidden="1" x14ac:dyDescent="0.25">
      <c r="A437" s="25" t="s">
        <v>133</v>
      </c>
      <c r="B437" s="20" t="s">
        <v>234</v>
      </c>
      <c r="C437" s="20" t="s">
        <v>215</v>
      </c>
      <c r="D437" s="20" t="s">
        <v>1300</v>
      </c>
      <c r="E437" s="20" t="s">
        <v>134</v>
      </c>
      <c r="F437" s="6">
        <f>'пр.4.1.ведом.22-23'!G997</f>
        <v>0</v>
      </c>
      <c r="G437" s="6">
        <f>'пр.4.1.ведом.22-23'!H997</f>
        <v>0</v>
      </c>
    </row>
    <row r="438" spans="1:7" ht="78.75" x14ac:dyDescent="0.25">
      <c r="A438" s="23" t="s">
        <v>1547</v>
      </c>
      <c r="B438" s="24" t="s">
        <v>234</v>
      </c>
      <c r="C438" s="24" t="s">
        <v>215</v>
      </c>
      <c r="D438" s="24" t="s">
        <v>711</v>
      </c>
      <c r="E438" s="24"/>
      <c r="F438" s="4">
        <f t="shared" ref="F438:G438" si="34">F440</f>
        <v>500</v>
      </c>
      <c r="G438" s="4">
        <f t="shared" si="34"/>
        <v>500</v>
      </c>
    </row>
    <row r="439" spans="1:7" ht="31.5" x14ac:dyDescent="0.25">
      <c r="A439" s="23" t="s">
        <v>1069</v>
      </c>
      <c r="B439" s="24" t="s">
        <v>234</v>
      </c>
      <c r="C439" s="24" t="s">
        <v>215</v>
      </c>
      <c r="D439" s="24" t="s">
        <v>835</v>
      </c>
      <c r="E439" s="20"/>
      <c r="F439" s="4">
        <f t="shared" ref="F439:G441" si="35">F440</f>
        <v>500</v>
      </c>
      <c r="G439" s="4">
        <f t="shared" si="35"/>
        <v>500</v>
      </c>
    </row>
    <row r="440" spans="1:7" ht="31.5" x14ac:dyDescent="0.25">
      <c r="A440" s="250" t="s">
        <v>710</v>
      </c>
      <c r="B440" s="20" t="s">
        <v>234</v>
      </c>
      <c r="C440" s="20" t="s">
        <v>215</v>
      </c>
      <c r="D440" s="20" t="s">
        <v>835</v>
      </c>
      <c r="E440" s="20"/>
      <c r="F440" s="6">
        <f t="shared" si="35"/>
        <v>500</v>
      </c>
      <c r="G440" s="6">
        <f t="shared" si="35"/>
        <v>500</v>
      </c>
    </row>
    <row r="441" spans="1:7" ht="31.5" x14ac:dyDescent="0.25">
      <c r="A441" s="25" t="s">
        <v>131</v>
      </c>
      <c r="B441" s="20" t="s">
        <v>234</v>
      </c>
      <c r="C441" s="20" t="s">
        <v>215</v>
      </c>
      <c r="D441" s="20" t="s">
        <v>835</v>
      </c>
      <c r="E441" s="20" t="s">
        <v>132</v>
      </c>
      <c r="F441" s="6">
        <f t="shared" si="35"/>
        <v>500</v>
      </c>
      <c r="G441" s="6">
        <f t="shared" si="35"/>
        <v>500</v>
      </c>
    </row>
    <row r="442" spans="1:7" ht="47.25" x14ac:dyDescent="0.25">
      <c r="A442" s="25" t="s">
        <v>133</v>
      </c>
      <c r="B442" s="20" t="s">
        <v>234</v>
      </c>
      <c r="C442" s="20" t="s">
        <v>215</v>
      </c>
      <c r="D442" s="20" t="s">
        <v>835</v>
      </c>
      <c r="E442" s="20" t="s">
        <v>134</v>
      </c>
      <c r="F442" s="6">
        <f>'пр.4.1.ведом.22-23'!G1002</f>
        <v>500</v>
      </c>
      <c r="G442" s="6">
        <f>'пр.4.1.ведом.22-23'!H1002</f>
        <v>500</v>
      </c>
    </row>
    <row r="443" spans="1:7" ht="31.5" x14ac:dyDescent="0.25">
      <c r="A443" s="41" t="s">
        <v>569</v>
      </c>
      <c r="B443" s="7" t="s">
        <v>234</v>
      </c>
      <c r="C443" s="7" t="s">
        <v>234</v>
      </c>
      <c r="D443" s="7"/>
      <c r="E443" s="7"/>
      <c r="F443" s="4">
        <f>F444+F456+F473</f>
        <v>25304.5</v>
      </c>
      <c r="G443" s="4">
        <f>G444+G456+G473</f>
        <v>25304.5</v>
      </c>
    </row>
    <row r="444" spans="1:7" ht="31.5" x14ac:dyDescent="0.25">
      <c r="A444" s="23" t="s">
        <v>917</v>
      </c>
      <c r="B444" s="24" t="s">
        <v>234</v>
      </c>
      <c r="C444" s="24" t="s">
        <v>234</v>
      </c>
      <c r="D444" s="24" t="s">
        <v>858</v>
      </c>
      <c r="E444" s="24"/>
      <c r="F444" s="4">
        <f>F445</f>
        <v>12879.3</v>
      </c>
      <c r="G444" s="4">
        <f>G445</f>
        <v>12879.3</v>
      </c>
    </row>
    <row r="445" spans="1:7" ht="15.75" x14ac:dyDescent="0.25">
      <c r="A445" s="23" t="s">
        <v>918</v>
      </c>
      <c r="B445" s="24" t="s">
        <v>234</v>
      </c>
      <c r="C445" s="24" t="s">
        <v>234</v>
      </c>
      <c r="D445" s="24" t="s">
        <v>859</v>
      </c>
      <c r="E445" s="24"/>
      <c r="F445" s="4">
        <f>F446+F453</f>
        <v>12879.3</v>
      </c>
      <c r="G445" s="4">
        <f>G446+G453</f>
        <v>12879.3</v>
      </c>
    </row>
    <row r="446" spans="1:7" ht="31.5" x14ac:dyDescent="0.25">
      <c r="A446" s="25" t="s">
        <v>897</v>
      </c>
      <c r="B446" s="20" t="s">
        <v>234</v>
      </c>
      <c r="C446" s="20" t="s">
        <v>234</v>
      </c>
      <c r="D446" s="20" t="s">
        <v>860</v>
      </c>
      <c r="E446" s="20"/>
      <c r="F446" s="6">
        <f>F447+F449+F451</f>
        <v>12511.3</v>
      </c>
      <c r="G446" s="6">
        <f>G447+G449+G451</f>
        <v>12511.3</v>
      </c>
    </row>
    <row r="447" spans="1:7" ht="94.5" x14ac:dyDescent="0.25">
      <c r="A447" s="25" t="s">
        <v>127</v>
      </c>
      <c r="B447" s="20" t="s">
        <v>234</v>
      </c>
      <c r="C447" s="20" t="s">
        <v>234</v>
      </c>
      <c r="D447" s="20" t="s">
        <v>860</v>
      </c>
      <c r="E447" s="20" t="s">
        <v>128</v>
      </c>
      <c r="F447" s="6">
        <f>F448</f>
        <v>12439.3</v>
      </c>
      <c r="G447" s="6">
        <f>G448</f>
        <v>12439.3</v>
      </c>
    </row>
    <row r="448" spans="1:7" ht="36.75" customHeight="1" x14ac:dyDescent="0.25">
      <c r="A448" s="25" t="s">
        <v>129</v>
      </c>
      <c r="B448" s="20" t="s">
        <v>234</v>
      </c>
      <c r="C448" s="20" t="s">
        <v>234</v>
      </c>
      <c r="D448" s="20" t="s">
        <v>860</v>
      </c>
      <c r="E448" s="20" t="s">
        <v>130</v>
      </c>
      <c r="F448" s="6">
        <f>'пр.4.1.ведом.22-23'!G1008</f>
        <v>12439.3</v>
      </c>
      <c r="G448" s="6">
        <f>'пр.4.1.ведом.22-23'!H1008</f>
        <v>12439.3</v>
      </c>
    </row>
    <row r="449" spans="1:7" ht="31.5" x14ac:dyDescent="0.25">
      <c r="A449" s="25" t="s">
        <v>131</v>
      </c>
      <c r="B449" s="20" t="s">
        <v>234</v>
      </c>
      <c r="C449" s="20" t="s">
        <v>234</v>
      </c>
      <c r="D449" s="20" t="s">
        <v>860</v>
      </c>
      <c r="E449" s="20" t="s">
        <v>132</v>
      </c>
      <c r="F449" s="6">
        <f>F450</f>
        <v>25</v>
      </c>
      <c r="G449" s="6">
        <f>G450</f>
        <v>25</v>
      </c>
    </row>
    <row r="450" spans="1:7" ht="47.25" x14ac:dyDescent="0.25">
      <c r="A450" s="25" t="s">
        <v>133</v>
      </c>
      <c r="B450" s="20" t="s">
        <v>234</v>
      </c>
      <c r="C450" s="20" t="s">
        <v>234</v>
      </c>
      <c r="D450" s="20" t="s">
        <v>860</v>
      </c>
      <c r="E450" s="20" t="s">
        <v>134</v>
      </c>
      <c r="F450" s="6">
        <f>'пр.4.1.ведом.22-23'!G1010</f>
        <v>25</v>
      </c>
      <c r="G450" s="6">
        <f>'пр.4.1.ведом.22-23'!H1010</f>
        <v>25</v>
      </c>
    </row>
    <row r="451" spans="1:7" ht="15.75" x14ac:dyDescent="0.25">
      <c r="A451" s="25" t="s">
        <v>135</v>
      </c>
      <c r="B451" s="20" t="s">
        <v>234</v>
      </c>
      <c r="C451" s="20" t="s">
        <v>234</v>
      </c>
      <c r="D451" s="20" t="s">
        <v>860</v>
      </c>
      <c r="E451" s="20" t="s">
        <v>145</v>
      </c>
      <c r="F451" s="6">
        <f>F452</f>
        <v>47</v>
      </c>
      <c r="G451" s="6">
        <f>G452</f>
        <v>47</v>
      </c>
    </row>
    <row r="452" spans="1:7" ht="21.75" customHeight="1" x14ac:dyDescent="0.25">
      <c r="A452" s="25" t="s">
        <v>568</v>
      </c>
      <c r="B452" s="20" t="s">
        <v>234</v>
      </c>
      <c r="C452" s="20" t="s">
        <v>234</v>
      </c>
      <c r="D452" s="20" t="s">
        <v>860</v>
      </c>
      <c r="E452" s="20" t="s">
        <v>138</v>
      </c>
      <c r="F452" s="6">
        <f>'пр.4.1.ведом.22-23'!G1012</f>
        <v>47</v>
      </c>
      <c r="G452" s="6">
        <f>'пр.4.1.ведом.22-23'!H1012</f>
        <v>47</v>
      </c>
    </row>
    <row r="453" spans="1:7" ht="47.25" x14ac:dyDescent="0.25">
      <c r="A453" s="25" t="s">
        <v>839</v>
      </c>
      <c r="B453" s="20" t="s">
        <v>234</v>
      </c>
      <c r="C453" s="20" t="s">
        <v>234</v>
      </c>
      <c r="D453" s="20" t="s">
        <v>862</v>
      </c>
      <c r="E453" s="20"/>
      <c r="F453" s="6">
        <f>F454</f>
        <v>368</v>
      </c>
      <c r="G453" s="6">
        <f>G454</f>
        <v>368</v>
      </c>
    </row>
    <row r="454" spans="1:7" ht="94.5" x14ac:dyDescent="0.25">
      <c r="A454" s="25" t="s">
        <v>127</v>
      </c>
      <c r="B454" s="20" t="s">
        <v>234</v>
      </c>
      <c r="C454" s="20" t="s">
        <v>234</v>
      </c>
      <c r="D454" s="20" t="s">
        <v>862</v>
      </c>
      <c r="E454" s="20" t="s">
        <v>128</v>
      </c>
      <c r="F454" s="6">
        <f>F455</f>
        <v>368</v>
      </c>
      <c r="G454" s="6">
        <f>G455</f>
        <v>368</v>
      </c>
    </row>
    <row r="455" spans="1:7" ht="33" customHeight="1" x14ac:dyDescent="0.25">
      <c r="A455" s="25" t="s">
        <v>129</v>
      </c>
      <c r="B455" s="20" t="s">
        <v>234</v>
      </c>
      <c r="C455" s="20" t="s">
        <v>234</v>
      </c>
      <c r="D455" s="20" t="s">
        <v>862</v>
      </c>
      <c r="E455" s="20" t="s">
        <v>130</v>
      </c>
      <c r="F455" s="6">
        <f>'пр.4.1.ведом.22-23'!G1015</f>
        <v>368</v>
      </c>
      <c r="G455" s="6">
        <f>'пр.4.1.ведом.22-23'!H1015</f>
        <v>368</v>
      </c>
    </row>
    <row r="456" spans="1:7" ht="15.75" x14ac:dyDescent="0.25">
      <c r="A456" s="23" t="s">
        <v>141</v>
      </c>
      <c r="B456" s="24" t="s">
        <v>234</v>
      </c>
      <c r="C456" s="24" t="s">
        <v>234</v>
      </c>
      <c r="D456" s="24" t="s">
        <v>866</v>
      </c>
      <c r="E456" s="24"/>
      <c r="F456" s="4">
        <f>F457+F464</f>
        <v>12425.2</v>
      </c>
      <c r="G456" s="4">
        <f>G457+G464</f>
        <v>12425.2</v>
      </c>
    </row>
    <row r="457" spans="1:7" ht="31.5" x14ac:dyDescent="0.25">
      <c r="A457" s="23" t="s">
        <v>870</v>
      </c>
      <c r="B457" s="24" t="s">
        <v>234</v>
      </c>
      <c r="C457" s="24" t="s">
        <v>234</v>
      </c>
      <c r="D457" s="24" t="s">
        <v>865</v>
      </c>
      <c r="E457" s="24"/>
      <c r="F457" s="380">
        <f>F458</f>
        <v>982</v>
      </c>
      <c r="G457" s="380">
        <f>G458+G461</f>
        <v>982</v>
      </c>
    </row>
    <row r="458" spans="1:7" ht="31.5" x14ac:dyDescent="0.25">
      <c r="A458" s="25" t="s">
        <v>570</v>
      </c>
      <c r="B458" s="20" t="s">
        <v>234</v>
      </c>
      <c r="C458" s="20" t="s">
        <v>234</v>
      </c>
      <c r="D458" s="20" t="s">
        <v>984</v>
      </c>
      <c r="E458" s="20"/>
      <c r="F458" s="6">
        <f>F459</f>
        <v>982</v>
      </c>
      <c r="G458" s="6">
        <f>G459</f>
        <v>982</v>
      </c>
    </row>
    <row r="459" spans="1:7" ht="15.75" x14ac:dyDescent="0.25">
      <c r="A459" s="25" t="s">
        <v>135</v>
      </c>
      <c r="B459" s="20" t="s">
        <v>234</v>
      </c>
      <c r="C459" s="20" t="s">
        <v>234</v>
      </c>
      <c r="D459" s="20" t="s">
        <v>984</v>
      </c>
      <c r="E459" s="20" t="s">
        <v>145</v>
      </c>
      <c r="F459" s="6">
        <f>F460</f>
        <v>982</v>
      </c>
      <c r="G459" s="6">
        <f>G460</f>
        <v>982</v>
      </c>
    </row>
    <row r="460" spans="1:7" ht="63" x14ac:dyDescent="0.25">
      <c r="A460" s="25" t="s">
        <v>184</v>
      </c>
      <c r="B460" s="20" t="s">
        <v>234</v>
      </c>
      <c r="C460" s="20" t="s">
        <v>234</v>
      </c>
      <c r="D460" s="20" t="s">
        <v>984</v>
      </c>
      <c r="E460" s="20" t="s">
        <v>160</v>
      </c>
      <c r="F460" s="6">
        <f>'пр.4.1.ведом.22-23'!G1020</f>
        <v>982</v>
      </c>
      <c r="G460" s="6">
        <f>'пр.4.1.ведом.22-23'!H1020</f>
        <v>982</v>
      </c>
    </row>
    <row r="461" spans="1:7" ht="31.5" hidden="1" x14ac:dyDescent="0.25">
      <c r="A461" s="25" t="s">
        <v>823</v>
      </c>
      <c r="B461" s="20" t="s">
        <v>234</v>
      </c>
      <c r="C461" s="20" t="s">
        <v>234</v>
      </c>
      <c r="D461" s="20" t="s">
        <v>1074</v>
      </c>
      <c r="E461" s="20"/>
      <c r="F461" s="6"/>
      <c r="G461" s="6">
        <f t="shared" si="33"/>
        <v>0</v>
      </c>
    </row>
    <row r="462" spans="1:7" ht="15.75" hidden="1" x14ac:dyDescent="0.25">
      <c r="A462" s="25" t="s">
        <v>135</v>
      </c>
      <c r="B462" s="20" t="s">
        <v>234</v>
      </c>
      <c r="C462" s="20" t="s">
        <v>234</v>
      </c>
      <c r="D462" s="20" t="s">
        <v>1074</v>
      </c>
      <c r="E462" s="20" t="s">
        <v>145</v>
      </c>
      <c r="F462" s="6">
        <f>F463</f>
        <v>0</v>
      </c>
      <c r="G462" s="6">
        <f t="shared" si="33"/>
        <v>0</v>
      </c>
    </row>
    <row r="463" spans="1:7" ht="63" hidden="1" x14ac:dyDescent="0.25">
      <c r="A463" s="25" t="s">
        <v>184</v>
      </c>
      <c r="B463" s="20" t="s">
        <v>234</v>
      </c>
      <c r="C463" s="20" t="s">
        <v>234</v>
      </c>
      <c r="D463" s="20" t="s">
        <v>1074</v>
      </c>
      <c r="E463" s="20" t="s">
        <v>160</v>
      </c>
      <c r="F463" s="6">
        <v>0</v>
      </c>
      <c r="G463" s="6">
        <f t="shared" si="33"/>
        <v>0</v>
      </c>
    </row>
    <row r="464" spans="1:7" ht="47.25" x14ac:dyDescent="0.25">
      <c r="A464" s="23" t="s">
        <v>929</v>
      </c>
      <c r="B464" s="24" t="s">
        <v>234</v>
      </c>
      <c r="C464" s="24" t="s">
        <v>234</v>
      </c>
      <c r="D464" s="24" t="s">
        <v>914</v>
      </c>
      <c r="E464" s="24"/>
      <c r="F464" s="380">
        <f>F465+F470</f>
        <v>11443.2</v>
      </c>
      <c r="G464" s="380">
        <f>G465+G470</f>
        <v>11443.2</v>
      </c>
    </row>
    <row r="465" spans="1:10" ht="31.5" x14ac:dyDescent="0.25">
      <c r="A465" s="25" t="s">
        <v>903</v>
      </c>
      <c r="B465" s="20" t="s">
        <v>234</v>
      </c>
      <c r="C465" s="20" t="s">
        <v>234</v>
      </c>
      <c r="D465" s="20" t="s">
        <v>915</v>
      </c>
      <c r="E465" s="20"/>
      <c r="F465" s="6">
        <f>F466+F469</f>
        <v>10845.2</v>
      </c>
      <c r="G465" s="6">
        <f>G466+G469</f>
        <v>10845.2</v>
      </c>
    </row>
    <row r="466" spans="1:10" ht="94.5" x14ac:dyDescent="0.25">
      <c r="A466" s="25" t="s">
        <v>127</v>
      </c>
      <c r="B466" s="20" t="s">
        <v>234</v>
      </c>
      <c r="C466" s="20" t="s">
        <v>234</v>
      </c>
      <c r="D466" s="20" t="s">
        <v>915</v>
      </c>
      <c r="E466" s="20" t="s">
        <v>128</v>
      </c>
      <c r="F466" s="6">
        <f>F467</f>
        <v>9193</v>
      </c>
      <c r="G466" s="6">
        <f>G467</f>
        <v>9193</v>
      </c>
    </row>
    <row r="467" spans="1:10" ht="31.5" x14ac:dyDescent="0.25">
      <c r="A467" s="25" t="s">
        <v>342</v>
      </c>
      <c r="B467" s="20" t="s">
        <v>234</v>
      </c>
      <c r="C467" s="20" t="s">
        <v>234</v>
      </c>
      <c r="D467" s="20" t="s">
        <v>915</v>
      </c>
      <c r="E467" s="20" t="s">
        <v>209</v>
      </c>
      <c r="F467" s="6">
        <f>'пр.4.1.ведом.22-23'!G1027</f>
        <v>9193</v>
      </c>
      <c r="G467" s="6">
        <f>'пр.4.1.ведом.22-23'!H1027</f>
        <v>9193</v>
      </c>
    </row>
    <row r="468" spans="1:10" ht="31.5" x14ac:dyDescent="0.25">
      <c r="A468" s="25" t="s">
        <v>131</v>
      </c>
      <c r="B468" s="20" t="s">
        <v>234</v>
      </c>
      <c r="C468" s="20" t="s">
        <v>234</v>
      </c>
      <c r="D468" s="20" t="s">
        <v>915</v>
      </c>
      <c r="E468" s="20" t="s">
        <v>132</v>
      </c>
      <c r="F468" s="6">
        <f>F469</f>
        <v>1652.2</v>
      </c>
      <c r="G468" s="6">
        <f>G469</f>
        <v>1652.2</v>
      </c>
    </row>
    <row r="469" spans="1:10" ht="47.25" x14ac:dyDescent="0.25">
      <c r="A469" s="25" t="s">
        <v>133</v>
      </c>
      <c r="B469" s="20" t="s">
        <v>234</v>
      </c>
      <c r="C469" s="20" t="s">
        <v>234</v>
      </c>
      <c r="D469" s="20" t="s">
        <v>915</v>
      </c>
      <c r="E469" s="20" t="s">
        <v>134</v>
      </c>
      <c r="F469" s="6">
        <f>'пр.4.1.ведом.22-23'!G1029</f>
        <v>1652.2</v>
      </c>
      <c r="G469" s="6">
        <f>'пр.4.1.ведом.22-23'!H1029</f>
        <v>1652.2</v>
      </c>
    </row>
    <row r="470" spans="1:10" ht="47.25" x14ac:dyDescent="0.25">
      <c r="A470" s="25" t="s">
        <v>839</v>
      </c>
      <c r="B470" s="20" t="s">
        <v>234</v>
      </c>
      <c r="C470" s="20" t="s">
        <v>234</v>
      </c>
      <c r="D470" s="20" t="s">
        <v>916</v>
      </c>
      <c r="E470" s="20"/>
      <c r="F470" s="6">
        <f>F471</f>
        <v>598</v>
      </c>
      <c r="G470" s="6">
        <f>G471</f>
        <v>598</v>
      </c>
    </row>
    <row r="471" spans="1:10" ht="94.5" x14ac:dyDescent="0.25">
      <c r="A471" s="25" t="s">
        <v>127</v>
      </c>
      <c r="B471" s="20" t="s">
        <v>234</v>
      </c>
      <c r="C471" s="20" t="s">
        <v>234</v>
      </c>
      <c r="D471" s="20" t="s">
        <v>916</v>
      </c>
      <c r="E471" s="20" t="s">
        <v>128</v>
      </c>
      <c r="F471" s="6">
        <f>F472</f>
        <v>598</v>
      </c>
      <c r="G471" s="6">
        <f>G472</f>
        <v>598</v>
      </c>
    </row>
    <row r="472" spans="1:10" ht="39.75" customHeight="1" x14ac:dyDescent="0.25">
      <c r="A472" s="25" t="s">
        <v>129</v>
      </c>
      <c r="B472" s="20" t="s">
        <v>234</v>
      </c>
      <c r="C472" s="20" t="s">
        <v>234</v>
      </c>
      <c r="D472" s="20" t="s">
        <v>916</v>
      </c>
      <c r="E472" s="20" t="s">
        <v>130</v>
      </c>
      <c r="F472" s="6">
        <f>'пр.4.1.ведом.22-23'!G1032</f>
        <v>598</v>
      </c>
      <c r="G472" s="6">
        <f>'пр.4.1.ведом.22-23'!H1032</f>
        <v>598</v>
      </c>
    </row>
    <row r="473" spans="1:10" s="203" customFormat="1" ht="63" hidden="1" x14ac:dyDescent="0.25">
      <c r="A473" s="34" t="s">
        <v>1368</v>
      </c>
      <c r="B473" s="24" t="s">
        <v>234</v>
      </c>
      <c r="C473" s="24" t="s">
        <v>234</v>
      </c>
      <c r="D473" s="24" t="s">
        <v>324</v>
      </c>
      <c r="E473" s="24"/>
      <c r="F473" s="21">
        <f t="shared" ref="F473:G476" si="36">F474</f>
        <v>0</v>
      </c>
      <c r="G473" s="21">
        <f t="shared" si="36"/>
        <v>0</v>
      </c>
    </row>
    <row r="474" spans="1:10" s="203" customFormat="1" ht="63" hidden="1" x14ac:dyDescent="0.25">
      <c r="A474" s="34" t="s">
        <v>1009</v>
      </c>
      <c r="B474" s="24" t="s">
        <v>234</v>
      </c>
      <c r="C474" s="24" t="s">
        <v>234</v>
      </c>
      <c r="D474" s="24" t="s">
        <v>934</v>
      </c>
      <c r="E474" s="24"/>
      <c r="F474" s="21">
        <f t="shared" si="36"/>
        <v>0</v>
      </c>
      <c r="G474" s="21">
        <f t="shared" si="36"/>
        <v>0</v>
      </c>
    </row>
    <row r="475" spans="1:10" s="203" customFormat="1" ht="47.25" hidden="1" x14ac:dyDescent="0.25">
      <c r="A475" s="31" t="s">
        <v>1083</v>
      </c>
      <c r="B475" s="20" t="s">
        <v>234</v>
      </c>
      <c r="C475" s="20" t="s">
        <v>234</v>
      </c>
      <c r="D475" s="20" t="s">
        <v>1026</v>
      </c>
      <c r="E475" s="20"/>
      <c r="F475" s="26">
        <f t="shared" si="36"/>
        <v>0</v>
      </c>
      <c r="G475" s="26">
        <f t="shared" si="36"/>
        <v>0</v>
      </c>
    </row>
    <row r="476" spans="1:10" s="203" customFormat="1" ht="31.5" hidden="1" x14ac:dyDescent="0.25">
      <c r="A476" s="25" t="s">
        <v>131</v>
      </c>
      <c r="B476" s="20" t="s">
        <v>234</v>
      </c>
      <c r="C476" s="20" t="s">
        <v>234</v>
      </c>
      <c r="D476" s="20" t="s">
        <v>1026</v>
      </c>
      <c r="E476" s="20" t="s">
        <v>132</v>
      </c>
      <c r="F476" s="26">
        <f t="shared" si="36"/>
        <v>0</v>
      </c>
      <c r="G476" s="26">
        <f t="shared" si="36"/>
        <v>0</v>
      </c>
    </row>
    <row r="477" spans="1:10" s="203" customFormat="1" ht="47.25" hidden="1" x14ac:dyDescent="0.25">
      <c r="A477" s="25" t="s">
        <v>133</v>
      </c>
      <c r="B477" s="20" t="s">
        <v>234</v>
      </c>
      <c r="C477" s="20" t="s">
        <v>234</v>
      </c>
      <c r="D477" s="20" t="s">
        <v>1026</v>
      </c>
      <c r="E477" s="20" t="s">
        <v>134</v>
      </c>
      <c r="F477" s="26">
        <f>'пр.4.1.ведом.22-23'!G1037</f>
        <v>0</v>
      </c>
      <c r="G477" s="6">
        <f>'пр.4.1.ведом.22-23'!H1037</f>
        <v>0</v>
      </c>
    </row>
    <row r="478" spans="1:10" ht="15.75" x14ac:dyDescent="0.25">
      <c r="A478" s="41" t="s">
        <v>263</v>
      </c>
      <c r="B478" s="7" t="s">
        <v>264</v>
      </c>
      <c r="C478" s="40"/>
      <c r="D478" s="40"/>
      <c r="E478" s="40"/>
      <c r="F478" s="4">
        <f>F479+F542+F714+F620+F689</f>
        <v>366206.80999999994</v>
      </c>
      <c r="G478" s="4">
        <f>G479+G542+G714+G620+G689</f>
        <v>389340.16000000003</v>
      </c>
      <c r="H478" s="224"/>
      <c r="I478" s="224"/>
      <c r="J478" s="224"/>
    </row>
    <row r="479" spans="1:10" ht="15.75" x14ac:dyDescent="0.25">
      <c r="A479" s="41" t="s">
        <v>404</v>
      </c>
      <c r="B479" s="7" t="s">
        <v>264</v>
      </c>
      <c r="C479" s="7" t="s">
        <v>118</v>
      </c>
      <c r="D479" s="7"/>
      <c r="E479" s="7"/>
      <c r="F479" s="4">
        <f>F480+F532+F537</f>
        <v>102250.3</v>
      </c>
      <c r="G479" s="4">
        <f>G480+G532+G537</f>
        <v>105829.20000000001</v>
      </c>
    </row>
    <row r="480" spans="1:10" ht="47.25" x14ac:dyDescent="0.25">
      <c r="A480" s="23" t="s">
        <v>1367</v>
      </c>
      <c r="B480" s="24" t="s">
        <v>264</v>
      </c>
      <c r="C480" s="24" t="s">
        <v>118</v>
      </c>
      <c r="D480" s="24" t="s">
        <v>406</v>
      </c>
      <c r="E480" s="24"/>
      <c r="F480" s="4">
        <f>F481+F485+F498+F508+F518+F525</f>
        <v>101599.40000000001</v>
      </c>
      <c r="G480" s="4">
        <f>G481+G485+G498+G508+G518+G525</f>
        <v>105210.40000000001</v>
      </c>
    </row>
    <row r="481" spans="1:7" ht="47.25" x14ac:dyDescent="0.25">
      <c r="A481" s="23" t="s">
        <v>937</v>
      </c>
      <c r="B481" s="24" t="s">
        <v>264</v>
      </c>
      <c r="C481" s="24" t="s">
        <v>118</v>
      </c>
      <c r="D481" s="24" t="s">
        <v>1235</v>
      </c>
      <c r="E481" s="24"/>
      <c r="F481" s="4">
        <f t="shared" ref="F481:G483" si="37">F482</f>
        <v>14795.6</v>
      </c>
      <c r="G481" s="4">
        <f t="shared" si="37"/>
        <v>14795.6</v>
      </c>
    </row>
    <row r="482" spans="1:7" ht="47.25" x14ac:dyDescent="0.25">
      <c r="A482" s="25" t="s">
        <v>1234</v>
      </c>
      <c r="B482" s="20" t="s">
        <v>264</v>
      </c>
      <c r="C482" s="20" t="s">
        <v>118</v>
      </c>
      <c r="D482" s="20" t="s">
        <v>1236</v>
      </c>
      <c r="E482" s="20"/>
      <c r="F482" s="6">
        <f t="shared" si="37"/>
        <v>14795.6</v>
      </c>
      <c r="G482" s="6">
        <f t="shared" si="37"/>
        <v>14795.6</v>
      </c>
    </row>
    <row r="483" spans="1:7" ht="47.25" x14ac:dyDescent="0.25">
      <c r="A483" s="25" t="s">
        <v>272</v>
      </c>
      <c r="B483" s="20" t="s">
        <v>264</v>
      </c>
      <c r="C483" s="20" t="s">
        <v>118</v>
      </c>
      <c r="D483" s="20" t="s">
        <v>1236</v>
      </c>
      <c r="E483" s="20" t="s">
        <v>273</v>
      </c>
      <c r="F483" s="6">
        <f t="shared" si="37"/>
        <v>14795.6</v>
      </c>
      <c r="G483" s="6">
        <f t="shared" si="37"/>
        <v>14795.6</v>
      </c>
    </row>
    <row r="484" spans="1:7" ht="25.5" customHeight="1" x14ac:dyDescent="0.25">
      <c r="A484" s="25" t="s">
        <v>274</v>
      </c>
      <c r="B484" s="20" t="s">
        <v>264</v>
      </c>
      <c r="C484" s="20" t="s">
        <v>118</v>
      </c>
      <c r="D484" s="20" t="s">
        <v>1236</v>
      </c>
      <c r="E484" s="20" t="s">
        <v>275</v>
      </c>
      <c r="F484" s="378">
        <f>'пр.4.1.ведом.22-23'!G554</f>
        <v>14795.6</v>
      </c>
      <c r="G484" s="378">
        <f>'пр.4.1.ведом.22-23'!H554</f>
        <v>14795.6</v>
      </c>
    </row>
    <row r="485" spans="1:7" ht="47.25" x14ac:dyDescent="0.25">
      <c r="A485" s="23" t="s">
        <v>900</v>
      </c>
      <c r="B485" s="24" t="s">
        <v>264</v>
      </c>
      <c r="C485" s="24" t="s">
        <v>118</v>
      </c>
      <c r="D485" s="24" t="s">
        <v>1237</v>
      </c>
      <c r="E485" s="24"/>
      <c r="F485" s="4">
        <f>F489+F492+F495+F486</f>
        <v>75561.5</v>
      </c>
      <c r="G485" s="4">
        <f>G489+G492+G495+G486</f>
        <v>79924.100000000006</v>
      </c>
    </row>
    <row r="486" spans="1:7" s="203" customFormat="1" ht="110.25" x14ac:dyDescent="0.25">
      <c r="A486" s="31" t="s">
        <v>293</v>
      </c>
      <c r="B486" s="20" t="s">
        <v>264</v>
      </c>
      <c r="C486" s="20" t="s">
        <v>118</v>
      </c>
      <c r="D486" s="20" t="s">
        <v>1401</v>
      </c>
      <c r="E486" s="20"/>
      <c r="F486" s="6">
        <f t="shared" ref="F486:G487" si="38">F487</f>
        <v>3230</v>
      </c>
      <c r="G486" s="6">
        <f t="shared" si="38"/>
        <v>3230</v>
      </c>
    </row>
    <row r="487" spans="1:7" s="203" customFormat="1" ht="47.25" x14ac:dyDescent="0.25">
      <c r="A487" s="25" t="s">
        <v>272</v>
      </c>
      <c r="B487" s="20" t="s">
        <v>264</v>
      </c>
      <c r="C487" s="20" t="s">
        <v>118</v>
      </c>
      <c r="D487" s="20" t="s">
        <v>1401</v>
      </c>
      <c r="E487" s="20" t="s">
        <v>273</v>
      </c>
      <c r="F487" s="6">
        <f t="shared" si="38"/>
        <v>3230</v>
      </c>
      <c r="G487" s="6">
        <f t="shared" si="38"/>
        <v>3230</v>
      </c>
    </row>
    <row r="488" spans="1:7" s="203" customFormat="1" ht="15.75" x14ac:dyDescent="0.25">
      <c r="A488" s="25" t="s">
        <v>274</v>
      </c>
      <c r="B488" s="20" t="s">
        <v>264</v>
      </c>
      <c r="C488" s="20" t="s">
        <v>118</v>
      </c>
      <c r="D488" s="20" t="s">
        <v>1401</v>
      </c>
      <c r="E488" s="20" t="s">
        <v>275</v>
      </c>
      <c r="F488" s="6">
        <f>'пр.4.1.ведом.22-23'!G558</f>
        <v>3230</v>
      </c>
      <c r="G488" s="6">
        <f>'пр.4.1.ведом.22-23'!H558</f>
        <v>3230</v>
      </c>
    </row>
    <row r="489" spans="1:7" ht="63" x14ac:dyDescent="0.25">
      <c r="A489" s="31" t="s">
        <v>289</v>
      </c>
      <c r="B489" s="20" t="s">
        <v>264</v>
      </c>
      <c r="C489" s="20" t="s">
        <v>118</v>
      </c>
      <c r="D489" s="20" t="s">
        <v>1238</v>
      </c>
      <c r="E489" s="20"/>
      <c r="F489" s="6">
        <f t="shared" ref="F489:G490" si="39">F490</f>
        <v>589</v>
      </c>
      <c r="G489" s="6">
        <f t="shared" si="39"/>
        <v>589</v>
      </c>
    </row>
    <row r="490" spans="1:7" ht="47.25" x14ac:dyDescent="0.25">
      <c r="A490" s="25" t="s">
        <v>272</v>
      </c>
      <c r="B490" s="20" t="s">
        <v>264</v>
      </c>
      <c r="C490" s="20" t="s">
        <v>118</v>
      </c>
      <c r="D490" s="20" t="s">
        <v>1238</v>
      </c>
      <c r="E490" s="20" t="s">
        <v>273</v>
      </c>
      <c r="F490" s="6">
        <f t="shared" si="39"/>
        <v>589</v>
      </c>
      <c r="G490" s="6">
        <f t="shared" si="39"/>
        <v>589</v>
      </c>
    </row>
    <row r="491" spans="1:7" ht="15.75" x14ac:dyDescent="0.25">
      <c r="A491" s="25" t="s">
        <v>274</v>
      </c>
      <c r="B491" s="20" t="s">
        <v>264</v>
      </c>
      <c r="C491" s="20" t="s">
        <v>118</v>
      </c>
      <c r="D491" s="20" t="s">
        <v>1238</v>
      </c>
      <c r="E491" s="20" t="s">
        <v>275</v>
      </c>
      <c r="F491" s="6">
        <f>'пр.4.1.ведом.22-23'!G561</f>
        <v>589</v>
      </c>
      <c r="G491" s="6">
        <f>'пр.4.1.ведом.22-23'!H561</f>
        <v>589</v>
      </c>
    </row>
    <row r="492" spans="1:7" ht="78.75" x14ac:dyDescent="0.25">
      <c r="A492" s="31" t="s">
        <v>291</v>
      </c>
      <c r="B492" s="20" t="s">
        <v>264</v>
      </c>
      <c r="C492" s="20" t="s">
        <v>118</v>
      </c>
      <c r="D492" s="20" t="s">
        <v>1239</v>
      </c>
      <c r="E492" s="20"/>
      <c r="F492" s="6">
        <f t="shared" ref="F492:G493" si="40">F493</f>
        <v>1629.3</v>
      </c>
      <c r="G492" s="6">
        <f t="shared" si="40"/>
        <v>1629.3</v>
      </c>
    </row>
    <row r="493" spans="1:7" ht="47.25" x14ac:dyDescent="0.25">
      <c r="A493" s="25" t="s">
        <v>272</v>
      </c>
      <c r="B493" s="20" t="s">
        <v>264</v>
      </c>
      <c r="C493" s="20" t="s">
        <v>118</v>
      </c>
      <c r="D493" s="20" t="s">
        <v>1239</v>
      </c>
      <c r="E493" s="20" t="s">
        <v>273</v>
      </c>
      <c r="F493" s="6">
        <f t="shared" si="40"/>
        <v>1629.3</v>
      </c>
      <c r="G493" s="6">
        <f t="shared" si="40"/>
        <v>1629.3</v>
      </c>
    </row>
    <row r="494" spans="1:7" ht="15.75" x14ac:dyDescent="0.25">
      <c r="A494" s="25" t="s">
        <v>274</v>
      </c>
      <c r="B494" s="20" t="s">
        <v>264</v>
      </c>
      <c r="C494" s="20" t="s">
        <v>118</v>
      </c>
      <c r="D494" s="20" t="s">
        <v>1239</v>
      </c>
      <c r="E494" s="20" t="s">
        <v>275</v>
      </c>
      <c r="F494" s="6">
        <f>'пр.4.1.ведом.22-23'!G564</f>
        <v>1629.3</v>
      </c>
      <c r="G494" s="6">
        <f>'пр.4.1.ведом.22-23'!H564</f>
        <v>1629.3</v>
      </c>
    </row>
    <row r="495" spans="1:7" ht="94.5" x14ac:dyDescent="0.25">
      <c r="A495" s="31" t="s">
        <v>1188</v>
      </c>
      <c r="B495" s="20" t="s">
        <v>264</v>
      </c>
      <c r="C495" s="20" t="s">
        <v>118</v>
      </c>
      <c r="D495" s="20" t="s">
        <v>1240</v>
      </c>
      <c r="E495" s="20"/>
      <c r="F495" s="6">
        <f t="shared" ref="F495:G496" si="41">F496</f>
        <v>70113.2</v>
      </c>
      <c r="G495" s="6">
        <f t="shared" si="41"/>
        <v>74475.8</v>
      </c>
    </row>
    <row r="496" spans="1:7" ht="47.25" x14ac:dyDescent="0.25">
      <c r="A496" s="25" t="s">
        <v>272</v>
      </c>
      <c r="B496" s="20" t="s">
        <v>264</v>
      </c>
      <c r="C496" s="20" t="s">
        <v>118</v>
      </c>
      <c r="D496" s="20" t="s">
        <v>1240</v>
      </c>
      <c r="E496" s="20" t="s">
        <v>273</v>
      </c>
      <c r="F496" s="6">
        <f t="shared" si="41"/>
        <v>70113.2</v>
      </c>
      <c r="G496" s="6">
        <f t="shared" si="41"/>
        <v>74475.8</v>
      </c>
    </row>
    <row r="497" spans="1:7" ht="15.75" x14ac:dyDescent="0.25">
      <c r="A497" s="25" t="s">
        <v>274</v>
      </c>
      <c r="B497" s="20" t="s">
        <v>264</v>
      </c>
      <c r="C497" s="20" t="s">
        <v>118</v>
      </c>
      <c r="D497" s="20" t="s">
        <v>1240</v>
      </c>
      <c r="E497" s="20" t="s">
        <v>275</v>
      </c>
      <c r="F497" s="6">
        <f>'пр.4.1.ведом.22-23'!G567</f>
        <v>70113.2</v>
      </c>
      <c r="G497" s="6">
        <f>'пр.4.1.ведом.22-23'!H567</f>
        <v>74475.8</v>
      </c>
    </row>
    <row r="498" spans="1:7" ht="31.5" x14ac:dyDescent="0.25">
      <c r="A498" s="23" t="s">
        <v>1297</v>
      </c>
      <c r="B498" s="24" t="s">
        <v>264</v>
      </c>
      <c r="C498" s="24" t="s">
        <v>118</v>
      </c>
      <c r="D498" s="24" t="s">
        <v>1242</v>
      </c>
      <c r="E498" s="24"/>
      <c r="F498" s="4">
        <f>F505</f>
        <v>4430</v>
      </c>
      <c r="G498" s="4">
        <f>G505</f>
        <v>4430</v>
      </c>
    </row>
    <row r="499" spans="1:7" ht="47.25" hidden="1" x14ac:dyDescent="0.25">
      <c r="A499" s="25" t="s">
        <v>278</v>
      </c>
      <c r="B499" s="20" t="s">
        <v>264</v>
      </c>
      <c r="C499" s="20" t="s">
        <v>118</v>
      </c>
      <c r="D499" s="20" t="s">
        <v>1325</v>
      </c>
      <c r="E499" s="20"/>
      <c r="F499" s="6">
        <f>F500</f>
        <v>0</v>
      </c>
      <c r="G499" s="6">
        <f>G500</f>
        <v>0</v>
      </c>
    </row>
    <row r="500" spans="1:7" ht="47.25" hidden="1" x14ac:dyDescent="0.25">
      <c r="A500" s="25" t="s">
        <v>272</v>
      </c>
      <c r="B500" s="20" t="s">
        <v>264</v>
      </c>
      <c r="C500" s="20" t="s">
        <v>118</v>
      </c>
      <c r="D500" s="20" t="s">
        <v>1325</v>
      </c>
      <c r="E500" s="20" t="s">
        <v>273</v>
      </c>
      <c r="F500" s="6">
        <f t="shared" ref="F500:G500" si="42">F501</f>
        <v>0</v>
      </c>
      <c r="G500" s="6">
        <f t="shared" si="42"/>
        <v>0</v>
      </c>
    </row>
    <row r="501" spans="1:7" ht="15.75" hidden="1" x14ac:dyDescent="0.25">
      <c r="A501" s="25" t="s">
        <v>274</v>
      </c>
      <c r="B501" s="20" t="s">
        <v>264</v>
      </c>
      <c r="C501" s="20" t="s">
        <v>118</v>
      </c>
      <c r="D501" s="20" t="s">
        <v>1325</v>
      </c>
      <c r="E501" s="20" t="s">
        <v>275</v>
      </c>
      <c r="F501" s="6">
        <f>'пр.4.1.ведом.22-23'!G571</f>
        <v>0</v>
      </c>
      <c r="G501" s="6">
        <f>'пр.4.1.ведом.22-23'!H571</f>
        <v>0</v>
      </c>
    </row>
    <row r="502" spans="1:7" ht="31.5" hidden="1" x14ac:dyDescent="0.25">
      <c r="A502" s="25" t="s">
        <v>280</v>
      </c>
      <c r="B502" s="20" t="s">
        <v>264</v>
      </c>
      <c r="C502" s="20" t="s">
        <v>118</v>
      </c>
      <c r="D502" s="20" t="s">
        <v>1326</v>
      </c>
      <c r="E502" s="20"/>
      <c r="F502" s="6">
        <f>F503</f>
        <v>0</v>
      </c>
      <c r="G502" s="6">
        <f>G503</f>
        <v>0</v>
      </c>
    </row>
    <row r="503" spans="1:7" ht="47.25" hidden="1" x14ac:dyDescent="0.25">
      <c r="A503" s="25" t="s">
        <v>272</v>
      </c>
      <c r="B503" s="20" t="s">
        <v>264</v>
      </c>
      <c r="C503" s="20" t="s">
        <v>118</v>
      </c>
      <c r="D503" s="20" t="s">
        <v>1326</v>
      </c>
      <c r="E503" s="20" t="s">
        <v>273</v>
      </c>
      <c r="F503" s="6">
        <f t="shared" ref="F503:G503" si="43">F504</f>
        <v>0</v>
      </c>
      <c r="G503" s="6">
        <f t="shared" si="43"/>
        <v>0</v>
      </c>
    </row>
    <row r="504" spans="1:7" ht="15.75" hidden="1" x14ac:dyDescent="0.25">
      <c r="A504" s="25" t="s">
        <v>274</v>
      </c>
      <c r="B504" s="20" t="s">
        <v>264</v>
      </c>
      <c r="C504" s="20" t="s">
        <v>118</v>
      </c>
      <c r="D504" s="20" t="s">
        <v>1326</v>
      </c>
      <c r="E504" s="20" t="s">
        <v>275</v>
      </c>
      <c r="F504" s="6">
        <f>'пр.4.1.ведом.22-23'!G574</f>
        <v>0</v>
      </c>
      <c r="G504" s="6">
        <f>'пр.4.1.ведом.22-23'!H574</f>
        <v>0</v>
      </c>
    </row>
    <row r="505" spans="1:7" ht="47.25" x14ac:dyDescent="0.25">
      <c r="A505" s="29" t="s">
        <v>415</v>
      </c>
      <c r="B505" s="20" t="s">
        <v>264</v>
      </c>
      <c r="C505" s="20" t="s">
        <v>118</v>
      </c>
      <c r="D505" s="20" t="s">
        <v>1243</v>
      </c>
      <c r="E505" s="20"/>
      <c r="F505" s="6">
        <f>F506</f>
        <v>4430</v>
      </c>
      <c r="G505" s="6">
        <f>G506</f>
        <v>4430</v>
      </c>
    </row>
    <row r="506" spans="1:7" ht="47.25" x14ac:dyDescent="0.25">
      <c r="A506" s="25" t="s">
        <v>272</v>
      </c>
      <c r="B506" s="20" t="s">
        <v>264</v>
      </c>
      <c r="C506" s="20" t="s">
        <v>118</v>
      </c>
      <c r="D506" s="20" t="s">
        <v>1243</v>
      </c>
      <c r="E506" s="20" t="s">
        <v>273</v>
      </c>
      <c r="F506" s="6">
        <f>F507</f>
        <v>4430</v>
      </c>
      <c r="G506" s="6">
        <f>G507</f>
        <v>4430</v>
      </c>
    </row>
    <row r="507" spans="1:7" ht="15.75" x14ac:dyDescent="0.25">
      <c r="A507" s="25" t="s">
        <v>274</v>
      </c>
      <c r="B507" s="20" t="s">
        <v>264</v>
      </c>
      <c r="C507" s="20" t="s">
        <v>118</v>
      </c>
      <c r="D507" s="20" t="s">
        <v>1243</v>
      </c>
      <c r="E507" s="20" t="s">
        <v>275</v>
      </c>
      <c r="F507" s="6">
        <f>'пр.4.1.ведом.22-23'!G577</f>
        <v>4430</v>
      </c>
      <c r="G507" s="6">
        <f>'пр.4.1.ведом.22-23'!H577</f>
        <v>4430</v>
      </c>
    </row>
    <row r="508" spans="1:7" ht="47.25" x14ac:dyDescent="0.25">
      <c r="A508" s="218" t="s">
        <v>948</v>
      </c>
      <c r="B508" s="24" t="s">
        <v>264</v>
      </c>
      <c r="C508" s="24" t="s">
        <v>118</v>
      </c>
      <c r="D508" s="24" t="s">
        <v>1245</v>
      </c>
      <c r="E508" s="24"/>
      <c r="F508" s="4">
        <f>F512+F515</f>
        <v>4848</v>
      </c>
      <c r="G508" s="4">
        <f>G512+G515</f>
        <v>4848</v>
      </c>
    </row>
    <row r="509" spans="1:7" ht="31.5" hidden="1" x14ac:dyDescent="0.25">
      <c r="A509" s="25" t="s">
        <v>284</v>
      </c>
      <c r="B509" s="20" t="s">
        <v>264</v>
      </c>
      <c r="C509" s="20" t="s">
        <v>118</v>
      </c>
      <c r="D509" s="20" t="s">
        <v>1263</v>
      </c>
      <c r="E509" s="20"/>
      <c r="F509" s="6">
        <f>F510</f>
        <v>0</v>
      </c>
      <c r="G509" s="6">
        <f>G510</f>
        <v>0</v>
      </c>
    </row>
    <row r="510" spans="1:7" ht="47.25" hidden="1" x14ac:dyDescent="0.25">
      <c r="A510" s="25" t="s">
        <v>272</v>
      </c>
      <c r="B510" s="20" t="s">
        <v>264</v>
      </c>
      <c r="C510" s="20" t="s">
        <v>118</v>
      </c>
      <c r="D510" s="20" t="s">
        <v>1263</v>
      </c>
      <c r="E510" s="20" t="s">
        <v>273</v>
      </c>
      <c r="F510" s="6">
        <f>F511</f>
        <v>0</v>
      </c>
      <c r="G510" s="6">
        <f>G511</f>
        <v>0</v>
      </c>
    </row>
    <row r="511" spans="1:7" ht="15.75" hidden="1" x14ac:dyDescent="0.25">
      <c r="A511" s="25" t="s">
        <v>274</v>
      </c>
      <c r="B511" s="20" t="s">
        <v>264</v>
      </c>
      <c r="C511" s="20" t="s">
        <v>118</v>
      </c>
      <c r="D511" s="20" t="s">
        <v>1263</v>
      </c>
      <c r="E511" s="20" t="s">
        <v>275</v>
      </c>
      <c r="F511" s="6">
        <f>'пр.4.1.ведом.22-23'!G581</f>
        <v>0</v>
      </c>
      <c r="G511" s="6">
        <f>'пр.4.1.ведом.22-23'!H581</f>
        <v>0</v>
      </c>
    </row>
    <row r="512" spans="1:7" ht="47.25" x14ac:dyDescent="0.25">
      <c r="A512" s="60" t="s">
        <v>764</v>
      </c>
      <c r="B512" s="20" t="s">
        <v>264</v>
      </c>
      <c r="C512" s="20" t="s">
        <v>118</v>
      </c>
      <c r="D512" s="20" t="s">
        <v>1246</v>
      </c>
      <c r="E512" s="20"/>
      <c r="F512" s="6">
        <f>F513</f>
        <v>3088</v>
      </c>
      <c r="G512" s="6">
        <f>G513</f>
        <v>3088</v>
      </c>
    </row>
    <row r="513" spans="1:7" ht="47.25" x14ac:dyDescent="0.25">
      <c r="A513" s="29" t="s">
        <v>272</v>
      </c>
      <c r="B513" s="20" t="s">
        <v>264</v>
      </c>
      <c r="C513" s="20" t="s">
        <v>118</v>
      </c>
      <c r="D513" s="20" t="s">
        <v>1246</v>
      </c>
      <c r="E513" s="20" t="s">
        <v>273</v>
      </c>
      <c r="F513" s="6">
        <f>F514</f>
        <v>3088</v>
      </c>
      <c r="G513" s="6">
        <f>G514</f>
        <v>3088</v>
      </c>
    </row>
    <row r="514" spans="1:7" ht="15.75" x14ac:dyDescent="0.25">
      <c r="A514" s="182" t="s">
        <v>274</v>
      </c>
      <c r="B514" s="20" t="s">
        <v>264</v>
      </c>
      <c r="C514" s="20" t="s">
        <v>118</v>
      </c>
      <c r="D514" s="20" t="s">
        <v>1246</v>
      </c>
      <c r="E514" s="20" t="s">
        <v>275</v>
      </c>
      <c r="F514" s="6">
        <f>'пр.4.1.ведом.22-23'!G584</f>
        <v>3088</v>
      </c>
      <c r="G514" s="6">
        <f>'пр.4.1.ведом.22-23'!H584</f>
        <v>3088</v>
      </c>
    </row>
    <row r="515" spans="1:7" ht="63" x14ac:dyDescent="0.25">
      <c r="A515" s="60" t="s">
        <v>765</v>
      </c>
      <c r="B515" s="20" t="s">
        <v>264</v>
      </c>
      <c r="C515" s="20" t="s">
        <v>118</v>
      </c>
      <c r="D515" s="20" t="s">
        <v>1247</v>
      </c>
      <c r="E515" s="20"/>
      <c r="F515" s="6">
        <f>F516</f>
        <v>1760</v>
      </c>
      <c r="G515" s="6">
        <f>G516</f>
        <v>1760</v>
      </c>
    </row>
    <row r="516" spans="1:7" ht="47.25" x14ac:dyDescent="0.25">
      <c r="A516" s="29" t="s">
        <v>272</v>
      </c>
      <c r="B516" s="20" t="s">
        <v>264</v>
      </c>
      <c r="C516" s="20" t="s">
        <v>118</v>
      </c>
      <c r="D516" s="20" t="s">
        <v>1247</v>
      </c>
      <c r="E516" s="20" t="s">
        <v>273</v>
      </c>
      <c r="F516" s="6">
        <f>F517</f>
        <v>1760</v>
      </c>
      <c r="G516" s="6">
        <f>G517</f>
        <v>1760</v>
      </c>
    </row>
    <row r="517" spans="1:7" ht="15.75" x14ac:dyDescent="0.25">
      <c r="A517" s="182" t="s">
        <v>274</v>
      </c>
      <c r="B517" s="20" t="s">
        <v>264</v>
      </c>
      <c r="C517" s="20" t="s">
        <v>118</v>
      </c>
      <c r="D517" s="20" t="s">
        <v>1247</v>
      </c>
      <c r="E517" s="20" t="s">
        <v>275</v>
      </c>
      <c r="F517" s="6">
        <f>'пр.4.1.ведом.22-23'!G587</f>
        <v>1760</v>
      </c>
      <c r="G517" s="6">
        <f>'пр.4.1.ведом.22-23'!H587</f>
        <v>1760</v>
      </c>
    </row>
    <row r="518" spans="1:7" ht="78" customHeight="1" x14ac:dyDescent="0.25">
      <c r="A518" s="23" t="s">
        <v>933</v>
      </c>
      <c r="B518" s="24" t="s">
        <v>264</v>
      </c>
      <c r="C518" s="24" t="s">
        <v>118</v>
      </c>
      <c r="D518" s="24" t="s">
        <v>1248</v>
      </c>
      <c r="E518" s="24"/>
      <c r="F518" s="4">
        <f t="shared" ref="F518:G520" si="44">F519</f>
        <v>297.70000000000005</v>
      </c>
      <c r="G518" s="4">
        <f t="shared" si="44"/>
        <v>297.70000000000005</v>
      </c>
    </row>
    <row r="519" spans="1:7" ht="110.25" x14ac:dyDescent="0.25">
      <c r="A519" s="25" t="s">
        <v>1523</v>
      </c>
      <c r="B519" s="20" t="s">
        <v>264</v>
      </c>
      <c r="C519" s="20" t="s">
        <v>118</v>
      </c>
      <c r="D519" s="20" t="s">
        <v>1249</v>
      </c>
      <c r="E519" s="20"/>
      <c r="F519" s="6">
        <f t="shared" si="44"/>
        <v>297.70000000000005</v>
      </c>
      <c r="G519" s="6">
        <f t="shared" si="44"/>
        <v>297.70000000000005</v>
      </c>
    </row>
    <row r="520" spans="1:7" ht="47.25" x14ac:dyDescent="0.25">
      <c r="A520" s="29" t="s">
        <v>272</v>
      </c>
      <c r="B520" s="20" t="s">
        <v>264</v>
      </c>
      <c r="C520" s="20" t="s">
        <v>118</v>
      </c>
      <c r="D520" s="20" t="s">
        <v>1249</v>
      </c>
      <c r="E520" s="20" t="s">
        <v>273</v>
      </c>
      <c r="F520" s="6">
        <f t="shared" si="44"/>
        <v>297.70000000000005</v>
      </c>
      <c r="G520" s="6">
        <f t="shared" si="44"/>
        <v>297.70000000000005</v>
      </c>
    </row>
    <row r="521" spans="1:7" ht="15.75" x14ac:dyDescent="0.25">
      <c r="A521" s="182" t="s">
        <v>274</v>
      </c>
      <c r="B521" s="20" t="s">
        <v>264</v>
      </c>
      <c r="C521" s="20" t="s">
        <v>118</v>
      </c>
      <c r="D521" s="20" t="s">
        <v>1249</v>
      </c>
      <c r="E521" s="20" t="s">
        <v>275</v>
      </c>
      <c r="F521" s="6">
        <f>'пр.4.1.ведом.22-23'!G591</f>
        <v>297.70000000000005</v>
      </c>
      <c r="G521" s="6">
        <f>'пр.4.1.ведом.22-23'!H591</f>
        <v>297.70000000000005</v>
      </c>
    </row>
    <row r="522" spans="1:7" ht="157.5" hidden="1" x14ac:dyDescent="0.25">
      <c r="A522" s="25" t="s">
        <v>423</v>
      </c>
      <c r="B522" s="20" t="s">
        <v>264</v>
      </c>
      <c r="C522" s="20" t="s">
        <v>118</v>
      </c>
      <c r="D522" s="20" t="s">
        <v>1250</v>
      </c>
      <c r="E522" s="20"/>
      <c r="F522" s="6" t="e">
        <f t="shared" ref="F522:G523" si="45">F523</f>
        <v>#REF!</v>
      </c>
      <c r="G522" s="6" t="e">
        <f t="shared" si="45"/>
        <v>#REF!</v>
      </c>
    </row>
    <row r="523" spans="1:7" ht="47.25" hidden="1" x14ac:dyDescent="0.25">
      <c r="A523" s="25" t="s">
        <v>272</v>
      </c>
      <c r="B523" s="20" t="s">
        <v>264</v>
      </c>
      <c r="C523" s="20" t="s">
        <v>118</v>
      </c>
      <c r="D523" s="20" t="s">
        <v>1250</v>
      </c>
      <c r="E523" s="20" t="s">
        <v>273</v>
      </c>
      <c r="F523" s="6" t="e">
        <f t="shared" si="45"/>
        <v>#REF!</v>
      </c>
      <c r="G523" s="6" t="e">
        <f t="shared" si="45"/>
        <v>#REF!</v>
      </c>
    </row>
    <row r="524" spans="1:7" ht="15.75" hidden="1" x14ac:dyDescent="0.25">
      <c r="A524" s="25" t="s">
        <v>274</v>
      </c>
      <c r="B524" s="20" t="s">
        <v>264</v>
      </c>
      <c r="C524" s="20" t="s">
        <v>118</v>
      </c>
      <c r="D524" s="20" t="s">
        <v>1250</v>
      </c>
      <c r="E524" s="20" t="s">
        <v>275</v>
      </c>
      <c r="F524" s="6" t="e">
        <f>'пр.4.1.ведом.22-23'!#REF!</f>
        <v>#REF!</v>
      </c>
      <c r="G524" s="6" t="e">
        <f>'пр.4.1.ведом.22-23'!#REF!</f>
        <v>#REF!</v>
      </c>
    </row>
    <row r="525" spans="1:7" s="203" customFormat="1" ht="110.25" x14ac:dyDescent="0.25">
      <c r="A525" s="23" t="s">
        <v>1171</v>
      </c>
      <c r="B525" s="24" t="s">
        <v>264</v>
      </c>
      <c r="C525" s="24" t="s">
        <v>118</v>
      </c>
      <c r="D525" s="24" t="s">
        <v>1251</v>
      </c>
      <c r="E525" s="24"/>
      <c r="F525" s="21">
        <f>F526+F529</f>
        <v>1666.6</v>
      </c>
      <c r="G525" s="21">
        <f>G526+G529</f>
        <v>915</v>
      </c>
    </row>
    <row r="526" spans="1:7" s="203" customFormat="1" ht="101.25" hidden="1" customHeight="1" x14ac:dyDescent="0.25">
      <c r="A526" s="149" t="s">
        <v>1190</v>
      </c>
      <c r="B526" s="20" t="s">
        <v>264</v>
      </c>
      <c r="C526" s="20" t="s">
        <v>118</v>
      </c>
      <c r="D526" s="20" t="s">
        <v>1252</v>
      </c>
      <c r="E526" s="20"/>
      <c r="F526" s="26">
        <f>F527</f>
        <v>0</v>
      </c>
      <c r="G526" s="26">
        <f>G527</f>
        <v>0</v>
      </c>
    </row>
    <row r="527" spans="1:7" ht="47.25" hidden="1" x14ac:dyDescent="0.25">
      <c r="A527" s="25" t="s">
        <v>272</v>
      </c>
      <c r="B527" s="20" t="s">
        <v>264</v>
      </c>
      <c r="C527" s="20" t="s">
        <v>118</v>
      </c>
      <c r="D527" s="20" t="s">
        <v>1252</v>
      </c>
      <c r="E527" s="20" t="s">
        <v>273</v>
      </c>
      <c r="F527" s="26">
        <f>F528</f>
        <v>0</v>
      </c>
      <c r="G527" s="26">
        <f>G528</f>
        <v>0</v>
      </c>
    </row>
    <row r="528" spans="1:7" ht="15.75" hidden="1" x14ac:dyDescent="0.25">
      <c r="A528" s="25" t="s">
        <v>274</v>
      </c>
      <c r="B528" s="20" t="s">
        <v>264</v>
      </c>
      <c r="C528" s="20" t="s">
        <v>118</v>
      </c>
      <c r="D528" s="20" t="s">
        <v>1252</v>
      </c>
      <c r="E528" s="20" t="s">
        <v>275</v>
      </c>
      <c r="F528" s="26">
        <f>'пр.4.1.ведом.22-23'!G595</f>
        <v>0</v>
      </c>
      <c r="G528" s="26">
        <f>'пр.4.1.ведом.22-23'!H595</f>
        <v>0</v>
      </c>
    </row>
    <row r="529" spans="1:7" ht="94.5" x14ac:dyDescent="0.25">
      <c r="A529" s="149" t="s">
        <v>1506</v>
      </c>
      <c r="B529" s="20" t="s">
        <v>264</v>
      </c>
      <c r="C529" s="20" t="s">
        <v>118</v>
      </c>
      <c r="D529" s="20" t="s">
        <v>1252</v>
      </c>
      <c r="E529" s="20"/>
      <c r="F529" s="26">
        <f>F530</f>
        <v>1666.6</v>
      </c>
      <c r="G529" s="26">
        <f>G530</f>
        <v>915</v>
      </c>
    </row>
    <row r="530" spans="1:7" ht="47.25" x14ac:dyDescent="0.25">
      <c r="A530" s="25" t="s">
        <v>272</v>
      </c>
      <c r="B530" s="20" t="s">
        <v>264</v>
      </c>
      <c r="C530" s="20" t="s">
        <v>118</v>
      </c>
      <c r="D530" s="20" t="s">
        <v>1252</v>
      </c>
      <c r="E530" s="20" t="s">
        <v>273</v>
      </c>
      <c r="F530" s="26">
        <f>F531</f>
        <v>1666.6</v>
      </c>
      <c r="G530" s="26">
        <f>G531</f>
        <v>915</v>
      </c>
    </row>
    <row r="531" spans="1:7" ht="15.75" x14ac:dyDescent="0.25">
      <c r="A531" s="25" t="s">
        <v>274</v>
      </c>
      <c r="B531" s="20" t="s">
        <v>264</v>
      </c>
      <c r="C531" s="20" t="s">
        <v>118</v>
      </c>
      <c r="D531" s="20" t="s">
        <v>1252</v>
      </c>
      <c r="E531" s="20" t="s">
        <v>275</v>
      </c>
      <c r="F531" s="26">
        <f>'пр.4.1.ведом.22-23'!G598</f>
        <v>1666.6</v>
      </c>
      <c r="G531" s="26">
        <f>'пр.4.1.ведом.22-23'!H598</f>
        <v>915</v>
      </c>
    </row>
    <row r="532" spans="1:7" s="203" customFormat="1" ht="63" x14ac:dyDescent="0.25">
      <c r="A532" s="34" t="s">
        <v>1368</v>
      </c>
      <c r="B532" s="24" t="s">
        <v>264</v>
      </c>
      <c r="C532" s="24" t="s">
        <v>118</v>
      </c>
      <c r="D532" s="24" t="s">
        <v>324</v>
      </c>
      <c r="E532" s="24"/>
      <c r="F532" s="21">
        <f t="shared" ref="F532:G535" si="46">F533</f>
        <v>80</v>
      </c>
      <c r="G532" s="21">
        <f t="shared" si="46"/>
        <v>25</v>
      </c>
    </row>
    <row r="533" spans="1:7" s="203" customFormat="1" ht="63" x14ac:dyDescent="0.25">
      <c r="A533" s="34" t="s">
        <v>1009</v>
      </c>
      <c r="B533" s="24" t="s">
        <v>264</v>
      </c>
      <c r="C533" s="24" t="s">
        <v>118</v>
      </c>
      <c r="D533" s="24" t="s">
        <v>934</v>
      </c>
      <c r="E533" s="24"/>
      <c r="F533" s="21">
        <f t="shared" si="46"/>
        <v>80</v>
      </c>
      <c r="G533" s="21">
        <f t="shared" si="46"/>
        <v>25</v>
      </c>
    </row>
    <row r="534" spans="1:7" s="203" customFormat="1" ht="47.25" x14ac:dyDescent="0.25">
      <c r="A534" s="31" t="s">
        <v>1084</v>
      </c>
      <c r="B534" s="20" t="s">
        <v>264</v>
      </c>
      <c r="C534" s="20" t="s">
        <v>118</v>
      </c>
      <c r="D534" s="20" t="s">
        <v>935</v>
      </c>
      <c r="E534" s="20"/>
      <c r="F534" s="26">
        <f t="shared" si="46"/>
        <v>80</v>
      </c>
      <c r="G534" s="26">
        <f t="shared" si="46"/>
        <v>25</v>
      </c>
    </row>
    <row r="535" spans="1:7" s="203" customFormat="1" ht="47.25" x14ac:dyDescent="0.25">
      <c r="A535" s="31" t="s">
        <v>272</v>
      </c>
      <c r="B535" s="20" t="s">
        <v>264</v>
      </c>
      <c r="C535" s="20" t="s">
        <v>118</v>
      </c>
      <c r="D535" s="20" t="s">
        <v>935</v>
      </c>
      <c r="E535" s="20" t="s">
        <v>273</v>
      </c>
      <c r="F535" s="26">
        <f t="shared" si="46"/>
        <v>80</v>
      </c>
      <c r="G535" s="26">
        <f t="shared" si="46"/>
        <v>25</v>
      </c>
    </row>
    <row r="536" spans="1:7" s="203" customFormat="1" ht="15.75" x14ac:dyDescent="0.25">
      <c r="A536" s="31" t="s">
        <v>274</v>
      </c>
      <c r="B536" s="20" t="s">
        <v>264</v>
      </c>
      <c r="C536" s="20" t="s">
        <v>118</v>
      </c>
      <c r="D536" s="20" t="s">
        <v>935</v>
      </c>
      <c r="E536" s="20" t="s">
        <v>275</v>
      </c>
      <c r="F536" s="26">
        <f>'пр.4.1.ведом.22-23'!G603</f>
        <v>80</v>
      </c>
      <c r="G536" s="26">
        <f>'пр.4.1.ведом.22-23'!H603</f>
        <v>25</v>
      </c>
    </row>
    <row r="537" spans="1:7" ht="63" x14ac:dyDescent="0.25">
      <c r="A537" s="41" t="s">
        <v>1363</v>
      </c>
      <c r="B537" s="24" t="s">
        <v>264</v>
      </c>
      <c r="C537" s="24" t="s">
        <v>118</v>
      </c>
      <c r="D537" s="24" t="s">
        <v>705</v>
      </c>
      <c r="E537" s="221"/>
      <c r="F537" s="4">
        <f>F538</f>
        <v>570.9</v>
      </c>
      <c r="G537" s="4">
        <f>G538</f>
        <v>593.79999999999995</v>
      </c>
    </row>
    <row r="538" spans="1:7" ht="63" x14ac:dyDescent="0.25">
      <c r="A538" s="41" t="s">
        <v>890</v>
      </c>
      <c r="B538" s="24" t="s">
        <v>264</v>
      </c>
      <c r="C538" s="24" t="s">
        <v>118</v>
      </c>
      <c r="D538" s="24" t="s">
        <v>888</v>
      </c>
      <c r="E538" s="221"/>
      <c r="F538" s="4">
        <f t="shared" ref="F538:G539" si="47">F539</f>
        <v>570.9</v>
      </c>
      <c r="G538" s="4">
        <f t="shared" si="47"/>
        <v>593.79999999999995</v>
      </c>
    </row>
    <row r="539" spans="1:7" ht="47.25" x14ac:dyDescent="0.25">
      <c r="A539" s="98" t="s">
        <v>780</v>
      </c>
      <c r="B539" s="20" t="s">
        <v>264</v>
      </c>
      <c r="C539" s="20" t="s">
        <v>118</v>
      </c>
      <c r="D539" s="20" t="s">
        <v>936</v>
      </c>
      <c r="E539" s="32"/>
      <c r="F539" s="6">
        <f t="shared" si="47"/>
        <v>570.9</v>
      </c>
      <c r="G539" s="6">
        <f t="shared" si="47"/>
        <v>593.79999999999995</v>
      </c>
    </row>
    <row r="540" spans="1:7" ht="47.25" x14ac:dyDescent="0.25">
      <c r="A540" s="29" t="s">
        <v>272</v>
      </c>
      <c r="B540" s="20" t="s">
        <v>264</v>
      </c>
      <c r="C540" s="20" t="s">
        <v>118</v>
      </c>
      <c r="D540" s="20" t="s">
        <v>936</v>
      </c>
      <c r="E540" s="32" t="s">
        <v>273</v>
      </c>
      <c r="F540" s="6">
        <f>F541</f>
        <v>570.9</v>
      </c>
      <c r="G540" s="6">
        <f>G541</f>
        <v>593.79999999999995</v>
      </c>
    </row>
    <row r="541" spans="1:7" ht="15.75" x14ac:dyDescent="0.25">
      <c r="A541" s="182" t="s">
        <v>274</v>
      </c>
      <c r="B541" s="20" t="s">
        <v>264</v>
      </c>
      <c r="C541" s="20" t="s">
        <v>118</v>
      </c>
      <c r="D541" s="20" t="s">
        <v>936</v>
      </c>
      <c r="E541" s="32" t="s">
        <v>275</v>
      </c>
      <c r="F541" s="6">
        <f>'пр.4.1.ведом.22-23'!G608</f>
        <v>570.9</v>
      </c>
      <c r="G541" s="6">
        <f>'пр.4.1.ведом.22-23'!H608</f>
        <v>593.79999999999995</v>
      </c>
    </row>
    <row r="542" spans="1:7" ht="15.75" x14ac:dyDescent="0.25">
      <c r="A542" s="41" t="s">
        <v>425</v>
      </c>
      <c r="B542" s="7" t="s">
        <v>264</v>
      </c>
      <c r="C542" s="7" t="s">
        <v>213</v>
      </c>
      <c r="D542" s="7"/>
      <c r="E542" s="7"/>
      <c r="F542" s="4">
        <f>F543+F615+F610</f>
        <v>177341.49999999997</v>
      </c>
      <c r="G542" s="4">
        <f>G543+G615+G610</f>
        <v>196805.15000000002</v>
      </c>
    </row>
    <row r="543" spans="1:7" ht="47.25" x14ac:dyDescent="0.25">
      <c r="A543" s="23" t="s">
        <v>1369</v>
      </c>
      <c r="B543" s="24" t="s">
        <v>264</v>
      </c>
      <c r="C543" s="24" t="s">
        <v>213</v>
      </c>
      <c r="D543" s="24" t="s">
        <v>406</v>
      </c>
      <c r="E543" s="24"/>
      <c r="F543" s="4">
        <f>F544+F548+F567+F580+F587+F591+F595+F602+F606</f>
        <v>176410.99999999997</v>
      </c>
      <c r="G543" s="4">
        <f>G544+G548+G567+G580+G587+G591+G595+G602+G606</f>
        <v>195829.85000000003</v>
      </c>
    </row>
    <row r="544" spans="1:7" ht="47.25" x14ac:dyDescent="0.25">
      <c r="A544" s="23" t="s">
        <v>937</v>
      </c>
      <c r="B544" s="24" t="s">
        <v>264</v>
      </c>
      <c r="C544" s="24" t="s">
        <v>213</v>
      </c>
      <c r="D544" s="24" t="s">
        <v>1235</v>
      </c>
      <c r="E544" s="24"/>
      <c r="F544" s="4">
        <f>F545</f>
        <v>28690.799999999999</v>
      </c>
      <c r="G544" s="4">
        <f>G545</f>
        <v>28690.799999999999</v>
      </c>
    </row>
    <row r="545" spans="1:7" ht="47.25" x14ac:dyDescent="0.25">
      <c r="A545" s="25" t="s">
        <v>1241</v>
      </c>
      <c r="B545" s="20" t="s">
        <v>264</v>
      </c>
      <c r="C545" s="20" t="s">
        <v>213</v>
      </c>
      <c r="D545" s="20" t="s">
        <v>1254</v>
      </c>
      <c r="E545" s="20"/>
      <c r="F545" s="378">
        <f t="shared" ref="F545:G545" si="48">F546</f>
        <v>28690.799999999999</v>
      </c>
      <c r="G545" s="378">
        <f t="shared" si="48"/>
        <v>28690.799999999999</v>
      </c>
    </row>
    <row r="546" spans="1:7" ht="47.25" x14ac:dyDescent="0.25">
      <c r="A546" s="25" t="s">
        <v>272</v>
      </c>
      <c r="B546" s="20" t="s">
        <v>264</v>
      </c>
      <c r="C546" s="20" t="s">
        <v>213</v>
      </c>
      <c r="D546" s="20" t="s">
        <v>1254</v>
      </c>
      <c r="E546" s="20" t="s">
        <v>273</v>
      </c>
      <c r="F546" s="378">
        <f>F547</f>
        <v>28690.799999999999</v>
      </c>
      <c r="G546" s="378">
        <f>G547</f>
        <v>28690.799999999999</v>
      </c>
    </row>
    <row r="547" spans="1:7" ht="15.75" x14ac:dyDescent="0.25">
      <c r="A547" s="25" t="s">
        <v>274</v>
      </c>
      <c r="B547" s="20" t="s">
        <v>264</v>
      </c>
      <c r="C547" s="20" t="s">
        <v>213</v>
      </c>
      <c r="D547" s="20" t="s">
        <v>1254</v>
      </c>
      <c r="E547" s="20" t="s">
        <v>275</v>
      </c>
      <c r="F547" s="6">
        <f>'пр.4.1.ведом.22-23'!G614</f>
        <v>28690.799999999999</v>
      </c>
      <c r="G547" s="6">
        <f>'пр.4.1.ведом.22-23'!H614</f>
        <v>28690.799999999999</v>
      </c>
    </row>
    <row r="548" spans="1:7" ht="47.25" x14ac:dyDescent="0.25">
      <c r="A548" s="23" t="s">
        <v>900</v>
      </c>
      <c r="B548" s="24" t="s">
        <v>264</v>
      </c>
      <c r="C548" s="24" t="s">
        <v>213</v>
      </c>
      <c r="D548" s="24" t="s">
        <v>1237</v>
      </c>
      <c r="E548" s="24"/>
      <c r="F548" s="4">
        <f>F555+F558+F561+F564+F552+F549</f>
        <v>131370.9</v>
      </c>
      <c r="G548" s="4">
        <f>G555+G558+G561+G564+G552+G549</f>
        <v>150534.80000000002</v>
      </c>
    </row>
    <row r="549" spans="1:7" s="203" customFormat="1" ht="78.75" x14ac:dyDescent="0.25">
      <c r="A549" s="25" t="s">
        <v>1403</v>
      </c>
      <c r="B549" s="20" t="s">
        <v>264</v>
      </c>
      <c r="C549" s="20" t="s">
        <v>213</v>
      </c>
      <c r="D549" s="20" t="s">
        <v>1404</v>
      </c>
      <c r="E549" s="20"/>
      <c r="F549" s="27">
        <f>F550</f>
        <v>7226.1</v>
      </c>
      <c r="G549" s="27">
        <f>G550</f>
        <v>7226.1</v>
      </c>
    </row>
    <row r="550" spans="1:7" s="203" customFormat="1" ht="47.25" x14ac:dyDescent="0.25">
      <c r="A550" s="25" t="s">
        <v>272</v>
      </c>
      <c r="B550" s="20" t="s">
        <v>264</v>
      </c>
      <c r="C550" s="20" t="s">
        <v>213</v>
      </c>
      <c r="D550" s="20" t="s">
        <v>1404</v>
      </c>
      <c r="E550" s="20" t="s">
        <v>273</v>
      </c>
      <c r="F550" s="27">
        <f>F551</f>
        <v>7226.1</v>
      </c>
      <c r="G550" s="27">
        <f>G551</f>
        <v>7226.1</v>
      </c>
    </row>
    <row r="551" spans="1:7" s="203" customFormat="1" ht="15.75" x14ac:dyDescent="0.25">
      <c r="A551" s="25" t="s">
        <v>274</v>
      </c>
      <c r="B551" s="20" t="s">
        <v>264</v>
      </c>
      <c r="C551" s="20" t="s">
        <v>213</v>
      </c>
      <c r="D551" s="20" t="s">
        <v>1404</v>
      </c>
      <c r="E551" s="20" t="s">
        <v>275</v>
      </c>
      <c r="F551" s="27">
        <f>'пр.4.1.ведом.22-23'!G618</f>
        <v>7226.1</v>
      </c>
      <c r="G551" s="27">
        <f>'пр.4.1.ведом.22-23'!H618</f>
        <v>7226.1</v>
      </c>
    </row>
    <row r="552" spans="1:7" s="203" customFormat="1" ht="110.25" x14ac:dyDescent="0.25">
      <c r="A552" s="31" t="s">
        <v>464</v>
      </c>
      <c r="B552" s="20" t="s">
        <v>264</v>
      </c>
      <c r="C552" s="20" t="s">
        <v>213</v>
      </c>
      <c r="D552" s="20" t="s">
        <v>1401</v>
      </c>
      <c r="E552" s="20"/>
      <c r="F552" s="6">
        <f>F553</f>
        <v>4610</v>
      </c>
      <c r="G552" s="6">
        <f>G553</f>
        <v>4610</v>
      </c>
    </row>
    <row r="553" spans="1:7" s="203" customFormat="1" ht="47.25" x14ac:dyDescent="0.25">
      <c r="A553" s="25" t="s">
        <v>272</v>
      </c>
      <c r="B553" s="20" t="s">
        <v>264</v>
      </c>
      <c r="C553" s="20" t="s">
        <v>213</v>
      </c>
      <c r="D553" s="20" t="s">
        <v>1401</v>
      </c>
      <c r="E553" s="20" t="s">
        <v>273</v>
      </c>
      <c r="F553" s="6">
        <f>F554</f>
        <v>4610</v>
      </c>
      <c r="G553" s="6">
        <f>G554</f>
        <v>4610</v>
      </c>
    </row>
    <row r="554" spans="1:7" s="203" customFormat="1" ht="15.75" x14ac:dyDescent="0.25">
      <c r="A554" s="25" t="s">
        <v>274</v>
      </c>
      <c r="B554" s="20" t="s">
        <v>264</v>
      </c>
      <c r="C554" s="20" t="s">
        <v>213</v>
      </c>
      <c r="D554" s="20" t="s">
        <v>1401</v>
      </c>
      <c r="E554" s="20" t="s">
        <v>275</v>
      </c>
      <c r="F554" s="6">
        <f>'пр.4.1.ведом.22-23'!G621</f>
        <v>4610</v>
      </c>
      <c r="G554" s="6">
        <f>'пр.4.1.ведом.22-23'!H621</f>
        <v>4610</v>
      </c>
    </row>
    <row r="555" spans="1:7" ht="102.75" customHeight="1" x14ac:dyDescent="0.25">
      <c r="A555" s="31" t="s">
        <v>1189</v>
      </c>
      <c r="B555" s="20" t="s">
        <v>264</v>
      </c>
      <c r="C555" s="20" t="s">
        <v>213</v>
      </c>
      <c r="D555" s="20" t="s">
        <v>1255</v>
      </c>
      <c r="E555" s="20"/>
      <c r="F555" s="6">
        <f>F556</f>
        <v>115047.8</v>
      </c>
      <c r="G555" s="6">
        <f>G556</f>
        <v>134211.70000000001</v>
      </c>
    </row>
    <row r="556" spans="1:7" ht="51" customHeight="1" x14ac:dyDescent="0.25">
      <c r="A556" s="25" t="s">
        <v>272</v>
      </c>
      <c r="B556" s="20" t="s">
        <v>264</v>
      </c>
      <c r="C556" s="20" t="s">
        <v>213</v>
      </c>
      <c r="D556" s="20" t="s">
        <v>1255</v>
      </c>
      <c r="E556" s="20" t="s">
        <v>273</v>
      </c>
      <c r="F556" s="6">
        <f t="shared" ref="F556:G556" si="49">F557</f>
        <v>115047.8</v>
      </c>
      <c r="G556" s="6">
        <f t="shared" si="49"/>
        <v>134211.70000000001</v>
      </c>
    </row>
    <row r="557" spans="1:7" ht="15.75" x14ac:dyDescent="0.25">
      <c r="A557" s="25" t="s">
        <v>274</v>
      </c>
      <c r="B557" s="20" t="s">
        <v>264</v>
      </c>
      <c r="C557" s="20" t="s">
        <v>213</v>
      </c>
      <c r="D557" s="20" t="s">
        <v>1255</v>
      </c>
      <c r="E557" s="20" t="s">
        <v>275</v>
      </c>
      <c r="F557" s="6">
        <f>'пр.4.1.ведом.22-23'!G624</f>
        <v>115047.8</v>
      </c>
      <c r="G557" s="6">
        <f>'пр.4.1.ведом.22-23'!H624</f>
        <v>134211.70000000001</v>
      </c>
    </row>
    <row r="558" spans="1:7" ht="63" x14ac:dyDescent="0.25">
      <c r="A558" s="31" t="s">
        <v>289</v>
      </c>
      <c r="B558" s="20" t="s">
        <v>264</v>
      </c>
      <c r="C558" s="20" t="s">
        <v>213</v>
      </c>
      <c r="D558" s="20" t="s">
        <v>1238</v>
      </c>
      <c r="E558" s="20"/>
      <c r="F558" s="6">
        <f>F559</f>
        <v>1311</v>
      </c>
      <c r="G558" s="6">
        <f>G559</f>
        <v>1311</v>
      </c>
    </row>
    <row r="559" spans="1:7" ht="47.25" x14ac:dyDescent="0.25">
      <c r="A559" s="25" t="s">
        <v>272</v>
      </c>
      <c r="B559" s="20" t="s">
        <v>264</v>
      </c>
      <c r="C559" s="20" t="s">
        <v>213</v>
      </c>
      <c r="D559" s="20" t="s">
        <v>1238</v>
      </c>
      <c r="E559" s="20" t="s">
        <v>273</v>
      </c>
      <c r="F559" s="6">
        <f t="shared" ref="F559:G559" si="50">F560</f>
        <v>1311</v>
      </c>
      <c r="G559" s="6">
        <f t="shared" si="50"/>
        <v>1311</v>
      </c>
    </row>
    <row r="560" spans="1:7" ht="15.75" x14ac:dyDescent="0.25">
      <c r="A560" s="25" t="s">
        <v>274</v>
      </c>
      <c r="B560" s="20" t="s">
        <v>264</v>
      </c>
      <c r="C560" s="20" t="s">
        <v>213</v>
      </c>
      <c r="D560" s="20" t="s">
        <v>1238</v>
      </c>
      <c r="E560" s="20" t="s">
        <v>275</v>
      </c>
      <c r="F560" s="6">
        <f>'пр.4.1.ведом.22-23'!G627</f>
        <v>1311</v>
      </c>
      <c r="G560" s="6">
        <f>'пр.4.1.ведом.22-23'!H627</f>
        <v>1311</v>
      </c>
    </row>
    <row r="561" spans="1:7" ht="78.75" x14ac:dyDescent="0.25">
      <c r="A561" s="31" t="s">
        <v>291</v>
      </c>
      <c r="B561" s="20" t="s">
        <v>264</v>
      </c>
      <c r="C561" s="20" t="s">
        <v>213</v>
      </c>
      <c r="D561" s="20" t="s">
        <v>1239</v>
      </c>
      <c r="E561" s="20"/>
      <c r="F561" s="6">
        <f>F562</f>
        <v>2266.6999999999998</v>
      </c>
      <c r="G561" s="6">
        <f>G562</f>
        <v>2266.6999999999998</v>
      </c>
    </row>
    <row r="562" spans="1:7" ht="47.25" x14ac:dyDescent="0.25">
      <c r="A562" s="25" t="s">
        <v>272</v>
      </c>
      <c r="B562" s="20" t="s">
        <v>264</v>
      </c>
      <c r="C562" s="20" t="s">
        <v>213</v>
      </c>
      <c r="D562" s="20" t="s">
        <v>1239</v>
      </c>
      <c r="E562" s="20" t="s">
        <v>273</v>
      </c>
      <c r="F562" s="6">
        <f t="shared" ref="F562:G562" si="51">F563</f>
        <v>2266.6999999999998</v>
      </c>
      <c r="G562" s="6">
        <f t="shared" si="51"/>
        <v>2266.6999999999998</v>
      </c>
    </row>
    <row r="563" spans="1:7" ht="15.75" x14ac:dyDescent="0.25">
      <c r="A563" s="25" t="s">
        <v>274</v>
      </c>
      <c r="B563" s="20" t="s">
        <v>264</v>
      </c>
      <c r="C563" s="20" t="s">
        <v>213</v>
      </c>
      <c r="D563" s="20" t="s">
        <v>1239</v>
      </c>
      <c r="E563" s="20" t="s">
        <v>275</v>
      </c>
      <c r="F563" s="6">
        <f>'пр.4.1.ведом.22-23'!G630</f>
        <v>2266.6999999999998</v>
      </c>
      <c r="G563" s="6">
        <f>'пр.4.1.ведом.22-23'!H630</f>
        <v>2266.6999999999998</v>
      </c>
    </row>
    <row r="564" spans="1:7" ht="47.25" x14ac:dyDescent="0.25">
      <c r="A564" s="31" t="s">
        <v>462</v>
      </c>
      <c r="B564" s="20" t="s">
        <v>264</v>
      </c>
      <c r="C564" s="20" t="s">
        <v>213</v>
      </c>
      <c r="D564" s="20" t="s">
        <v>1256</v>
      </c>
      <c r="E564" s="20"/>
      <c r="F564" s="6">
        <f>F565</f>
        <v>909.3</v>
      </c>
      <c r="G564" s="6">
        <f>G565</f>
        <v>909.3</v>
      </c>
    </row>
    <row r="565" spans="1:7" ht="47.25" x14ac:dyDescent="0.25">
      <c r="A565" s="25" t="s">
        <v>272</v>
      </c>
      <c r="B565" s="20" t="s">
        <v>264</v>
      </c>
      <c r="C565" s="20" t="s">
        <v>213</v>
      </c>
      <c r="D565" s="20" t="s">
        <v>1256</v>
      </c>
      <c r="E565" s="20" t="s">
        <v>273</v>
      </c>
      <c r="F565" s="6">
        <f t="shared" ref="F565:G565" si="52">F566</f>
        <v>909.3</v>
      </c>
      <c r="G565" s="6">
        <f t="shared" si="52"/>
        <v>909.3</v>
      </c>
    </row>
    <row r="566" spans="1:7" ht="15.75" x14ac:dyDescent="0.25">
      <c r="A566" s="25" t="s">
        <v>274</v>
      </c>
      <c r="B566" s="20" t="s">
        <v>264</v>
      </c>
      <c r="C566" s="20" t="s">
        <v>213</v>
      </c>
      <c r="D566" s="20" t="s">
        <v>1256</v>
      </c>
      <c r="E566" s="20" t="s">
        <v>275</v>
      </c>
      <c r="F566" s="6">
        <f>'пр.4.1.ведом.22-23'!G633</f>
        <v>909.3</v>
      </c>
      <c r="G566" s="6">
        <f>'пр.4.1.ведом.22-23'!H633</f>
        <v>909.3</v>
      </c>
    </row>
    <row r="567" spans="1:7" ht="31.5" x14ac:dyDescent="0.25">
      <c r="A567" s="23" t="s">
        <v>1309</v>
      </c>
      <c r="B567" s="24" t="s">
        <v>264</v>
      </c>
      <c r="C567" s="24" t="s">
        <v>213</v>
      </c>
      <c r="D567" s="24" t="s">
        <v>1242</v>
      </c>
      <c r="E567" s="24"/>
      <c r="F567" s="4">
        <f>F568+F571+F574+F577</f>
        <v>224</v>
      </c>
      <c r="G567" s="4">
        <f>G568+G571+G574+G577</f>
        <v>224</v>
      </c>
    </row>
    <row r="568" spans="1:7" ht="47.25" hidden="1" x14ac:dyDescent="0.25">
      <c r="A568" s="25" t="s">
        <v>440</v>
      </c>
      <c r="B568" s="20" t="s">
        <v>264</v>
      </c>
      <c r="C568" s="20" t="s">
        <v>213</v>
      </c>
      <c r="D568" s="20" t="s">
        <v>1324</v>
      </c>
      <c r="E568" s="20"/>
      <c r="F568" s="6">
        <f t="shared" ref="F568:G568" si="53">F569</f>
        <v>0</v>
      </c>
      <c r="G568" s="6">
        <f t="shared" si="53"/>
        <v>0</v>
      </c>
    </row>
    <row r="569" spans="1:7" ht="47.25" hidden="1" x14ac:dyDescent="0.25">
      <c r="A569" s="25" t="s">
        <v>272</v>
      </c>
      <c r="B569" s="20" t="s">
        <v>264</v>
      </c>
      <c r="C569" s="20" t="s">
        <v>213</v>
      </c>
      <c r="D569" s="20" t="s">
        <v>1324</v>
      </c>
      <c r="E569" s="20" t="s">
        <v>273</v>
      </c>
      <c r="F569" s="6">
        <f>F570</f>
        <v>0</v>
      </c>
      <c r="G569" s="6">
        <f>G570</f>
        <v>0</v>
      </c>
    </row>
    <row r="570" spans="1:7" ht="15.75" hidden="1" x14ac:dyDescent="0.25">
      <c r="A570" s="25" t="s">
        <v>274</v>
      </c>
      <c r="B570" s="20" t="s">
        <v>264</v>
      </c>
      <c r="C570" s="20" t="s">
        <v>213</v>
      </c>
      <c r="D570" s="20" t="s">
        <v>1324</v>
      </c>
      <c r="E570" s="20" t="s">
        <v>275</v>
      </c>
      <c r="F570" s="6">
        <f>'пр.4.1.ведом.22-23'!G637</f>
        <v>0</v>
      </c>
      <c r="G570" s="6">
        <f>'пр.4.1.ведом.22-23'!H637</f>
        <v>0</v>
      </c>
    </row>
    <row r="571" spans="1:7" ht="47.25" hidden="1" x14ac:dyDescent="0.25">
      <c r="A571" s="25" t="s">
        <v>278</v>
      </c>
      <c r="B571" s="20" t="s">
        <v>264</v>
      </c>
      <c r="C571" s="20" t="s">
        <v>213</v>
      </c>
      <c r="D571" s="20" t="s">
        <v>1325</v>
      </c>
      <c r="E571" s="20"/>
      <c r="F571" s="6">
        <f t="shared" ref="F571:G571" si="54">F572</f>
        <v>0</v>
      </c>
      <c r="G571" s="6">
        <f t="shared" si="54"/>
        <v>0</v>
      </c>
    </row>
    <row r="572" spans="1:7" ht="47.25" hidden="1" x14ac:dyDescent="0.25">
      <c r="A572" s="25" t="s">
        <v>272</v>
      </c>
      <c r="B572" s="20" t="s">
        <v>264</v>
      </c>
      <c r="C572" s="20" t="s">
        <v>213</v>
      </c>
      <c r="D572" s="20" t="s">
        <v>1325</v>
      </c>
      <c r="E572" s="20" t="s">
        <v>273</v>
      </c>
      <c r="F572" s="6">
        <f>F573</f>
        <v>0</v>
      </c>
      <c r="G572" s="6">
        <f>G573</f>
        <v>0</v>
      </c>
    </row>
    <row r="573" spans="1:7" ht="15.75" hidden="1" x14ac:dyDescent="0.25">
      <c r="A573" s="25" t="s">
        <v>274</v>
      </c>
      <c r="B573" s="20" t="s">
        <v>264</v>
      </c>
      <c r="C573" s="20" t="s">
        <v>213</v>
      </c>
      <c r="D573" s="20" t="s">
        <v>1325</v>
      </c>
      <c r="E573" s="20" t="s">
        <v>275</v>
      </c>
      <c r="F573" s="6">
        <f>'пр.4.1.ведом.22-23'!G640</f>
        <v>0</v>
      </c>
      <c r="G573" s="6">
        <f>'пр.4.1.ведом.22-23'!H640</f>
        <v>0</v>
      </c>
    </row>
    <row r="574" spans="1:7" ht="31.5" hidden="1" x14ac:dyDescent="0.25">
      <c r="A574" s="25" t="s">
        <v>280</v>
      </c>
      <c r="B574" s="20" t="s">
        <v>264</v>
      </c>
      <c r="C574" s="20" t="s">
        <v>213</v>
      </c>
      <c r="D574" s="20" t="s">
        <v>1326</v>
      </c>
      <c r="E574" s="20"/>
      <c r="F574" s="6">
        <f t="shared" ref="F574:G574" si="55">F575</f>
        <v>0</v>
      </c>
      <c r="G574" s="6">
        <f t="shared" si="55"/>
        <v>0</v>
      </c>
    </row>
    <row r="575" spans="1:7" ht="47.25" hidden="1" x14ac:dyDescent="0.25">
      <c r="A575" s="25" t="s">
        <v>272</v>
      </c>
      <c r="B575" s="20" t="s">
        <v>264</v>
      </c>
      <c r="C575" s="20" t="s">
        <v>213</v>
      </c>
      <c r="D575" s="20" t="s">
        <v>1326</v>
      </c>
      <c r="E575" s="20" t="s">
        <v>273</v>
      </c>
      <c r="F575" s="6">
        <f>F576</f>
        <v>0</v>
      </c>
      <c r="G575" s="6">
        <f>G576</f>
        <v>0</v>
      </c>
    </row>
    <row r="576" spans="1:7" ht="15.75" hidden="1" x14ac:dyDescent="0.25">
      <c r="A576" s="25" t="s">
        <v>274</v>
      </c>
      <c r="B576" s="20" t="s">
        <v>264</v>
      </c>
      <c r="C576" s="20" t="s">
        <v>213</v>
      </c>
      <c r="D576" s="20" t="s">
        <v>1326</v>
      </c>
      <c r="E576" s="20" t="s">
        <v>275</v>
      </c>
      <c r="F576" s="6">
        <f>'пр.4.1.ведом.22-23'!G643</f>
        <v>0</v>
      </c>
      <c r="G576" s="6">
        <f>'пр.4.1.ведом.22-23'!H643</f>
        <v>0</v>
      </c>
    </row>
    <row r="577" spans="1:7" ht="47.25" x14ac:dyDescent="0.25">
      <c r="A577" s="25" t="s">
        <v>282</v>
      </c>
      <c r="B577" s="20" t="s">
        <v>264</v>
      </c>
      <c r="C577" s="20" t="s">
        <v>213</v>
      </c>
      <c r="D577" s="20" t="s">
        <v>1258</v>
      </c>
      <c r="E577" s="20"/>
      <c r="F577" s="6">
        <f t="shared" ref="F577:G577" si="56">F578</f>
        <v>224</v>
      </c>
      <c r="G577" s="6">
        <f t="shared" si="56"/>
        <v>224</v>
      </c>
    </row>
    <row r="578" spans="1:7" ht="47.25" x14ac:dyDescent="0.25">
      <c r="A578" s="25" t="s">
        <v>272</v>
      </c>
      <c r="B578" s="20" t="s">
        <v>264</v>
      </c>
      <c r="C578" s="20" t="s">
        <v>213</v>
      </c>
      <c r="D578" s="20" t="s">
        <v>1258</v>
      </c>
      <c r="E578" s="20" t="s">
        <v>273</v>
      </c>
      <c r="F578" s="6">
        <f>F579</f>
        <v>224</v>
      </c>
      <c r="G578" s="6">
        <f>G579</f>
        <v>224</v>
      </c>
    </row>
    <row r="579" spans="1:7" ht="15.75" x14ac:dyDescent="0.25">
      <c r="A579" s="25" t="s">
        <v>274</v>
      </c>
      <c r="B579" s="20" t="s">
        <v>264</v>
      </c>
      <c r="C579" s="20" t="s">
        <v>213</v>
      </c>
      <c r="D579" s="20" t="s">
        <v>1258</v>
      </c>
      <c r="E579" s="20" t="s">
        <v>275</v>
      </c>
      <c r="F579" s="6">
        <f>'пр.4.1.ведом.22-23'!G646</f>
        <v>224</v>
      </c>
      <c r="G579" s="6">
        <f>'пр.4.1.ведом.22-23'!H646</f>
        <v>224</v>
      </c>
    </row>
    <row r="580" spans="1:7" ht="47.25" x14ac:dyDescent="0.25">
      <c r="A580" s="218" t="s">
        <v>948</v>
      </c>
      <c r="B580" s="24" t="s">
        <v>264</v>
      </c>
      <c r="C580" s="24" t="s">
        <v>213</v>
      </c>
      <c r="D580" s="24" t="s">
        <v>1245</v>
      </c>
      <c r="E580" s="24"/>
      <c r="F580" s="4">
        <f>F581+F584</f>
        <v>2888</v>
      </c>
      <c r="G580" s="4">
        <f>G581+G584</f>
        <v>2888</v>
      </c>
    </row>
    <row r="581" spans="1:7" ht="31.5" hidden="1" x14ac:dyDescent="0.25">
      <c r="A581" s="25" t="s">
        <v>284</v>
      </c>
      <c r="B581" s="20" t="s">
        <v>264</v>
      </c>
      <c r="C581" s="20" t="s">
        <v>213</v>
      </c>
      <c r="D581" s="20" t="s">
        <v>1263</v>
      </c>
      <c r="E581" s="20"/>
      <c r="F581" s="6">
        <f>F582</f>
        <v>0</v>
      </c>
      <c r="G581" s="6">
        <f>G582</f>
        <v>0</v>
      </c>
    </row>
    <row r="582" spans="1:7" ht="47.25" hidden="1" x14ac:dyDescent="0.25">
      <c r="A582" s="25" t="s">
        <v>272</v>
      </c>
      <c r="B582" s="20" t="s">
        <v>264</v>
      </c>
      <c r="C582" s="20" t="s">
        <v>213</v>
      </c>
      <c r="D582" s="20" t="s">
        <v>1263</v>
      </c>
      <c r="E582" s="20" t="s">
        <v>273</v>
      </c>
      <c r="F582" s="6">
        <f>F583</f>
        <v>0</v>
      </c>
      <c r="G582" s="6">
        <f>G583</f>
        <v>0</v>
      </c>
    </row>
    <row r="583" spans="1:7" ht="18.75" hidden="1" customHeight="1" x14ac:dyDescent="0.25">
      <c r="A583" s="25" t="s">
        <v>274</v>
      </c>
      <c r="B583" s="20" t="s">
        <v>264</v>
      </c>
      <c r="C583" s="20" t="s">
        <v>213</v>
      </c>
      <c r="D583" s="20" t="s">
        <v>1263</v>
      </c>
      <c r="E583" s="20" t="s">
        <v>275</v>
      </c>
      <c r="F583" s="6">
        <f>'пр.4.1.ведом.22-23'!G650</f>
        <v>0</v>
      </c>
      <c r="G583" s="6">
        <f>'пр.4.1.ведом.22-23'!H650</f>
        <v>0</v>
      </c>
    </row>
    <row r="584" spans="1:7" ht="47.25" x14ac:dyDescent="0.25">
      <c r="A584" s="60" t="s">
        <v>764</v>
      </c>
      <c r="B584" s="20" t="s">
        <v>264</v>
      </c>
      <c r="C584" s="20" t="s">
        <v>213</v>
      </c>
      <c r="D584" s="20" t="s">
        <v>1246</v>
      </c>
      <c r="E584" s="20"/>
      <c r="F584" s="6">
        <f>F585</f>
        <v>2888</v>
      </c>
      <c r="G584" s="6">
        <f>G585</f>
        <v>2888</v>
      </c>
    </row>
    <row r="585" spans="1:7" ht="47.25" x14ac:dyDescent="0.25">
      <c r="A585" s="29" t="s">
        <v>272</v>
      </c>
      <c r="B585" s="20" t="s">
        <v>264</v>
      </c>
      <c r="C585" s="20" t="s">
        <v>213</v>
      </c>
      <c r="D585" s="20" t="s">
        <v>1246</v>
      </c>
      <c r="E585" s="20" t="s">
        <v>273</v>
      </c>
      <c r="F585" s="6">
        <f>F586</f>
        <v>2888</v>
      </c>
      <c r="G585" s="6">
        <f>G586</f>
        <v>2888</v>
      </c>
    </row>
    <row r="586" spans="1:7" ht="15.75" x14ac:dyDescent="0.25">
      <c r="A586" s="182" t="s">
        <v>274</v>
      </c>
      <c r="B586" s="20" t="s">
        <v>264</v>
      </c>
      <c r="C586" s="20" t="s">
        <v>213</v>
      </c>
      <c r="D586" s="20" t="s">
        <v>1246</v>
      </c>
      <c r="E586" s="20" t="s">
        <v>275</v>
      </c>
      <c r="F586" s="6">
        <f>'пр.4.1.ведом.22-23'!G653</f>
        <v>2888</v>
      </c>
      <c r="G586" s="6">
        <f>'пр.4.1.ведом.22-23'!H653</f>
        <v>2888</v>
      </c>
    </row>
    <row r="587" spans="1:7" ht="31.5" x14ac:dyDescent="0.25">
      <c r="A587" s="23" t="s">
        <v>938</v>
      </c>
      <c r="B587" s="24" t="s">
        <v>264</v>
      </c>
      <c r="C587" s="24" t="s">
        <v>213</v>
      </c>
      <c r="D587" s="24" t="s">
        <v>1259</v>
      </c>
      <c r="E587" s="24"/>
      <c r="F587" s="4">
        <f t="shared" ref="F587:G589" si="57">F588</f>
        <v>3931.8</v>
      </c>
      <c r="G587" s="4">
        <f t="shared" si="57"/>
        <v>3865.2</v>
      </c>
    </row>
    <row r="588" spans="1:7" ht="47.25" x14ac:dyDescent="0.25">
      <c r="A588" s="29" t="s">
        <v>602</v>
      </c>
      <c r="B588" s="20" t="s">
        <v>264</v>
      </c>
      <c r="C588" s="20" t="s">
        <v>213</v>
      </c>
      <c r="D588" s="20" t="s">
        <v>1260</v>
      </c>
      <c r="E588" s="20"/>
      <c r="F588" s="6">
        <f t="shared" si="57"/>
        <v>3931.8</v>
      </c>
      <c r="G588" s="6">
        <f t="shared" si="57"/>
        <v>3865.2</v>
      </c>
    </row>
    <row r="589" spans="1:7" ht="47.25" x14ac:dyDescent="0.25">
      <c r="A589" s="25" t="s">
        <v>272</v>
      </c>
      <c r="B589" s="20" t="s">
        <v>264</v>
      </c>
      <c r="C589" s="20" t="s">
        <v>213</v>
      </c>
      <c r="D589" s="20" t="s">
        <v>1260</v>
      </c>
      <c r="E589" s="20" t="s">
        <v>273</v>
      </c>
      <c r="F589" s="6">
        <f t="shared" si="57"/>
        <v>3931.8</v>
      </c>
      <c r="G589" s="6">
        <f t="shared" si="57"/>
        <v>3865.2</v>
      </c>
    </row>
    <row r="590" spans="1:7" ht="15.75" x14ac:dyDescent="0.25">
      <c r="A590" s="25" t="s">
        <v>274</v>
      </c>
      <c r="B590" s="20" t="s">
        <v>264</v>
      </c>
      <c r="C590" s="20" t="s">
        <v>213</v>
      </c>
      <c r="D590" s="20" t="s">
        <v>1260</v>
      </c>
      <c r="E590" s="20" t="s">
        <v>275</v>
      </c>
      <c r="F590" s="6">
        <f>'пр.4.1.ведом.22-23'!G657</f>
        <v>3931.8</v>
      </c>
      <c r="G590" s="6">
        <f>'пр.4.1.ведом.22-23'!H657</f>
        <v>3865.2</v>
      </c>
    </row>
    <row r="591" spans="1:7" ht="31.5" x14ac:dyDescent="0.25">
      <c r="A591" s="23" t="s">
        <v>939</v>
      </c>
      <c r="B591" s="24" t="s">
        <v>264</v>
      </c>
      <c r="C591" s="24" t="s">
        <v>213</v>
      </c>
      <c r="D591" s="24" t="s">
        <v>1261</v>
      </c>
      <c r="E591" s="24"/>
      <c r="F591" s="4">
        <f t="shared" ref="F591:G593" si="58">F592</f>
        <v>1384.6</v>
      </c>
      <c r="G591" s="4">
        <f t="shared" si="58"/>
        <v>1384.6</v>
      </c>
    </row>
    <row r="592" spans="1:7" ht="63" x14ac:dyDescent="0.25">
      <c r="A592" s="25" t="s">
        <v>438</v>
      </c>
      <c r="B592" s="20" t="s">
        <v>264</v>
      </c>
      <c r="C592" s="20" t="s">
        <v>213</v>
      </c>
      <c r="D592" s="20" t="s">
        <v>1262</v>
      </c>
      <c r="E592" s="20"/>
      <c r="F592" s="6">
        <f t="shared" si="58"/>
        <v>1384.6</v>
      </c>
      <c r="G592" s="6">
        <f t="shared" si="58"/>
        <v>1384.6</v>
      </c>
    </row>
    <row r="593" spans="1:7" ht="47.25" x14ac:dyDescent="0.25">
      <c r="A593" s="25" t="s">
        <v>272</v>
      </c>
      <c r="B593" s="20" t="s">
        <v>264</v>
      </c>
      <c r="C593" s="20" t="s">
        <v>213</v>
      </c>
      <c r="D593" s="20" t="s">
        <v>1262</v>
      </c>
      <c r="E593" s="20" t="s">
        <v>273</v>
      </c>
      <c r="F593" s="6">
        <f t="shared" si="58"/>
        <v>1384.6</v>
      </c>
      <c r="G593" s="6">
        <f t="shared" si="58"/>
        <v>1384.6</v>
      </c>
    </row>
    <row r="594" spans="1:7" ht="15.75" x14ac:dyDescent="0.25">
      <c r="A594" s="25" t="s">
        <v>274</v>
      </c>
      <c r="B594" s="20" t="s">
        <v>264</v>
      </c>
      <c r="C594" s="20" t="s">
        <v>213</v>
      </c>
      <c r="D594" s="20" t="s">
        <v>1262</v>
      </c>
      <c r="E594" s="20" t="s">
        <v>275</v>
      </c>
      <c r="F594" s="6">
        <f>'пр.4.1.ведом.22-23'!G661</f>
        <v>1384.6</v>
      </c>
      <c r="G594" s="6">
        <f>'пр.4.1.ведом.22-23'!H661</f>
        <v>1384.6</v>
      </c>
    </row>
    <row r="595" spans="1:7" ht="31.5" x14ac:dyDescent="0.25">
      <c r="A595" s="216" t="s">
        <v>940</v>
      </c>
      <c r="B595" s="24" t="s">
        <v>264</v>
      </c>
      <c r="C595" s="24" t="s">
        <v>213</v>
      </c>
      <c r="D595" s="24" t="s">
        <v>1264</v>
      </c>
      <c r="E595" s="24"/>
      <c r="F595" s="4">
        <f>F596+F599</f>
        <v>755.8</v>
      </c>
      <c r="G595" s="4">
        <f>G596+G599</f>
        <v>759</v>
      </c>
    </row>
    <row r="596" spans="1:7" ht="63" x14ac:dyDescent="0.25">
      <c r="A596" s="182" t="s">
        <v>828</v>
      </c>
      <c r="B596" s="20" t="s">
        <v>264</v>
      </c>
      <c r="C596" s="20" t="s">
        <v>213</v>
      </c>
      <c r="D596" s="20" t="s">
        <v>1437</v>
      </c>
      <c r="E596" s="20"/>
      <c r="F596" s="6">
        <f t="shared" ref="F596:G596" si="59">F597</f>
        <v>755.8</v>
      </c>
      <c r="G596" s="6">
        <f t="shared" si="59"/>
        <v>759</v>
      </c>
    </row>
    <row r="597" spans="1:7" ht="47.25" x14ac:dyDescent="0.25">
      <c r="A597" s="31" t="s">
        <v>272</v>
      </c>
      <c r="B597" s="20" t="s">
        <v>264</v>
      </c>
      <c r="C597" s="20" t="s">
        <v>213</v>
      </c>
      <c r="D597" s="20" t="s">
        <v>1437</v>
      </c>
      <c r="E597" s="20" t="s">
        <v>273</v>
      </c>
      <c r="F597" s="6">
        <f>F598</f>
        <v>755.8</v>
      </c>
      <c r="G597" s="6">
        <f>G598</f>
        <v>759</v>
      </c>
    </row>
    <row r="598" spans="1:7" ht="15.75" x14ac:dyDescent="0.25">
      <c r="A598" s="31" t="s">
        <v>274</v>
      </c>
      <c r="B598" s="20" t="s">
        <v>264</v>
      </c>
      <c r="C598" s="20" t="s">
        <v>213</v>
      </c>
      <c r="D598" s="20" t="s">
        <v>1437</v>
      </c>
      <c r="E598" s="20" t="s">
        <v>275</v>
      </c>
      <c r="F598" s="6">
        <f>'пр.4.1.ведом.22-23'!G665</f>
        <v>755.8</v>
      </c>
      <c r="G598" s="6">
        <f>'пр.4.1.ведом.22-23'!H665</f>
        <v>759</v>
      </c>
    </row>
    <row r="599" spans="1:7" s="203" customFormat="1" ht="31.5" hidden="1" x14ac:dyDescent="0.25">
      <c r="A599" s="345" t="s">
        <v>1436</v>
      </c>
      <c r="B599" s="20" t="s">
        <v>264</v>
      </c>
      <c r="C599" s="20" t="s">
        <v>213</v>
      </c>
      <c r="D599" s="20" t="s">
        <v>1438</v>
      </c>
      <c r="E599" s="20"/>
      <c r="F599" s="26">
        <f>F600</f>
        <v>0</v>
      </c>
      <c r="G599" s="6">
        <f>G600</f>
        <v>0</v>
      </c>
    </row>
    <row r="600" spans="1:7" s="203" customFormat="1" ht="47.25" hidden="1" x14ac:dyDescent="0.25">
      <c r="A600" s="31" t="s">
        <v>272</v>
      </c>
      <c r="B600" s="20" t="s">
        <v>264</v>
      </c>
      <c r="C600" s="20" t="s">
        <v>213</v>
      </c>
      <c r="D600" s="20" t="s">
        <v>1438</v>
      </c>
      <c r="E600" s="20" t="s">
        <v>273</v>
      </c>
      <c r="F600" s="26">
        <f>F601</f>
        <v>0</v>
      </c>
      <c r="G600" s="6">
        <f>G601</f>
        <v>0</v>
      </c>
    </row>
    <row r="601" spans="1:7" s="203" customFormat="1" ht="15.75" hidden="1" x14ac:dyDescent="0.25">
      <c r="A601" s="31" t="s">
        <v>274</v>
      </c>
      <c r="B601" s="20" t="s">
        <v>264</v>
      </c>
      <c r="C601" s="20" t="s">
        <v>213</v>
      </c>
      <c r="D601" s="20" t="s">
        <v>1438</v>
      </c>
      <c r="E601" s="20" t="s">
        <v>275</v>
      </c>
      <c r="F601" s="26">
        <v>0</v>
      </c>
      <c r="G601" s="6">
        <v>0</v>
      </c>
    </row>
    <row r="602" spans="1:7" s="203" customFormat="1" ht="47.25" x14ac:dyDescent="0.25">
      <c r="A602" s="298" t="s">
        <v>1416</v>
      </c>
      <c r="B602" s="24" t="s">
        <v>264</v>
      </c>
      <c r="C602" s="24" t="s">
        <v>213</v>
      </c>
      <c r="D602" s="24" t="s">
        <v>1415</v>
      </c>
      <c r="E602" s="24"/>
      <c r="F602" s="21">
        <f t="shared" ref="F602:G604" si="60">F603</f>
        <v>5415.6500000000005</v>
      </c>
      <c r="G602" s="21">
        <f t="shared" si="60"/>
        <v>5142.4500000000007</v>
      </c>
    </row>
    <row r="603" spans="1:7" s="203" customFormat="1" ht="78.75" x14ac:dyDescent="0.25">
      <c r="A603" s="297" t="s">
        <v>1402</v>
      </c>
      <c r="B603" s="20" t="s">
        <v>264</v>
      </c>
      <c r="C603" s="20" t="s">
        <v>213</v>
      </c>
      <c r="D603" s="20" t="s">
        <v>1462</v>
      </c>
      <c r="E603" s="20"/>
      <c r="F603" s="26">
        <f t="shared" si="60"/>
        <v>5415.6500000000005</v>
      </c>
      <c r="G603" s="26">
        <f t="shared" si="60"/>
        <v>5142.4500000000007</v>
      </c>
    </row>
    <row r="604" spans="1:7" s="203" customFormat="1" ht="47.25" x14ac:dyDescent="0.25">
      <c r="A604" s="31" t="s">
        <v>272</v>
      </c>
      <c r="B604" s="20" t="s">
        <v>264</v>
      </c>
      <c r="C604" s="20" t="s">
        <v>213</v>
      </c>
      <c r="D604" s="20" t="s">
        <v>1462</v>
      </c>
      <c r="E604" s="20" t="s">
        <v>273</v>
      </c>
      <c r="F604" s="26">
        <f t="shared" si="60"/>
        <v>5415.6500000000005</v>
      </c>
      <c r="G604" s="26">
        <f t="shared" si="60"/>
        <v>5142.4500000000007</v>
      </c>
    </row>
    <row r="605" spans="1:7" s="203" customFormat="1" ht="15.75" x14ac:dyDescent="0.25">
      <c r="A605" s="31" t="s">
        <v>274</v>
      </c>
      <c r="B605" s="20" t="s">
        <v>264</v>
      </c>
      <c r="C605" s="20" t="s">
        <v>213</v>
      </c>
      <c r="D605" s="20" t="s">
        <v>1462</v>
      </c>
      <c r="E605" s="20" t="s">
        <v>275</v>
      </c>
      <c r="F605" s="26">
        <f>'пр.4.1.ведом.22-23'!G672</f>
        <v>5415.6500000000005</v>
      </c>
      <c r="G605" s="6">
        <f>'пр.4.1.ведом.22-23'!H672</f>
        <v>5142.4500000000007</v>
      </c>
    </row>
    <row r="606" spans="1:7" s="203" customFormat="1" ht="31.5" x14ac:dyDescent="0.25">
      <c r="A606" s="34" t="s">
        <v>1485</v>
      </c>
      <c r="B606" s="24" t="s">
        <v>264</v>
      </c>
      <c r="C606" s="24" t="s">
        <v>213</v>
      </c>
      <c r="D606" s="24" t="s">
        <v>1483</v>
      </c>
      <c r="E606" s="24"/>
      <c r="F606" s="21">
        <f t="shared" ref="F606:G608" si="61">F607</f>
        <v>1749.4499999999998</v>
      </c>
      <c r="G606" s="21">
        <f t="shared" si="61"/>
        <v>2341</v>
      </c>
    </row>
    <row r="607" spans="1:7" s="203" customFormat="1" ht="47.25" x14ac:dyDescent="0.25">
      <c r="A607" s="31" t="s">
        <v>1538</v>
      </c>
      <c r="B607" s="20" t="s">
        <v>264</v>
      </c>
      <c r="C607" s="20" t="s">
        <v>213</v>
      </c>
      <c r="D607" s="20" t="s">
        <v>1484</v>
      </c>
      <c r="E607" s="20"/>
      <c r="F607" s="26">
        <f t="shared" si="61"/>
        <v>1749.4499999999998</v>
      </c>
      <c r="G607" s="26">
        <f t="shared" si="61"/>
        <v>2341</v>
      </c>
    </row>
    <row r="608" spans="1:7" s="203" customFormat="1" ht="47.25" x14ac:dyDescent="0.25">
      <c r="A608" s="31" t="s">
        <v>272</v>
      </c>
      <c r="B608" s="20" t="s">
        <v>264</v>
      </c>
      <c r="C608" s="20" t="s">
        <v>213</v>
      </c>
      <c r="D608" s="20" t="s">
        <v>1484</v>
      </c>
      <c r="E608" s="20" t="s">
        <v>273</v>
      </c>
      <c r="F608" s="26">
        <f t="shared" si="61"/>
        <v>1749.4499999999998</v>
      </c>
      <c r="G608" s="26">
        <f t="shared" si="61"/>
        <v>2341</v>
      </c>
    </row>
    <row r="609" spans="1:7" s="203" customFormat="1" ht="15.75" x14ac:dyDescent="0.25">
      <c r="A609" s="31" t="s">
        <v>274</v>
      </c>
      <c r="B609" s="20" t="s">
        <v>264</v>
      </c>
      <c r="C609" s="20" t="s">
        <v>213</v>
      </c>
      <c r="D609" s="20" t="s">
        <v>1484</v>
      </c>
      <c r="E609" s="20" t="s">
        <v>275</v>
      </c>
      <c r="F609" s="26">
        <f>'пр.4.1.ведом.22-23'!G680</f>
        <v>1749.4499999999998</v>
      </c>
      <c r="G609" s="26">
        <f>'пр.4.1.ведом.22-23'!H680</f>
        <v>2341</v>
      </c>
    </row>
    <row r="610" spans="1:7" ht="63" x14ac:dyDescent="0.25">
      <c r="A610" s="34" t="s">
        <v>1368</v>
      </c>
      <c r="B610" s="24" t="s">
        <v>264</v>
      </c>
      <c r="C610" s="24" t="s">
        <v>213</v>
      </c>
      <c r="D610" s="24" t="s">
        <v>324</v>
      </c>
      <c r="E610" s="24"/>
      <c r="F610" s="4">
        <f t="shared" ref="F610:G613" si="62">F611</f>
        <v>60</v>
      </c>
      <c r="G610" s="4">
        <f t="shared" si="62"/>
        <v>70</v>
      </c>
    </row>
    <row r="611" spans="1:7" ht="63" x14ac:dyDescent="0.25">
      <c r="A611" s="34" t="s">
        <v>1024</v>
      </c>
      <c r="B611" s="24" t="s">
        <v>264</v>
      </c>
      <c r="C611" s="24" t="s">
        <v>213</v>
      </c>
      <c r="D611" s="24" t="s">
        <v>934</v>
      </c>
      <c r="E611" s="24"/>
      <c r="F611" s="4">
        <f t="shared" si="62"/>
        <v>60</v>
      </c>
      <c r="G611" s="4">
        <f t="shared" si="62"/>
        <v>70</v>
      </c>
    </row>
    <row r="612" spans="1:7" ht="47.25" x14ac:dyDescent="0.25">
      <c r="A612" s="31" t="s">
        <v>1008</v>
      </c>
      <c r="B612" s="20" t="s">
        <v>264</v>
      </c>
      <c r="C612" s="20" t="s">
        <v>213</v>
      </c>
      <c r="D612" s="20" t="s">
        <v>935</v>
      </c>
      <c r="E612" s="20"/>
      <c r="F612" s="6">
        <f t="shared" si="62"/>
        <v>60</v>
      </c>
      <c r="G612" s="6">
        <f t="shared" si="62"/>
        <v>70</v>
      </c>
    </row>
    <row r="613" spans="1:7" ht="47.25" x14ac:dyDescent="0.25">
      <c r="A613" s="31" t="s">
        <v>272</v>
      </c>
      <c r="B613" s="20" t="s">
        <v>264</v>
      </c>
      <c r="C613" s="20" t="s">
        <v>213</v>
      </c>
      <c r="D613" s="20" t="s">
        <v>935</v>
      </c>
      <c r="E613" s="20" t="s">
        <v>273</v>
      </c>
      <c r="F613" s="6">
        <f t="shared" si="62"/>
        <v>60</v>
      </c>
      <c r="G613" s="6">
        <f t="shared" si="62"/>
        <v>70</v>
      </c>
    </row>
    <row r="614" spans="1:7" ht="15.75" x14ac:dyDescent="0.25">
      <c r="A614" s="31" t="s">
        <v>274</v>
      </c>
      <c r="B614" s="20" t="s">
        <v>264</v>
      </c>
      <c r="C614" s="20" t="s">
        <v>213</v>
      </c>
      <c r="D614" s="20" t="s">
        <v>935</v>
      </c>
      <c r="E614" s="20" t="s">
        <v>275</v>
      </c>
      <c r="F614" s="6">
        <f>'пр.5.1.МП 22-23'!G621</f>
        <v>60</v>
      </c>
      <c r="G614" s="6">
        <f>'пр.5.1.МП 22-23'!H621</f>
        <v>70</v>
      </c>
    </row>
    <row r="615" spans="1:7" ht="63" x14ac:dyDescent="0.25">
      <c r="A615" s="41" t="s">
        <v>1363</v>
      </c>
      <c r="B615" s="24" t="s">
        <v>264</v>
      </c>
      <c r="C615" s="24" t="s">
        <v>213</v>
      </c>
      <c r="D615" s="24" t="s">
        <v>705</v>
      </c>
      <c r="E615" s="221"/>
      <c r="F615" s="4">
        <f t="shared" ref="F615:G616" si="63">F616</f>
        <v>870.5</v>
      </c>
      <c r="G615" s="4">
        <f t="shared" si="63"/>
        <v>905.3</v>
      </c>
    </row>
    <row r="616" spans="1:7" ht="63" x14ac:dyDescent="0.25">
      <c r="A616" s="41" t="s">
        <v>890</v>
      </c>
      <c r="B616" s="24" t="s">
        <v>264</v>
      </c>
      <c r="C616" s="24" t="s">
        <v>213</v>
      </c>
      <c r="D616" s="24" t="s">
        <v>888</v>
      </c>
      <c r="E616" s="221"/>
      <c r="F616" s="4">
        <f t="shared" si="63"/>
        <v>870.5</v>
      </c>
      <c r="G616" s="4">
        <f t="shared" si="63"/>
        <v>905.3</v>
      </c>
    </row>
    <row r="617" spans="1:7" ht="47.25" x14ac:dyDescent="0.25">
      <c r="A617" s="98" t="s">
        <v>780</v>
      </c>
      <c r="B617" s="20" t="s">
        <v>264</v>
      </c>
      <c r="C617" s="20" t="s">
        <v>213</v>
      </c>
      <c r="D617" s="20" t="s">
        <v>936</v>
      </c>
      <c r="E617" s="32"/>
      <c r="F617" s="6">
        <f>F618</f>
        <v>870.5</v>
      </c>
      <c r="G617" s="6">
        <f>G618</f>
        <v>905.3</v>
      </c>
    </row>
    <row r="618" spans="1:7" ht="47.25" x14ac:dyDescent="0.25">
      <c r="A618" s="29" t="s">
        <v>272</v>
      </c>
      <c r="B618" s="20" t="s">
        <v>264</v>
      </c>
      <c r="C618" s="20" t="s">
        <v>213</v>
      </c>
      <c r="D618" s="20" t="s">
        <v>936</v>
      </c>
      <c r="E618" s="32" t="s">
        <v>273</v>
      </c>
      <c r="F618" s="6">
        <f>F619</f>
        <v>870.5</v>
      </c>
      <c r="G618" s="6">
        <f>G619</f>
        <v>905.3</v>
      </c>
    </row>
    <row r="619" spans="1:7" ht="15.75" x14ac:dyDescent="0.25">
      <c r="A619" s="182" t="s">
        <v>274</v>
      </c>
      <c r="B619" s="20" t="s">
        <v>264</v>
      </c>
      <c r="C619" s="20" t="s">
        <v>213</v>
      </c>
      <c r="D619" s="20" t="s">
        <v>936</v>
      </c>
      <c r="E619" s="32" t="s">
        <v>275</v>
      </c>
      <c r="F619" s="6">
        <f>'пр.4.1.ведом.22-23'!G690</f>
        <v>870.5</v>
      </c>
      <c r="G619" s="6">
        <f>'пр.4.1.ведом.22-23'!H690</f>
        <v>905.3</v>
      </c>
    </row>
    <row r="620" spans="1:7" ht="15.75" x14ac:dyDescent="0.25">
      <c r="A620" s="41" t="s">
        <v>265</v>
      </c>
      <c r="B620" s="7" t="s">
        <v>264</v>
      </c>
      <c r="C620" s="7" t="s">
        <v>215</v>
      </c>
      <c r="D620" s="24"/>
      <c r="E620" s="7"/>
      <c r="F620" s="4">
        <f>F621+F644+F681+F676</f>
        <v>60278.110000000008</v>
      </c>
      <c r="G620" s="4">
        <f>G621+G644+G681+G676</f>
        <v>60303.91</v>
      </c>
    </row>
    <row r="621" spans="1:7" ht="47.25" x14ac:dyDescent="0.25">
      <c r="A621" s="23" t="s">
        <v>1369</v>
      </c>
      <c r="B621" s="24" t="s">
        <v>264</v>
      </c>
      <c r="C621" s="24" t="s">
        <v>215</v>
      </c>
      <c r="D621" s="24" t="s">
        <v>406</v>
      </c>
      <c r="E621" s="24"/>
      <c r="F621" s="4">
        <f>F622+F626+F640</f>
        <v>40748.800000000003</v>
      </c>
      <c r="G621" s="4">
        <f>G622+G626+G640</f>
        <v>40748.800000000003</v>
      </c>
    </row>
    <row r="622" spans="1:7" ht="47.25" x14ac:dyDescent="0.25">
      <c r="A622" s="23" t="s">
        <v>937</v>
      </c>
      <c r="B622" s="24" t="s">
        <v>264</v>
      </c>
      <c r="C622" s="24" t="s">
        <v>215</v>
      </c>
      <c r="D622" s="24" t="s">
        <v>1235</v>
      </c>
      <c r="E622" s="24"/>
      <c r="F622" s="4">
        <f t="shared" ref="F622:G622" si="64">F623</f>
        <v>37056.300000000003</v>
      </c>
      <c r="G622" s="4">
        <f t="shared" si="64"/>
        <v>37056.300000000003</v>
      </c>
    </row>
    <row r="623" spans="1:7" ht="47.25" x14ac:dyDescent="0.25">
      <c r="A623" s="25" t="s">
        <v>270</v>
      </c>
      <c r="B623" s="20" t="s">
        <v>264</v>
      </c>
      <c r="C623" s="20" t="s">
        <v>215</v>
      </c>
      <c r="D623" s="20" t="s">
        <v>1265</v>
      </c>
      <c r="E623" s="20"/>
      <c r="F623" s="6">
        <f>F624</f>
        <v>37056.300000000003</v>
      </c>
      <c r="G623" s="6">
        <f>G624</f>
        <v>37056.300000000003</v>
      </c>
    </row>
    <row r="624" spans="1:7" ht="47.25" x14ac:dyDescent="0.25">
      <c r="A624" s="25" t="s">
        <v>272</v>
      </c>
      <c r="B624" s="20" t="s">
        <v>264</v>
      </c>
      <c r="C624" s="20" t="s">
        <v>215</v>
      </c>
      <c r="D624" s="20" t="s">
        <v>1265</v>
      </c>
      <c r="E624" s="20" t="s">
        <v>273</v>
      </c>
      <c r="F624" s="6">
        <f>F625</f>
        <v>37056.300000000003</v>
      </c>
      <c r="G624" s="6">
        <f>G625</f>
        <v>37056.300000000003</v>
      </c>
    </row>
    <row r="625" spans="1:7" ht="15.75" x14ac:dyDescent="0.25">
      <c r="A625" s="25" t="s">
        <v>274</v>
      </c>
      <c r="B625" s="20" t="s">
        <v>264</v>
      </c>
      <c r="C625" s="20" t="s">
        <v>215</v>
      </c>
      <c r="D625" s="20" t="s">
        <v>1265</v>
      </c>
      <c r="E625" s="20" t="s">
        <v>275</v>
      </c>
      <c r="F625" s="6">
        <f>'пр.4.1.ведом.22-23'!G696</f>
        <v>37056.300000000003</v>
      </c>
      <c r="G625" s="6">
        <f>'пр.4.1.ведом.22-23'!H696</f>
        <v>37056.300000000003</v>
      </c>
    </row>
    <row r="626" spans="1:7" ht="47.25" x14ac:dyDescent="0.25">
      <c r="A626" s="23" t="s">
        <v>900</v>
      </c>
      <c r="B626" s="24" t="s">
        <v>264</v>
      </c>
      <c r="C626" s="24" t="s">
        <v>215</v>
      </c>
      <c r="D626" s="24" t="s">
        <v>1237</v>
      </c>
      <c r="E626" s="24"/>
      <c r="F626" s="4">
        <f>F630+F633+F627</f>
        <v>2128.5</v>
      </c>
      <c r="G626" s="4">
        <f>G630+G633+G627</f>
        <v>2128.5</v>
      </c>
    </row>
    <row r="627" spans="1:7" s="203" customFormat="1" ht="110.25" x14ac:dyDescent="0.25">
      <c r="A627" s="31" t="s">
        <v>293</v>
      </c>
      <c r="B627" s="20" t="s">
        <v>264</v>
      </c>
      <c r="C627" s="20" t="s">
        <v>215</v>
      </c>
      <c r="D627" s="20" t="s">
        <v>1401</v>
      </c>
      <c r="E627" s="20"/>
      <c r="F627" s="6">
        <f>F628</f>
        <v>1400</v>
      </c>
      <c r="G627" s="6">
        <f>G628</f>
        <v>1400</v>
      </c>
    </row>
    <row r="628" spans="1:7" s="203" customFormat="1" ht="47.25" x14ac:dyDescent="0.25">
      <c r="A628" s="25" t="s">
        <v>272</v>
      </c>
      <c r="B628" s="20" t="s">
        <v>264</v>
      </c>
      <c r="C628" s="20" t="s">
        <v>215</v>
      </c>
      <c r="D628" s="20" t="s">
        <v>1401</v>
      </c>
      <c r="E628" s="20" t="s">
        <v>273</v>
      </c>
      <c r="F628" s="6">
        <f>F629</f>
        <v>1400</v>
      </c>
      <c r="G628" s="6">
        <f>G629</f>
        <v>1400</v>
      </c>
    </row>
    <row r="629" spans="1:7" s="203" customFormat="1" ht="15.75" x14ac:dyDescent="0.25">
      <c r="A629" s="25" t="s">
        <v>274</v>
      </c>
      <c r="B629" s="20" t="s">
        <v>264</v>
      </c>
      <c r="C629" s="20" t="s">
        <v>215</v>
      </c>
      <c r="D629" s="20" t="s">
        <v>1401</v>
      </c>
      <c r="E629" s="20" t="s">
        <v>275</v>
      </c>
      <c r="F629" s="6">
        <f>'пр.4.1.ведом.22-23'!G700</f>
        <v>1400</v>
      </c>
      <c r="G629" s="6">
        <f>'пр.4.1.ведом.22-23'!H700</f>
        <v>1400</v>
      </c>
    </row>
    <row r="630" spans="1:7" ht="63" x14ac:dyDescent="0.25">
      <c r="A630" s="31" t="s">
        <v>289</v>
      </c>
      <c r="B630" s="20" t="s">
        <v>264</v>
      </c>
      <c r="C630" s="20" t="s">
        <v>215</v>
      </c>
      <c r="D630" s="20" t="s">
        <v>1238</v>
      </c>
      <c r="E630" s="20"/>
      <c r="F630" s="6">
        <f>F631</f>
        <v>179</v>
      </c>
      <c r="G630" s="6">
        <f>G631</f>
        <v>179</v>
      </c>
    </row>
    <row r="631" spans="1:7" ht="47.25" x14ac:dyDescent="0.25">
      <c r="A631" s="25" t="s">
        <v>272</v>
      </c>
      <c r="B631" s="20" t="s">
        <v>264</v>
      </c>
      <c r="C631" s="20" t="s">
        <v>215</v>
      </c>
      <c r="D631" s="20" t="s">
        <v>1238</v>
      </c>
      <c r="E631" s="20" t="s">
        <v>273</v>
      </c>
      <c r="F631" s="6">
        <f>F632</f>
        <v>179</v>
      </c>
      <c r="G631" s="6">
        <f>G632</f>
        <v>179</v>
      </c>
    </row>
    <row r="632" spans="1:7" ht="15.75" x14ac:dyDescent="0.25">
      <c r="A632" s="25" t="s">
        <v>274</v>
      </c>
      <c r="B632" s="20" t="s">
        <v>264</v>
      </c>
      <c r="C632" s="20" t="s">
        <v>215</v>
      </c>
      <c r="D632" s="20" t="s">
        <v>1238</v>
      </c>
      <c r="E632" s="20" t="s">
        <v>275</v>
      </c>
      <c r="F632" s="6">
        <f>'пр.4.1.ведом.22-23'!G703</f>
        <v>179</v>
      </c>
      <c r="G632" s="6">
        <f>'пр.4.1.ведом.22-23'!H703</f>
        <v>179</v>
      </c>
    </row>
    <row r="633" spans="1:7" ht="78.75" x14ac:dyDescent="0.25">
      <c r="A633" s="31" t="s">
        <v>291</v>
      </c>
      <c r="B633" s="20" t="s">
        <v>264</v>
      </c>
      <c r="C633" s="20" t="s">
        <v>215</v>
      </c>
      <c r="D633" s="20" t="s">
        <v>1239</v>
      </c>
      <c r="E633" s="20"/>
      <c r="F633" s="6">
        <f>F634</f>
        <v>549.5</v>
      </c>
      <c r="G633" s="6">
        <f>G634</f>
        <v>549.5</v>
      </c>
    </row>
    <row r="634" spans="1:7" ht="47.25" x14ac:dyDescent="0.25">
      <c r="A634" s="25" t="s">
        <v>272</v>
      </c>
      <c r="B634" s="20" t="s">
        <v>264</v>
      </c>
      <c r="C634" s="20" t="s">
        <v>215</v>
      </c>
      <c r="D634" s="20" t="s">
        <v>1239</v>
      </c>
      <c r="E634" s="20" t="s">
        <v>273</v>
      </c>
      <c r="F634" s="6">
        <f>F635</f>
        <v>549.5</v>
      </c>
      <c r="G634" s="6">
        <f>G635</f>
        <v>549.5</v>
      </c>
    </row>
    <row r="635" spans="1:7" ht="15.75" x14ac:dyDescent="0.25">
      <c r="A635" s="25" t="s">
        <v>274</v>
      </c>
      <c r="B635" s="20" t="s">
        <v>264</v>
      </c>
      <c r="C635" s="20" t="s">
        <v>215</v>
      </c>
      <c r="D635" s="20" t="s">
        <v>1239</v>
      </c>
      <c r="E635" s="20" t="s">
        <v>275</v>
      </c>
      <c r="F635" s="6">
        <f>'пр.4.1.ведом.22-23'!G706</f>
        <v>549.5</v>
      </c>
      <c r="G635" s="6">
        <f>'пр.4.1.ведом.22-23'!H706</f>
        <v>549.5</v>
      </c>
    </row>
    <row r="636" spans="1:7" ht="31.5" hidden="1" x14ac:dyDescent="0.25">
      <c r="A636" s="23" t="s">
        <v>1297</v>
      </c>
      <c r="B636" s="24" t="s">
        <v>264</v>
      </c>
      <c r="C636" s="24" t="s">
        <v>215</v>
      </c>
      <c r="D636" s="24" t="s">
        <v>1242</v>
      </c>
      <c r="E636" s="24"/>
      <c r="F636" s="4">
        <f>F637</f>
        <v>0</v>
      </c>
      <c r="G636" s="4">
        <f>G637</f>
        <v>0</v>
      </c>
    </row>
    <row r="637" spans="1:7" ht="31.5" hidden="1" x14ac:dyDescent="0.25">
      <c r="A637" s="45" t="s">
        <v>766</v>
      </c>
      <c r="B637" s="20" t="s">
        <v>264</v>
      </c>
      <c r="C637" s="20" t="s">
        <v>215</v>
      </c>
      <c r="D637" s="20" t="s">
        <v>1337</v>
      </c>
      <c r="E637" s="20"/>
      <c r="F637" s="6">
        <f>'Пр.3 Рд,пр, ЦС,ВР 21'!F727</f>
        <v>0</v>
      </c>
      <c r="G637" s="6">
        <f t="shared" ref="G637:G661" si="65">F637</f>
        <v>0</v>
      </c>
    </row>
    <row r="638" spans="1:7" ht="47.25" hidden="1" x14ac:dyDescent="0.25">
      <c r="A638" s="31" t="s">
        <v>272</v>
      </c>
      <c r="B638" s="20" t="s">
        <v>264</v>
      </c>
      <c r="C638" s="20" t="s">
        <v>215</v>
      </c>
      <c r="D638" s="20" t="s">
        <v>1337</v>
      </c>
      <c r="E638" s="20" t="s">
        <v>273</v>
      </c>
      <c r="F638" s="6">
        <f>'Пр.3 Рд,пр, ЦС,ВР 21'!F728</f>
        <v>0</v>
      </c>
      <c r="G638" s="6">
        <f t="shared" si="65"/>
        <v>0</v>
      </c>
    </row>
    <row r="639" spans="1:7" ht="15.75" hidden="1" x14ac:dyDescent="0.25">
      <c r="A639" s="31" t="s">
        <v>274</v>
      </c>
      <c r="B639" s="20" t="s">
        <v>264</v>
      </c>
      <c r="C639" s="20" t="s">
        <v>215</v>
      </c>
      <c r="D639" s="20" t="s">
        <v>1337</v>
      </c>
      <c r="E639" s="20" t="s">
        <v>275</v>
      </c>
      <c r="F639" s="6">
        <f>'Пр.3 Рд,пр, ЦС,ВР 21'!F729</f>
        <v>0</v>
      </c>
      <c r="G639" s="6">
        <f t="shared" si="65"/>
        <v>0</v>
      </c>
    </row>
    <row r="640" spans="1:7" ht="47.25" x14ac:dyDescent="0.25">
      <c r="A640" s="218" t="s">
        <v>948</v>
      </c>
      <c r="B640" s="24" t="s">
        <v>264</v>
      </c>
      <c r="C640" s="24" t="s">
        <v>215</v>
      </c>
      <c r="D640" s="24" t="s">
        <v>1245</v>
      </c>
      <c r="E640" s="24"/>
      <c r="F640" s="4">
        <f t="shared" ref="F640:G642" si="66">F641</f>
        <v>1564</v>
      </c>
      <c r="G640" s="4">
        <f t="shared" si="66"/>
        <v>1564</v>
      </c>
    </row>
    <row r="641" spans="1:7" ht="47.25" x14ac:dyDescent="0.25">
      <c r="A641" s="45" t="s">
        <v>764</v>
      </c>
      <c r="B641" s="20" t="s">
        <v>264</v>
      </c>
      <c r="C641" s="20" t="s">
        <v>215</v>
      </c>
      <c r="D641" s="20" t="s">
        <v>1246</v>
      </c>
      <c r="E641" s="20"/>
      <c r="F641" s="6">
        <f t="shared" si="66"/>
        <v>1564</v>
      </c>
      <c r="G641" s="6">
        <f t="shared" si="66"/>
        <v>1564</v>
      </c>
    </row>
    <row r="642" spans="1:7" ht="47.25" x14ac:dyDescent="0.25">
      <c r="A642" s="25" t="s">
        <v>272</v>
      </c>
      <c r="B642" s="20" t="s">
        <v>264</v>
      </c>
      <c r="C642" s="20" t="s">
        <v>215</v>
      </c>
      <c r="D642" s="20" t="s">
        <v>1246</v>
      </c>
      <c r="E642" s="20" t="s">
        <v>273</v>
      </c>
      <c r="F642" s="6">
        <f t="shared" si="66"/>
        <v>1564</v>
      </c>
      <c r="G642" s="6">
        <f t="shared" si="66"/>
        <v>1564</v>
      </c>
    </row>
    <row r="643" spans="1:7" ht="15.75" x14ac:dyDescent="0.25">
      <c r="A643" s="31" t="s">
        <v>274</v>
      </c>
      <c r="B643" s="20" t="s">
        <v>264</v>
      </c>
      <c r="C643" s="20" t="s">
        <v>215</v>
      </c>
      <c r="D643" s="20" t="s">
        <v>1246</v>
      </c>
      <c r="E643" s="20" t="s">
        <v>275</v>
      </c>
      <c r="F643" s="6">
        <f>'пр.4.1.ведом.22-23'!G714</f>
        <v>1564</v>
      </c>
      <c r="G643" s="6">
        <f>'пр.4.1.ведом.22-23'!H714</f>
        <v>1564</v>
      </c>
    </row>
    <row r="644" spans="1:7" ht="47.25" x14ac:dyDescent="0.25">
      <c r="A644" s="23" t="s">
        <v>1362</v>
      </c>
      <c r="B644" s="24" t="s">
        <v>264</v>
      </c>
      <c r="C644" s="24" t="s">
        <v>215</v>
      </c>
      <c r="D644" s="24" t="s">
        <v>267</v>
      </c>
      <c r="E644" s="24"/>
      <c r="F644" s="4">
        <f>F645+F653+F662+F666</f>
        <v>18730.410000000003</v>
      </c>
      <c r="G644" s="4">
        <f>G645+G653+G662+G666</f>
        <v>18730.410000000003</v>
      </c>
    </row>
    <row r="645" spans="1:7" ht="47.25" x14ac:dyDescent="0.25">
      <c r="A645" s="23" t="s">
        <v>1304</v>
      </c>
      <c r="B645" s="24" t="s">
        <v>264</v>
      </c>
      <c r="C645" s="24" t="s">
        <v>215</v>
      </c>
      <c r="D645" s="24" t="s">
        <v>1208</v>
      </c>
      <c r="E645" s="24"/>
      <c r="F645" s="4">
        <f>F646</f>
        <v>15854.01</v>
      </c>
      <c r="G645" s="4">
        <f>G646</f>
        <v>15854.01</v>
      </c>
    </row>
    <row r="646" spans="1:7" ht="31.5" x14ac:dyDescent="0.25">
      <c r="A646" s="25" t="s">
        <v>800</v>
      </c>
      <c r="B646" s="20" t="s">
        <v>264</v>
      </c>
      <c r="C646" s="20" t="s">
        <v>215</v>
      </c>
      <c r="D646" s="20" t="s">
        <v>1209</v>
      </c>
      <c r="E646" s="20"/>
      <c r="F646" s="6">
        <f>F647+F649+F651</f>
        <v>15854.01</v>
      </c>
      <c r="G646" s="6">
        <f>G647+G649+G651</f>
        <v>15854.01</v>
      </c>
    </row>
    <row r="647" spans="1:7" ht="94.5" x14ac:dyDescent="0.25">
      <c r="A647" s="25" t="s">
        <v>127</v>
      </c>
      <c r="B647" s="20" t="s">
        <v>264</v>
      </c>
      <c r="C647" s="20" t="s">
        <v>215</v>
      </c>
      <c r="D647" s="20" t="s">
        <v>1209</v>
      </c>
      <c r="E647" s="20" t="s">
        <v>128</v>
      </c>
      <c r="F647" s="6">
        <f>F648</f>
        <v>14172.31</v>
      </c>
      <c r="G647" s="6">
        <f>G648</f>
        <v>14172.31</v>
      </c>
    </row>
    <row r="648" spans="1:7" ht="31.5" x14ac:dyDescent="0.25">
      <c r="A648" s="46" t="s">
        <v>342</v>
      </c>
      <c r="B648" s="20" t="s">
        <v>264</v>
      </c>
      <c r="C648" s="20" t="s">
        <v>215</v>
      </c>
      <c r="D648" s="20" t="s">
        <v>1209</v>
      </c>
      <c r="E648" s="20" t="s">
        <v>209</v>
      </c>
      <c r="F648" s="6">
        <f>'пр.4.1.ведом.22-23'!G299</f>
        <v>14172.31</v>
      </c>
      <c r="G648" s="6">
        <f>'пр.4.1.ведом.22-23'!H299</f>
        <v>14172.31</v>
      </c>
    </row>
    <row r="649" spans="1:7" ht="31.5" x14ac:dyDescent="0.25">
      <c r="A649" s="25" t="s">
        <v>131</v>
      </c>
      <c r="B649" s="20" t="s">
        <v>264</v>
      </c>
      <c r="C649" s="20" t="s">
        <v>215</v>
      </c>
      <c r="D649" s="20" t="s">
        <v>1209</v>
      </c>
      <c r="E649" s="20" t="s">
        <v>132</v>
      </c>
      <c r="F649" s="6">
        <f>F650</f>
        <v>1603.7</v>
      </c>
      <c r="G649" s="6">
        <f>G650</f>
        <v>1603.7</v>
      </c>
    </row>
    <row r="650" spans="1:7" ht="47.25" x14ac:dyDescent="0.25">
      <c r="A650" s="25" t="s">
        <v>133</v>
      </c>
      <c r="B650" s="20" t="s">
        <v>264</v>
      </c>
      <c r="C650" s="20" t="s">
        <v>215</v>
      </c>
      <c r="D650" s="20" t="s">
        <v>1209</v>
      </c>
      <c r="E650" s="20" t="s">
        <v>134</v>
      </c>
      <c r="F650" s="6">
        <f>'пр.4.1.ведом.22-23'!G301</f>
        <v>1603.7</v>
      </c>
      <c r="G650" s="6">
        <f>'пр.4.1.ведом.22-23'!H301</f>
        <v>1603.7</v>
      </c>
    </row>
    <row r="651" spans="1:7" ht="15.75" x14ac:dyDescent="0.25">
      <c r="A651" s="25" t="s">
        <v>135</v>
      </c>
      <c r="B651" s="20" t="s">
        <v>264</v>
      </c>
      <c r="C651" s="20" t="s">
        <v>215</v>
      </c>
      <c r="D651" s="20" t="s">
        <v>1209</v>
      </c>
      <c r="E651" s="20" t="s">
        <v>145</v>
      </c>
      <c r="F651" s="6">
        <f>F652</f>
        <v>78</v>
      </c>
      <c r="G651" s="6">
        <f>G652</f>
        <v>78</v>
      </c>
    </row>
    <row r="652" spans="1:7" ht="15.75" x14ac:dyDescent="0.25">
      <c r="A652" s="25" t="s">
        <v>704</v>
      </c>
      <c r="B652" s="20" t="s">
        <v>264</v>
      </c>
      <c r="C652" s="20" t="s">
        <v>215</v>
      </c>
      <c r="D652" s="20" t="s">
        <v>1209</v>
      </c>
      <c r="E652" s="20" t="s">
        <v>138</v>
      </c>
      <c r="F652" s="6">
        <f>'пр.4.1.ведом.22-23'!G303</f>
        <v>78</v>
      </c>
      <c r="G652" s="6">
        <f>'пр.4.1.ведом.22-23'!H303</f>
        <v>78</v>
      </c>
    </row>
    <row r="653" spans="1:7" ht="31.5" x14ac:dyDescent="0.25">
      <c r="A653" s="215" t="s">
        <v>1306</v>
      </c>
      <c r="B653" s="24" t="s">
        <v>264</v>
      </c>
      <c r="C653" s="24" t="s">
        <v>215</v>
      </c>
      <c r="D653" s="24" t="s">
        <v>1210</v>
      </c>
      <c r="E653" s="24"/>
      <c r="F653" s="4">
        <f>F654+F657</f>
        <v>1295</v>
      </c>
      <c r="G653" s="4">
        <f>G654+G657</f>
        <v>1295</v>
      </c>
    </row>
    <row r="654" spans="1:7" ht="31.5" x14ac:dyDescent="0.25">
      <c r="A654" s="195" t="s">
        <v>799</v>
      </c>
      <c r="B654" s="20" t="s">
        <v>264</v>
      </c>
      <c r="C654" s="20" t="s">
        <v>215</v>
      </c>
      <c r="D654" s="20" t="s">
        <v>1211</v>
      </c>
      <c r="E654" s="20"/>
      <c r="F654" s="6">
        <f t="shared" ref="F654:G655" si="67">F655</f>
        <v>45</v>
      </c>
      <c r="G654" s="6">
        <f t="shared" si="67"/>
        <v>45</v>
      </c>
    </row>
    <row r="655" spans="1:7" ht="31.5" x14ac:dyDescent="0.25">
      <c r="A655" s="25" t="s">
        <v>248</v>
      </c>
      <c r="B655" s="20" t="s">
        <v>264</v>
      </c>
      <c r="C655" s="20" t="s">
        <v>215</v>
      </c>
      <c r="D655" s="20" t="s">
        <v>1211</v>
      </c>
      <c r="E655" s="20" t="s">
        <v>249</v>
      </c>
      <c r="F655" s="6">
        <f t="shared" si="67"/>
        <v>45</v>
      </c>
      <c r="G655" s="6">
        <f t="shared" si="67"/>
        <v>45</v>
      </c>
    </row>
    <row r="656" spans="1:7" ht="15.75" x14ac:dyDescent="0.25">
      <c r="A656" s="25" t="s">
        <v>820</v>
      </c>
      <c r="B656" s="20" t="s">
        <v>264</v>
      </c>
      <c r="C656" s="20" t="s">
        <v>215</v>
      </c>
      <c r="D656" s="20" t="s">
        <v>1211</v>
      </c>
      <c r="E656" s="20" t="s">
        <v>819</v>
      </c>
      <c r="F656" s="6">
        <f>'пр.4.1.ведом.22-23'!G307</f>
        <v>45</v>
      </c>
      <c r="G656" s="6">
        <f>'пр.4.1.ведом.22-23'!H307</f>
        <v>45</v>
      </c>
    </row>
    <row r="657" spans="1:7" ht="31.5" x14ac:dyDescent="0.25">
      <c r="A657" s="31" t="s">
        <v>816</v>
      </c>
      <c r="B657" s="20" t="s">
        <v>264</v>
      </c>
      <c r="C657" s="20" t="s">
        <v>215</v>
      </c>
      <c r="D657" s="20" t="s">
        <v>1212</v>
      </c>
      <c r="E657" s="20"/>
      <c r="F657" s="6">
        <f t="shared" ref="F657:G658" si="68">F658</f>
        <v>1250</v>
      </c>
      <c r="G657" s="6">
        <f t="shared" si="68"/>
        <v>1250</v>
      </c>
    </row>
    <row r="658" spans="1:7" ht="94.5" x14ac:dyDescent="0.25">
      <c r="A658" s="25" t="s">
        <v>127</v>
      </c>
      <c r="B658" s="20" t="s">
        <v>264</v>
      </c>
      <c r="C658" s="20" t="s">
        <v>215</v>
      </c>
      <c r="D658" s="20" t="s">
        <v>1212</v>
      </c>
      <c r="E658" s="20" t="s">
        <v>128</v>
      </c>
      <c r="F658" s="6">
        <f t="shared" si="68"/>
        <v>1250</v>
      </c>
      <c r="G658" s="6">
        <f t="shared" si="68"/>
        <v>1250</v>
      </c>
    </row>
    <row r="659" spans="1:7" ht="31.5" x14ac:dyDescent="0.25">
      <c r="A659" s="46" t="s">
        <v>342</v>
      </c>
      <c r="B659" s="20" t="s">
        <v>264</v>
      </c>
      <c r="C659" s="20" t="s">
        <v>215</v>
      </c>
      <c r="D659" s="20" t="s">
        <v>1212</v>
      </c>
      <c r="E659" s="20" t="s">
        <v>209</v>
      </c>
      <c r="F659" s="6">
        <f>'пр.4.1.ведом.22-23'!G310</f>
        <v>1250</v>
      </c>
      <c r="G659" s="6">
        <f>'пр.4.1.ведом.22-23'!H310</f>
        <v>1250</v>
      </c>
    </row>
    <row r="660" spans="1:7" ht="31.5" hidden="1" x14ac:dyDescent="0.25">
      <c r="A660" s="25" t="s">
        <v>131</v>
      </c>
      <c r="B660" s="20" t="s">
        <v>264</v>
      </c>
      <c r="C660" s="20" t="s">
        <v>215</v>
      </c>
      <c r="D660" s="20" t="s">
        <v>1212</v>
      </c>
      <c r="E660" s="20" t="s">
        <v>132</v>
      </c>
      <c r="F660" s="6">
        <f>'Пр.3 Рд,пр, ЦС,ВР 21'!F760</f>
        <v>0</v>
      </c>
      <c r="G660" s="6">
        <f t="shared" si="65"/>
        <v>0</v>
      </c>
    </row>
    <row r="661" spans="1:7" ht="47.25" hidden="1" x14ac:dyDescent="0.25">
      <c r="A661" s="25" t="s">
        <v>133</v>
      </c>
      <c r="B661" s="20" t="s">
        <v>264</v>
      </c>
      <c r="C661" s="20" t="s">
        <v>215</v>
      </c>
      <c r="D661" s="20" t="s">
        <v>1212</v>
      </c>
      <c r="E661" s="20" t="s">
        <v>134</v>
      </c>
      <c r="F661" s="6">
        <f>'Пр.3 Рд,пр, ЦС,ВР 21'!F761</f>
        <v>0</v>
      </c>
      <c r="G661" s="6">
        <f t="shared" si="65"/>
        <v>0</v>
      </c>
    </row>
    <row r="662" spans="1:7" ht="47.25" x14ac:dyDescent="0.25">
      <c r="A662" s="23" t="s">
        <v>947</v>
      </c>
      <c r="B662" s="24" t="s">
        <v>264</v>
      </c>
      <c r="C662" s="24" t="s">
        <v>215</v>
      </c>
      <c r="D662" s="24" t="s">
        <v>1213</v>
      </c>
      <c r="E662" s="24"/>
      <c r="F662" s="4">
        <f t="shared" ref="F662:G664" si="69">F663</f>
        <v>506</v>
      </c>
      <c r="G662" s="4">
        <f t="shared" si="69"/>
        <v>506</v>
      </c>
    </row>
    <row r="663" spans="1:7" ht="47.25" x14ac:dyDescent="0.25">
      <c r="A663" s="25" t="s">
        <v>839</v>
      </c>
      <c r="B663" s="20" t="s">
        <v>264</v>
      </c>
      <c r="C663" s="20" t="s">
        <v>215</v>
      </c>
      <c r="D663" s="20" t="s">
        <v>1214</v>
      </c>
      <c r="E663" s="20"/>
      <c r="F663" s="6">
        <f t="shared" si="69"/>
        <v>506</v>
      </c>
      <c r="G663" s="6">
        <f t="shared" si="69"/>
        <v>506</v>
      </c>
    </row>
    <row r="664" spans="1:7" ht="94.5" x14ac:dyDescent="0.25">
      <c r="A664" s="25" t="s">
        <v>127</v>
      </c>
      <c r="B664" s="20" t="s">
        <v>264</v>
      </c>
      <c r="C664" s="20" t="s">
        <v>215</v>
      </c>
      <c r="D664" s="20" t="s">
        <v>1214</v>
      </c>
      <c r="E664" s="20" t="s">
        <v>128</v>
      </c>
      <c r="F664" s="6">
        <f t="shared" si="69"/>
        <v>506</v>
      </c>
      <c r="G664" s="6">
        <f t="shared" si="69"/>
        <v>506</v>
      </c>
    </row>
    <row r="665" spans="1:7" ht="31.5" x14ac:dyDescent="0.25">
      <c r="A665" s="25" t="s">
        <v>129</v>
      </c>
      <c r="B665" s="20" t="s">
        <v>264</v>
      </c>
      <c r="C665" s="20" t="s">
        <v>215</v>
      </c>
      <c r="D665" s="20" t="s">
        <v>1214</v>
      </c>
      <c r="E665" s="20" t="s">
        <v>209</v>
      </c>
      <c r="F665" s="6">
        <f>'пр.4.1.ведом.22-23'!G316</f>
        <v>506</v>
      </c>
      <c r="G665" s="6">
        <f>'пр.4.1.ведом.22-23'!H316</f>
        <v>506</v>
      </c>
    </row>
    <row r="666" spans="1:7" ht="56.25" customHeight="1" x14ac:dyDescent="0.25">
      <c r="A666" s="23" t="s">
        <v>900</v>
      </c>
      <c r="B666" s="24" t="s">
        <v>264</v>
      </c>
      <c r="C666" s="24" t="s">
        <v>215</v>
      </c>
      <c r="D666" s="24" t="s">
        <v>1215</v>
      </c>
      <c r="E666" s="24"/>
      <c r="F666" s="4">
        <f>F670+F673+F667</f>
        <v>1075.4000000000001</v>
      </c>
      <c r="G666" s="4">
        <f>G670+G673+G667</f>
        <v>1075.4000000000001</v>
      </c>
    </row>
    <row r="667" spans="1:7" s="203" customFormat="1" ht="120.95" customHeight="1" x14ac:dyDescent="0.25">
      <c r="A667" s="31" t="s">
        <v>293</v>
      </c>
      <c r="B667" s="20" t="s">
        <v>264</v>
      </c>
      <c r="C667" s="20" t="s">
        <v>215</v>
      </c>
      <c r="D667" s="20" t="s">
        <v>1414</v>
      </c>
      <c r="E667" s="20"/>
      <c r="F667" s="6">
        <f>F668</f>
        <v>671</v>
      </c>
      <c r="G667" s="6">
        <f>G668</f>
        <v>671</v>
      </c>
    </row>
    <row r="668" spans="1:7" s="203" customFormat="1" ht="93.75" customHeight="1" x14ac:dyDescent="0.25">
      <c r="A668" s="25" t="s">
        <v>127</v>
      </c>
      <c r="B668" s="20" t="s">
        <v>264</v>
      </c>
      <c r="C668" s="20" t="s">
        <v>215</v>
      </c>
      <c r="D668" s="20" t="s">
        <v>1414</v>
      </c>
      <c r="E668" s="20" t="s">
        <v>128</v>
      </c>
      <c r="F668" s="6">
        <f>F669</f>
        <v>671</v>
      </c>
      <c r="G668" s="6">
        <f>G669</f>
        <v>671</v>
      </c>
    </row>
    <row r="669" spans="1:7" s="203" customFormat="1" ht="39.4" customHeight="1" x14ac:dyDescent="0.25">
      <c r="A669" s="46" t="s">
        <v>342</v>
      </c>
      <c r="B669" s="20" t="s">
        <v>264</v>
      </c>
      <c r="C669" s="20" t="s">
        <v>215</v>
      </c>
      <c r="D669" s="20" t="s">
        <v>1414</v>
      </c>
      <c r="E669" s="20" t="s">
        <v>209</v>
      </c>
      <c r="F669" s="6">
        <f>'пр.4.1.ведом.22-23'!G320</f>
        <v>671</v>
      </c>
      <c r="G669" s="6">
        <f>'пр.4.1.ведом.22-23'!H320</f>
        <v>671</v>
      </c>
    </row>
    <row r="670" spans="1:7" ht="63" x14ac:dyDescent="0.25">
      <c r="A670" s="31" t="s">
        <v>289</v>
      </c>
      <c r="B670" s="20" t="s">
        <v>264</v>
      </c>
      <c r="C670" s="20" t="s">
        <v>215</v>
      </c>
      <c r="D670" s="20" t="s">
        <v>1216</v>
      </c>
      <c r="E670" s="20"/>
      <c r="F670" s="6">
        <f>F671</f>
        <v>106</v>
      </c>
      <c r="G670" s="6">
        <f>G671</f>
        <v>106</v>
      </c>
    </row>
    <row r="671" spans="1:7" ht="94.5" x14ac:dyDescent="0.25">
      <c r="A671" s="25" t="s">
        <v>127</v>
      </c>
      <c r="B671" s="20" t="s">
        <v>264</v>
      </c>
      <c r="C671" s="20" t="s">
        <v>215</v>
      </c>
      <c r="D671" s="20" t="s">
        <v>1216</v>
      </c>
      <c r="E671" s="20" t="s">
        <v>128</v>
      </c>
      <c r="F671" s="6">
        <f>F672</f>
        <v>106</v>
      </c>
      <c r="G671" s="6">
        <f>G672</f>
        <v>106</v>
      </c>
    </row>
    <row r="672" spans="1:7" ht="31.5" x14ac:dyDescent="0.25">
      <c r="A672" s="46" t="s">
        <v>342</v>
      </c>
      <c r="B672" s="20" t="s">
        <v>264</v>
      </c>
      <c r="C672" s="20" t="s">
        <v>215</v>
      </c>
      <c r="D672" s="20" t="s">
        <v>1216</v>
      </c>
      <c r="E672" s="20" t="s">
        <v>209</v>
      </c>
      <c r="F672" s="6">
        <f>'пр.4.1.ведом.22-23'!G323</f>
        <v>106</v>
      </c>
      <c r="G672" s="6">
        <f>'пр.4.1.ведом.22-23'!H323</f>
        <v>106</v>
      </c>
    </row>
    <row r="673" spans="1:7" ht="78.75" x14ac:dyDescent="0.25">
      <c r="A673" s="31" t="s">
        <v>291</v>
      </c>
      <c r="B673" s="20" t="s">
        <v>264</v>
      </c>
      <c r="C673" s="20" t="s">
        <v>215</v>
      </c>
      <c r="D673" s="20" t="s">
        <v>1217</v>
      </c>
      <c r="E673" s="20"/>
      <c r="F673" s="6">
        <f>F674</f>
        <v>298.39999999999998</v>
      </c>
      <c r="G673" s="6">
        <f>G674</f>
        <v>298.39999999999998</v>
      </c>
    </row>
    <row r="674" spans="1:7" ht="94.5" x14ac:dyDescent="0.25">
      <c r="A674" s="25" t="s">
        <v>127</v>
      </c>
      <c r="B674" s="20" t="s">
        <v>264</v>
      </c>
      <c r="C674" s="20" t="s">
        <v>215</v>
      </c>
      <c r="D674" s="20" t="s">
        <v>1217</v>
      </c>
      <c r="E674" s="20" t="s">
        <v>128</v>
      </c>
      <c r="F674" s="6">
        <f>F675</f>
        <v>298.39999999999998</v>
      </c>
      <c r="G674" s="6">
        <f>G675</f>
        <v>298.39999999999998</v>
      </c>
    </row>
    <row r="675" spans="1:7" ht="31.5" x14ac:dyDescent="0.25">
      <c r="A675" s="46" t="s">
        <v>342</v>
      </c>
      <c r="B675" s="20" t="s">
        <v>264</v>
      </c>
      <c r="C675" s="20" t="s">
        <v>215</v>
      </c>
      <c r="D675" s="20" t="s">
        <v>1217</v>
      </c>
      <c r="E675" s="20" t="s">
        <v>209</v>
      </c>
      <c r="F675" s="6">
        <f>'пр.4.1.ведом.22-23'!G326</f>
        <v>298.39999999999998</v>
      </c>
      <c r="G675" s="6">
        <f>'пр.4.1.ведом.22-23'!H326</f>
        <v>298.39999999999998</v>
      </c>
    </row>
    <row r="676" spans="1:7" s="203" customFormat="1" ht="63" x14ac:dyDescent="0.25">
      <c r="A676" s="34" t="s">
        <v>1225</v>
      </c>
      <c r="B676" s="24" t="s">
        <v>264</v>
      </c>
      <c r="C676" s="24" t="s">
        <v>215</v>
      </c>
      <c r="D676" s="24" t="s">
        <v>324</v>
      </c>
      <c r="E676" s="24"/>
      <c r="F676" s="21">
        <f>F678</f>
        <v>6</v>
      </c>
      <c r="G676" s="21">
        <f>G678</f>
        <v>0</v>
      </c>
    </row>
    <row r="677" spans="1:7" s="203" customFormat="1" ht="63" x14ac:dyDescent="0.25">
      <c r="A677" s="34" t="s">
        <v>1025</v>
      </c>
      <c r="B677" s="24" t="s">
        <v>264</v>
      </c>
      <c r="C677" s="24" t="s">
        <v>215</v>
      </c>
      <c r="D677" s="24" t="s">
        <v>934</v>
      </c>
      <c r="E677" s="24"/>
      <c r="F677" s="21">
        <f>F680</f>
        <v>6</v>
      </c>
      <c r="G677" s="21">
        <f>G680</f>
        <v>0</v>
      </c>
    </row>
    <row r="678" spans="1:7" s="203" customFormat="1" ht="47.25" x14ac:dyDescent="0.25">
      <c r="A678" s="31" t="s">
        <v>1083</v>
      </c>
      <c r="B678" s="20" t="s">
        <v>264</v>
      </c>
      <c r="C678" s="20" t="s">
        <v>215</v>
      </c>
      <c r="D678" s="20" t="s">
        <v>1026</v>
      </c>
      <c r="E678" s="20"/>
      <c r="F678" s="26">
        <f>F679</f>
        <v>6</v>
      </c>
      <c r="G678" s="26">
        <f>G679</f>
        <v>0</v>
      </c>
    </row>
    <row r="679" spans="1:7" s="203" customFormat="1" ht="31.5" x14ac:dyDescent="0.25">
      <c r="A679" s="25" t="s">
        <v>131</v>
      </c>
      <c r="B679" s="20" t="s">
        <v>264</v>
      </c>
      <c r="C679" s="20" t="s">
        <v>215</v>
      </c>
      <c r="D679" s="20" t="s">
        <v>1026</v>
      </c>
      <c r="E679" s="20" t="s">
        <v>132</v>
      </c>
      <c r="F679" s="26">
        <f>F680</f>
        <v>6</v>
      </c>
      <c r="G679" s="26">
        <f>G680</f>
        <v>0</v>
      </c>
    </row>
    <row r="680" spans="1:7" s="203" customFormat="1" ht="47.25" x14ac:dyDescent="0.25">
      <c r="A680" s="25" t="s">
        <v>133</v>
      </c>
      <c r="B680" s="20" t="s">
        <v>264</v>
      </c>
      <c r="C680" s="20" t="s">
        <v>215</v>
      </c>
      <c r="D680" s="20" t="s">
        <v>1026</v>
      </c>
      <c r="E680" s="20" t="s">
        <v>134</v>
      </c>
      <c r="F680" s="26">
        <f>'пр.4.1.ведом.22-23'!G331</f>
        <v>6</v>
      </c>
      <c r="G680" s="26">
        <f>'пр.4.1.ведом.22-23'!H331</f>
        <v>0</v>
      </c>
    </row>
    <row r="681" spans="1:7" ht="63" x14ac:dyDescent="0.25">
      <c r="A681" s="41" t="s">
        <v>1363</v>
      </c>
      <c r="B681" s="24" t="s">
        <v>264</v>
      </c>
      <c r="C681" s="24" t="s">
        <v>215</v>
      </c>
      <c r="D681" s="24" t="s">
        <v>705</v>
      </c>
      <c r="E681" s="24"/>
      <c r="F681" s="4">
        <f>F682</f>
        <v>792.9</v>
      </c>
      <c r="G681" s="4">
        <f>G682</f>
        <v>824.7</v>
      </c>
    </row>
    <row r="682" spans="1:7" ht="63" x14ac:dyDescent="0.25">
      <c r="A682" s="41" t="s">
        <v>890</v>
      </c>
      <c r="B682" s="24" t="s">
        <v>264</v>
      </c>
      <c r="C682" s="24" t="s">
        <v>215</v>
      </c>
      <c r="D682" s="24" t="s">
        <v>888</v>
      </c>
      <c r="E682" s="24"/>
      <c r="F682" s="4">
        <f>F683+F686</f>
        <v>792.9</v>
      </c>
      <c r="G682" s="4">
        <f>G683+G686</f>
        <v>824.7</v>
      </c>
    </row>
    <row r="683" spans="1:7" ht="47.25" x14ac:dyDescent="0.25">
      <c r="A683" s="98" t="s">
        <v>1004</v>
      </c>
      <c r="B683" s="20" t="s">
        <v>264</v>
      </c>
      <c r="C683" s="20" t="s">
        <v>215</v>
      </c>
      <c r="D683" s="20" t="s">
        <v>889</v>
      </c>
      <c r="E683" s="32"/>
      <c r="F683" s="6">
        <f>F684</f>
        <v>490.2</v>
      </c>
      <c r="G683" s="6">
        <f>G684</f>
        <v>509.8</v>
      </c>
    </row>
    <row r="684" spans="1:7" ht="31.5" x14ac:dyDescent="0.25">
      <c r="A684" s="25" t="s">
        <v>131</v>
      </c>
      <c r="B684" s="20" t="s">
        <v>264</v>
      </c>
      <c r="C684" s="20" t="s">
        <v>215</v>
      </c>
      <c r="D684" s="20" t="s">
        <v>889</v>
      </c>
      <c r="E684" s="32" t="s">
        <v>132</v>
      </c>
      <c r="F684" s="6">
        <f>F685</f>
        <v>490.2</v>
      </c>
      <c r="G684" s="6">
        <f>G685</f>
        <v>509.8</v>
      </c>
    </row>
    <row r="685" spans="1:7" ht="47.25" x14ac:dyDescent="0.25">
      <c r="A685" s="25" t="s">
        <v>133</v>
      </c>
      <c r="B685" s="20" t="s">
        <v>264</v>
      </c>
      <c r="C685" s="20" t="s">
        <v>215</v>
      </c>
      <c r="D685" s="20" t="s">
        <v>889</v>
      </c>
      <c r="E685" s="32" t="s">
        <v>134</v>
      </c>
      <c r="F685" s="6">
        <f>'пр.4.1.ведом.22-23'!G336</f>
        <v>490.2</v>
      </c>
      <c r="G685" s="6">
        <f>'пр.4.1.ведом.22-23'!H336</f>
        <v>509.8</v>
      </c>
    </row>
    <row r="686" spans="1:7" ht="47.25" x14ac:dyDescent="0.25">
      <c r="A686" s="98" t="s">
        <v>780</v>
      </c>
      <c r="B686" s="20" t="s">
        <v>264</v>
      </c>
      <c r="C686" s="20" t="s">
        <v>215</v>
      </c>
      <c r="D686" s="20" t="s">
        <v>936</v>
      </c>
      <c r="E686" s="32"/>
      <c r="F686" s="6">
        <f>F687</f>
        <v>302.7</v>
      </c>
      <c r="G686" s="6">
        <f>G687</f>
        <v>314.89999999999998</v>
      </c>
    </row>
    <row r="687" spans="1:7" ht="47.25" x14ac:dyDescent="0.25">
      <c r="A687" s="29" t="s">
        <v>272</v>
      </c>
      <c r="B687" s="20" t="s">
        <v>264</v>
      </c>
      <c r="C687" s="20" t="s">
        <v>215</v>
      </c>
      <c r="D687" s="20" t="s">
        <v>936</v>
      </c>
      <c r="E687" s="32" t="s">
        <v>273</v>
      </c>
      <c r="F687" s="6">
        <f>F688</f>
        <v>302.7</v>
      </c>
      <c r="G687" s="6">
        <f>G688</f>
        <v>314.89999999999998</v>
      </c>
    </row>
    <row r="688" spans="1:7" ht="15.75" x14ac:dyDescent="0.25">
      <c r="A688" s="182" t="s">
        <v>274</v>
      </c>
      <c r="B688" s="20" t="s">
        <v>264</v>
      </c>
      <c r="C688" s="20" t="s">
        <v>215</v>
      </c>
      <c r="D688" s="20" t="s">
        <v>936</v>
      </c>
      <c r="E688" s="32" t="s">
        <v>275</v>
      </c>
      <c r="F688" s="6">
        <f>'пр.4.1.ведом.22-23'!G719</f>
        <v>302.7</v>
      </c>
      <c r="G688" s="6">
        <f>'пр.4.1.ведом.22-23'!H719</f>
        <v>314.89999999999998</v>
      </c>
    </row>
    <row r="689" spans="1:7" ht="21.2" customHeight="1" x14ac:dyDescent="0.25">
      <c r="A689" s="23" t="s">
        <v>466</v>
      </c>
      <c r="B689" s="24" t="s">
        <v>264</v>
      </c>
      <c r="C689" s="24" t="s">
        <v>264</v>
      </c>
      <c r="D689" s="24"/>
      <c r="E689" s="221"/>
      <c r="F689" s="4">
        <f>F690+F709</f>
        <v>6505.1</v>
      </c>
      <c r="G689" s="4">
        <f>G690+G709</f>
        <v>6570.1</v>
      </c>
    </row>
    <row r="690" spans="1:7" ht="47.25" x14ac:dyDescent="0.25">
      <c r="A690" s="23" t="s">
        <v>1383</v>
      </c>
      <c r="B690" s="24" t="s">
        <v>264</v>
      </c>
      <c r="C690" s="24" t="s">
        <v>264</v>
      </c>
      <c r="D690" s="24" t="s">
        <v>344</v>
      </c>
      <c r="E690" s="24"/>
      <c r="F690" s="4">
        <f>F691</f>
        <v>760</v>
      </c>
      <c r="G690" s="4">
        <f>G691</f>
        <v>825</v>
      </c>
    </row>
    <row r="691" spans="1:7" ht="31.5" x14ac:dyDescent="0.25">
      <c r="A691" s="23" t="s">
        <v>345</v>
      </c>
      <c r="B691" s="24" t="s">
        <v>264</v>
      </c>
      <c r="C691" s="24" t="s">
        <v>264</v>
      </c>
      <c r="D691" s="24" t="s">
        <v>346</v>
      </c>
      <c r="E691" s="24"/>
      <c r="F691" s="4">
        <f>F692+F699+F705</f>
        <v>760</v>
      </c>
      <c r="G691" s="4">
        <f>G692+G699+G705</f>
        <v>825</v>
      </c>
    </row>
    <row r="692" spans="1:7" ht="63" x14ac:dyDescent="0.25">
      <c r="A692" s="210" t="s">
        <v>1031</v>
      </c>
      <c r="B692" s="24" t="s">
        <v>264</v>
      </c>
      <c r="C692" s="24" t="s">
        <v>264</v>
      </c>
      <c r="D692" s="24" t="s">
        <v>892</v>
      </c>
      <c r="E692" s="24"/>
      <c r="F692" s="4">
        <f>F693+F696</f>
        <v>280</v>
      </c>
      <c r="G692" s="4">
        <f>G693+G696</f>
        <v>280</v>
      </c>
    </row>
    <row r="693" spans="1:7" ht="31.5" x14ac:dyDescent="0.25">
      <c r="A693" s="98" t="s">
        <v>1037</v>
      </c>
      <c r="B693" s="20" t="s">
        <v>264</v>
      </c>
      <c r="C693" s="20" t="s">
        <v>264</v>
      </c>
      <c r="D693" s="20" t="s">
        <v>893</v>
      </c>
      <c r="E693" s="20"/>
      <c r="F693" s="6">
        <f>F694</f>
        <v>280</v>
      </c>
      <c r="G693" s="6">
        <f>G694</f>
        <v>280</v>
      </c>
    </row>
    <row r="694" spans="1:7" ht="94.5" x14ac:dyDescent="0.25">
      <c r="A694" s="25" t="s">
        <v>127</v>
      </c>
      <c r="B694" s="20" t="s">
        <v>264</v>
      </c>
      <c r="C694" s="20" t="s">
        <v>264</v>
      </c>
      <c r="D694" s="20" t="s">
        <v>893</v>
      </c>
      <c r="E694" s="20" t="s">
        <v>128</v>
      </c>
      <c r="F694" s="6">
        <f>F695</f>
        <v>280</v>
      </c>
      <c r="G694" s="6">
        <f>G695</f>
        <v>280</v>
      </c>
    </row>
    <row r="695" spans="1:7" ht="31.5" x14ac:dyDescent="0.25">
      <c r="A695" s="25" t="s">
        <v>342</v>
      </c>
      <c r="B695" s="20" t="s">
        <v>264</v>
      </c>
      <c r="C695" s="20" t="s">
        <v>264</v>
      </c>
      <c r="D695" s="20" t="s">
        <v>893</v>
      </c>
      <c r="E695" s="20" t="s">
        <v>209</v>
      </c>
      <c r="F695" s="6">
        <f>'пр.4.1.ведом.22-23'!G343</f>
        <v>280</v>
      </c>
      <c r="G695" s="6">
        <f>'пр.4.1.ведом.22-23'!H343</f>
        <v>280</v>
      </c>
    </row>
    <row r="696" spans="1:7" ht="31.5" hidden="1" x14ac:dyDescent="0.25">
      <c r="A696" s="25" t="s">
        <v>1032</v>
      </c>
      <c r="B696" s="20" t="s">
        <v>264</v>
      </c>
      <c r="C696" s="20" t="s">
        <v>264</v>
      </c>
      <c r="D696" s="20" t="s">
        <v>1049</v>
      </c>
      <c r="E696" s="20"/>
      <c r="F696" s="6">
        <f>'Пр.3 Рд,пр, ЦС,ВР 21'!F796</f>
        <v>0</v>
      </c>
      <c r="G696" s="6">
        <f t="shared" ref="G696:G698" si="70">F696</f>
        <v>0</v>
      </c>
    </row>
    <row r="697" spans="1:7" ht="31.5" hidden="1" x14ac:dyDescent="0.25">
      <c r="A697" s="25" t="s">
        <v>131</v>
      </c>
      <c r="B697" s="20" t="s">
        <v>264</v>
      </c>
      <c r="C697" s="20" t="s">
        <v>264</v>
      </c>
      <c r="D697" s="20" t="s">
        <v>1049</v>
      </c>
      <c r="E697" s="20" t="s">
        <v>132</v>
      </c>
      <c r="F697" s="6">
        <f>'Пр.3 Рд,пр, ЦС,ВР 21'!F797</f>
        <v>0</v>
      </c>
      <c r="G697" s="6">
        <f t="shared" si="70"/>
        <v>0</v>
      </c>
    </row>
    <row r="698" spans="1:7" ht="47.25" hidden="1" x14ac:dyDescent="0.25">
      <c r="A698" s="25" t="s">
        <v>133</v>
      </c>
      <c r="B698" s="20" t="s">
        <v>264</v>
      </c>
      <c r="C698" s="20" t="s">
        <v>264</v>
      </c>
      <c r="D698" s="20" t="s">
        <v>1049</v>
      </c>
      <c r="E698" s="20" t="s">
        <v>134</v>
      </c>
      <c r="F698" s="6">
        <f>'Пр.3 Рд,пр, ЦС,ВР 21'!F798</f>
        <v>0</v>
      </c>
      <c r="G698" s="6">
        <f t="shared" si="70"/>
        <v>0</v>
      </c>
    </row>
    <row r="699" spans="1:7" ht="78.75" x14ac:dyDescent="0.25">
      <c r="A699" s="23" t="s">
        <v>1033</v>
      </c>
      <c r="B699" s="24" t="s">
        <v>264</v>
      </c>
      <c r="C699" s="24" t="s">
        <v>264</v>
      </c>
      <c r="D699" s="24" t="s">
        <v>894</v>
      </c>
      <c r="E699" s="24"/>
      <c r="F699" s="4">
        <f>F700</f>
        <v>455</v>
      </c>
      <c r="G699" s="4">
        <f>G700</f>
        <v>520</v>
      </c>
    </row>
    <row r="700" spans="1:7" ht="31.5" x14ac:dyDescent="0.25">
      <c r="A700" s="25" t="s">
        <v>1034</v>
      </c>
      <c r="B700" s="20" t="s">
        <v>264</v>
      </c>
      <c r="C700" s="20" t="s">
        <v>264</v>
      </c>
      <c r="D700" s="20" t="s">
        <v>901</v>
      </c>
      <c r="E700" s="20"/>
      <c r="F700" s="6">
        <f>F701+F704</f>
        <v>455</v>
      </c>
      <c r="G700" s="6">
        <f>G701+G704</f>
        <v>520</v>
      </c>
    </row>
    <row r="701" spans="1:7" ht="94.5" x14ac:dyDescent="0.25">
      <c r="A701" s="25" t="s">
        <v>127</v>
      </c>
      <c r="B701" s="20" t="s">
        <v>264</v>
      </c>
      <c r="C701" s="20" t="s">
        <v>264</v>
      </c>
      <c r="D701" s="20" t="s">
        <v>901</v>
      </c>
      <c r="E701" s="20" t="s">
        <v>128</v>
      </c>
      <c r="F701" s="6">
        <f>F702</f>
        <v>40</v>
      </c>
      <c r="G701" s="6">
        <f>G702</f>
        <v>40</v>
      </c>
    </row>
    <row r="702" spans="1:7" ht="31.5" x14ac:dyDescent="0.25">
      <c r="A702" s="25" t="s">
        <v>342</v>
      </c>
      <c r="B702" s="20" t="s">
        <v>264</v>
      </c>
      <c r="C702" s="20" t="s">
        <v>264</v>
      </c>
      <c r="D702" s="20" t="s">
        <v>901</v>
      </c>
      <c r="E702" s="20" t="s">
        <v>209</v>
      </c>
      <c r="F702" s="6">
        <f>'пр.4.1.ведом.22-23'!G350</f>
        <v>40</v>
      </c>
      <c r="G702" s="6">
        <f>'пр.4.1.ведом.22-23'!H350</f>
        <v>40</v>
      </c>
    </row>
    <row r="703" spans="1:7" ht="31.5" x14ac:dyDescent="0.25">
      <c r="A703" s="25" t="s">
        <v>131</v>
      </c>
      <c r="B703" s="20" t="s">
        <v>264</v>
      </c>
      <c r="C703" s="20" t="s">
        <v>264</v>
      </c>
      <c r="D703" s="20" t="s">
        <v>901</v>
      </c>
      <c r="E703" s="20" t="s">
        <v>132</v>
      </c>
      <c r="F703" s="6">
        <f>F704</f>
        <v>415</v>
      </c>
      <c r="G703" s="6">
        <f>G704</f>
        <v>480</v>
      </c>
    </row>
    <row r="704" spans="1:7" ht="47.25" x14ac:dyDescent="0.25">
      <c r="A704" s="25" t="s">
        <v>133</v>
      </c>
      <c r="B704" s="20" t="s">
        <v>264</v>
      </c>
      <c r="C704" s="20" t="s">
        <v>264</v>
      </c>
      <c r="D704" s="20" t="s">
        <v>901</v>
      </c>
      <c r="E704" s="20" t="s">
        <v>134</v>
      </c>
      <c r="F704" s="6">
        <f>'пр.4.1.ведом.22-23'!G352</f>
        <v>415</v>
      </c>
      <c r="G704" s="6">
        <f>'пр.4.1.ведом.22-23'!H352</f>
        <v>480</v>
      </c>
    </row>
    <row r="705" spans="1:7" ht="47.25" x14ac:dyDescent="0.25">
      <c r="A705" s="23" t="s">
        <v>1039</v>
      </c>
      <c r="B705" s="24" t="s">
        <v>264</v>
      </c>
      <c r="C705" s="24" t="s">
        <v>264</v>
      </c>
      <c r="D705" s="24" t="s">
        <v>1035</v>
      </c>
      <c r="E705" s="24"/>
      <c r="F705" s="4">
        <f t="shared" ref="F705:G707" si="71">F706</f>
        <v>25</v>
      </c>
      <c r="G705" s="4">
        <f t="shared" si="71"/>
        <v>25</v>
      </c>
    </row>
    <row r="706" spans="1:7" ht="47.25" x14ac:dyDescent="0.25">
      <c r="A706" s="230" t="s">
        <v>1036</v>
      </c>
      <c r="B706" s="20" t="s">
        <v>264</v>
      </c>
      <c r="C706" s="20" t="s">
        <v>264</v>
      </c>
      <c r="D706" s="20" t="s">
        <v>1050</v>
      </c>
      <c r="E706" s="20"/>
      <c r="F706" s="6">
        <f t="shared" si="71"/>
        <v>25</v>
      </c>
      <c r="G706" s="6">
        <f t="shared" si="71"/>
        <v>25</v>
      </c>
    </row>
    <row r="707" spans="1:7" ht="31.5" x14ac:dyDescent="0.25">
      <c r="A707" s="25" t="s">
        <v>248</v>
      </c>
      <c r="B707" s="20" t="s">
        <v>264</v>
      </c>
      <c r="C707" s="20" t="s">
        <v>264</v>
      </c>
      <c r="D707" s="20" t="s">
        <v>1050</v>
      </c>
      <c r="E707" s="20" t="s">
        <v>249</v>
      </c>
      <c r="F707" s="6">
        <f t="shared" si="71"/>
        <v>25</v>
      </c>
      <c r="G707" s="6">
        <f t="shared" si="71"/>
        <v>25</v>
      </c>
    </row>
    <row r="708" spans="1:7" ht="37.5" customHeight="1" x14ac:dyDescent="0.25">
      <c r="A708" s="25" t="s">
        <v>1201</v>
      </c>
      <c r="B708" s="20" t="s">
        <v>264</v>
      </c>
      <c r="C708" s="20" t="s">
        <v>264</v>
      </c>
      <c r="D708" s="20" t="s">
        <v>1050</v>
      </c>
      <c r="E708" s="20" t="s">
        <v>1200</v>
      </c>
      <c r="F708" s="6">
        <f>'пр.4.1.ведом.22-23'!G356</f>
        <v>25</v>
      </c>
      <c r="G708" s="6">
        <f>'пр.4.1.ведом.22-23'!H356</f>
        <v>25</v>
      </c>
    </row>
    <row r="709" spans="1:7" ht="47.25" x14ac:dyDescent="0.25">
      <c r="A709" s="23" t="s">
        <v>1369</v>
      </c>
      <c r="B709" s="24" t="s">
        <v>264</v>
      </c>
      <c r="C709" s="24" t="s">
        <v>264</v>
      </c>
      <c r="D709" s="24" t="s">
        <v>406</v>
      </c>
      <c r="E709" s="24"/>
      <c r="F709" s="4">
        <f t="shared" ref="F709:G712" si="72">F710</f>
        <v>5745.1</v>
      </c>
      <c r="G709" s="4">
        <f t="shared" si="72"/>
        <v>5745.1</v>
      </c>
    </row>
    <row r="710" spans="1:7" ht="31.5" x14ac:dyDescent="0.25">
      <c r="A710" s="23" t="s">
        <v>943</v>
      </c>
      <c r="B710" s="24" t="s">
        <v>264</v>
      </c>
      <c r="C710" s="24" t="s">
        <v>264</v>
      </c>
      <c r="D710" s="24" t="s">
        <v>1244</v>
      </c>
      <c r="E710" s="24"/>
      <c r="F710" s="4">
        <f t="shared" si="72"/>
        <v>5745.1</v>
      </c>
      <c r="G710" s="4">
        <f t="shared" si="72"/>
        <v>5745.1</v>
      </c>
    </row>
    <row r="711" spans="1:7" ht="47.25" x14ac:dyDescent="0.25">
      <c r="A711" s="31" t="s">
        <v>1062</v>
      </c>
      <c r="B711" s="20" t="s">
        <v>264</v>
      </c>
      <c r="C711" s="20" t="s">
        <v>264</v>
      </c>
      <c r="D711" s="20" t="s">
        <v>1266</v>
      </c>
      <c r="E711" s="20"/>
      <c r="F711" s="6">
        <f t="shared" si="72"/>
        <v>5745.1</v>
      </c>
      <c r="G711" s="6">
        <f t="shared" si="72"/>
        <v>5745.1</v>
      </c>
    </row>
    <row r="712" spans="1:7" ht="47.25" x14ac:dyDescent="0.25">
      <c r="A712" s="25" t="s">
        <v>272</v>
      </c>
      <c r="B712" s="20" t="s">
        <v>264</v>
      </c>
      <c r="C712" s="20" t="s">
        <v>264</v>
      </c>
      <c r="D712" s="20" t="s">
        <v>1266</v>
      </c>
      <c r="E712" s="20" t="s">
        <v>273</v>
      </c>
      <c r="F712" s="6">
        <f t="shared" si="72"/>
        <v>5745.1</v>
      </c>
      <c r="G712" s="6">
        <f t="shared" si="72"/>
        <v>5745.1</v>
      </c>
    </row>
    <row r="713" spans="1:7" ht="15.75" x14ac:dyDescent="0.25">
      <c r="A713" s="25" t="s">
        <v>274</v>
      </c>
      <c r="B713" s="20" t="s">
        <v>264</v>
      </c>
      <c r="C713" s="20" t="s">
        <v>264</v>
      </c>
      <c r="D713" s="20" t="s">
        <v>1266</v>
      </c>
      <c r="E713" s="20" t="s">
        <v>275</v>
      </c>
      <c r="F713" s="6">
        <f>'пр.4.1.ведом.22-23'!G725</f>
        <v>5745.1</v>
      </c>
      <c r="G713" s="6">
        <f>'пр.4.1.ведом.22-23'!H725</f>
        <v>5745.1</v>
      </c>
    </row>
    <row r="714" spans="1:7" ht="15.75" x14ac:dyDescent="0.25">
      <c r="A714" s="23" t="s">
        <v>295</v>
      </c>
      <c r="B714" s="24" t="s">
        <v>264</v>
      </c>
      <c r="C714" s="24" t="s">
        <v>219</v>
      </c>
      <c r="D714" s="24"/>
      <c r="E714" s="24"/>
      <c r="F714" s="4">
        <f>F715+F725</f>
        <v>19831.8</v>
      </c>
      <c r="G714" s="4">
        <f>G715+G725</f>
        <v>19831.8</v>
      </c>
    </row>
    <row r="715" spans="1:7" ht="31.5" x14ac:dyDescent="0.25">
      <c r="A715" s="23" t="s">
        <v>917</v>
      </c>
      <c r="B715" s="24" t="s">
        <v>264</v>
      </c>
      <c r="C715" s="24" t="s">
        <v>219</v>
      </c>
      <c r="D715" s="24" t="s">
        <v>858</v>
      </c>
      <c r="E715" s="24"/>
      <c r="F715" s="4">
        <f>F716</f>
        <v>6048.7</v>
      </c>
      <c r="G715" s="4">
        <f>G716</f>
        <v>6048.7</v>
      </c>
    </row>
    <row r="716" spans="1:7" ht="15.75" x14ac:dyDescent="0.25">
      <c r="A716" s="23" t="s">
        <v>918</v>
      </c>
      <c r="B716" s="24" t="s">
        <v>264</v>
      </c>
      <c r="C716" s="24" t="s">
        <v>219</v>
      </c>
      <c r="D716" s="24" t="s">
        <v>859</v>
      </c>
      <c r="E716" s="24"/>
      <c r="F716" s="4">
        <f>F717+F722</f>
        <v>6048.7</v>
      </c>
      <c r="G716" s="4">
        <f>G717+G722</f>
        <v>6048.7</v>
      </c>
    </row>
    <row r="717" spans="1:7" ht="31.5" x14ac:dyDescent="0.25">
      <c r="A717" s="25" t="s">
        <v>897</v>
      </c>
      <c r="B717" s="20" t="s">
        <v>264</v>
      </c>
      <c r="C717" s="20" t="s">
        <v>219</v>
      </c>
      <c r="D717" s="20" t="s">
        <v>860</v>
      </c>
      <c r="E717" s="20"/>
      <c r="F717" s="6">
        <f>F718+F720</f>
        <v>5922.7</v>
      </c>
      <c r="G717" s="6">
        <f>G718+G720</f>
        <v>5922.7</v>
      </c>
    </row>
    <row r="718" spans="1:7" ht="94.5" x14ac:dyDescent="0.25">
      <c r="A718" s="25" t="s">
        <v>127</v>
      </c>
      <c r="B718" s="20" t="s">
        <v>264</v>
      </c>
      <c r="C718" s="20" t="s">
        <v>219</v>
      </c>
      <c r="D718" s="20" t="s">
        <v>860</v>
      </c>
      <c r="E718" s="20" t="s">
        <v>128</v>
      </c>
      <c r="F718" s="6">
        <f>F719</f>
        <v>5710.7</v>
      </c>
      <c r="G718" s="6">
        <f>G719</f>
        <v>5710.7</v>
      </c>
    </row>
    <row r="719" spans="1:7" ht="31.5" x14ac:dyDescent="0.25">
      <c r="A719" s="25" t="s">
        <v>129</v>
      </c>
      <c r="B719" s="20" t="s">
        <v>264</v>
      </c>
      <c r="C719" s="20" t="s">
        <v>219</v>
      </c>
      <c r="D719" s="20" t="s">
        <v>860</v>
      </c>
      <c r="E719" s="20" t="s">
        <v>130</v>
      </c>
      <c r="F719" s="6">
        <f>'пр.4.1.ведом.22-23'!G734</f>
        <v>5710.7</v>
      </c>
      <c r="G719" s="6">
        <f>'пр.4.1.ведом.22-23'!H734</f>
        <v>5710.7</v>
      </c>
    </row>
    <row r="720" spans="1:7" ht="31.5" x14ac:dyDescent="0.25">
      <c r="A720" s="25" t="s">
        <v>131</v>
      </c>
      <c r="B720" s="20" t="s">
        <v>264</v>
      </c>
      <c r="C720" s="20" t="s">
        <v>219</v>
      </c>
      <c r="D720" s="20" t="s">
        <v>860</v>
      </c>
      <c r="E720" s="20" t="s">
        <v>132</v>
      </c>
      <c r="F720" s="6">
        <f>F721</f>
        <v>212</v>
      </c>
      <c r="G720" s="6">
        <f>G721</f>
        <v>212</v>
      </c>
    </row>
    <row r="721" spans="1:7" ht="47.25" x14ac:dyDescent="0.25">
      <c r="A721" s="25" t="s">
        <v>133</v>
      </c>
      <c r="B721" s="20" t="s">
        <v>264</v>
      </c>
      <c r="C721" s="20" t="s">
        <v>219</v>
      </c>
      <c r="D721" s="20" t="s">
        <v>860</v>
      </c>
      <c r="E721" s="20" t="s">
        <v>134</v>
      </c>
      <c r="F721" s="6">
        <f>'пр.4.1.ведом.22-23'!G736</f>
        <v>212</v>
      </c>
      <c r="G721" s="6">
        <f>'пр.4.1.ведом.22-23'!H736</f>
        <v>212</v>
      </c>
    </row>
    <row r="722" spans="1:7" ht="47.25" x14ac:dyDescent="0.25">
      <c r="A722" s="25" t="s">
        <v>839</v>
      </c>
      <c r="B722" s="20" t="s">
        <v>264</v>
      </c>
      <c r="C722" s="20" t="s">
        <v>219</v>
      </c>
      <c r="D722" s="20" t="s">
        <v>862</v>
      </c>
      <c r="E722" s="20"/>
      <c r="F722" s="6">
        <f>F723</f>
        <v>126</v>
      </c>
      <c r="G722" s="6">
        <f>G723</f>
        <v>126</v>
      </c>
    </row>
    <row r="723" spans="1:7" ht="94.5" x14ac:dyDescent="0.25">
      <c r="A723" s="25" t="s">
        <v>127</v>
      </c>
      <c r="B723" s="20" t="s">
        <v>264</v>
      </c>
      <c r="C723" s="20" t="s">
        <v>219</v>
      </c>
      <c r="D723" s="20" t="s">
        <v>862</v>
      </c>
      <c r="E723" s="20" t="s">
        <v>128</v>
      </c>
      <c r="F723" s="6">
        <f>F724</f>
        <v>126</v>
      </c>
      <c r="G723" s="6">
        <f>G724</f>
        <v>126</v>
      </c>
    </row>
    <row r="724" spans="1:7" ht="31.5" x14ac:dyDescent="0.25">
      <c r="A724" s="25" t="s">
        <v>129</v>
      </c>
      <c r="B724" s="20" t="s">
        <v>264</v>
      </c>
      <c r="C724" s="20" t="s">
        <v>219</v>
      </c>
      <c r="D724" s="20" t="s">
        <v>862</v>
      </c>
      <c r="E724" s="20" t="s">
        <v>130</v>
      </c>
      <c r="F724" s="6">
        <f>'пр.4.1.ведом.22-23'!G739</f>
        <v>126</v>
      </c>
      <c r="G724" s="6">
        <f>'пр.4.1.ведом.22-23'!H739</f>
        <v>126</v>
      </c>
    </row>
    <row r="725" spans="1:7" ht="15.75" x14ac:dyDescent="0.25">
      <c r="A725" s="23" t="s">
        <v>141</v>
      </c>
      <c r="B725" s="24" t="s">
        <v>264</v>
      </c>
      <c r="C725" s="24" t="s">
        <v>219</v>
      </c>
      <c r="D725" s="24" t="s">
        <v>866</v>
      </c>
      <c r="E725" s="24"/>
      <c r="F725" s="4">
        <f>F726+F730</f>
        <v>13783.1</v>
      </c>
      <c r="G725" s="4">
        <f>G726+G730</f>
        <v>13783.1</v>
      </c>
    </row>
    <row r="726" spans="1:7" ht="31.5" x14ac:dyDescent="0.25">
      <c r="A726" s="23" t="s">
        <v>870</v>
      </c>
      <c r="B726" s="24" t="s">
        <v>264</v>
      </c>
      <c r="C726" s="24" t="s">
        <v>219</v>
      </c>
      <c r="D726" s="24" t="s">
        <v>865</v>
      </c>
      <c r="E726" s="24"/>
      <c r="F726" s="4">
        <f t="shared" ref="F726:G728" si="73">F727</f>
        <v>300</v>
      </c>
      <c r="G726" s="4">
        <f t="shared" si="73"/>
        <v>300</v>
      </c>
    </row>
    <row r="727" spans="1:7" ht="21.2" customHeight="1" x14ac:dyDescent="0.25">
      <c r="A727" s="25" t="s">
        <v>478</v>
      </c>
      <c r="B727" s="20" t="s">
        <v>264</v>
      </c>
      <c r="C727" s="20" t="s">
        <v>219</v>
      </c>
      <c r="D727" s="20" t="s">
        <v>944</v>
      </c>
      <c r="E727" s="20"/>
      <c r="F727" s="6">
        <f t="shared" si="73"/>
        <v>300</v>
      </c>
      <c r="G727" s="6">
        <f t="shared" si="73"/>
        <v>300</v>
      </c>
    </row>
    <row r="728" spans="1:7" ht="31.5" x14ac:dyDescent="0.25">
      <c r="A728" s="25" t="s">
        <v>131</v>
      </c>
      <c r="B728" s="20" t="s">
        <v>264</v>
      </c>
      <c r="C728" s="20" t="s">
        <v>219</v>
      </c>
      <c r="D728" s="20" t="s">
        <v>944</v>
      </c>
      <c r="E728" s="20" t="s">
        <v>132</v>
      </c>
      <c r="F728" s="6">
        <f t="shared" si="73"/>
        <v>300</v>
      </c>
      <c r="G728" s="6">
        <f t="shared" si="73"/>
        <v>300</v>
      </c>
    </row>
    <row r="729" spans="1:7" ht="47.25" x14ac:dyDescent="0.25">
      <c r="A729" s="25" t="s">
        <v>133</v>
      </c>
      <c r="B729" s="20" t="s">
        <v>264</v>
      </c>
      <c r="C729" s="20" t="s">
        <v>219</v>
      </c>
      <c r="D729" s="20" t="s">
        <v>944</v>
      </c>
      <c r="E729" s="20" t="s">
        <v>134</v>
      </c>
      <c r="F729" s="6">
        <f>'пр.4.1.ведом.22-23'!G744</f>
        <v>300</v>
      </c>
      <c r="G729" s="6">
        <f>'пр.4.1.ведом.22-23'!H744</f>
        <v>300</v>
      </c>
    </row>
    <row r="730" spans="1:7" ht="36" customHeight="1" x14ac:dyDescent="0.25">
      <c r="A730" s="23" t="s">
        <v>929</v>
      </c>
      <c r="B730" s="24" t="s">
        <v>264</v>
      </c>
      <c r="C730" s="24" t="s">
        <v>219</v>
      </c>
      <c r="D730" s="24" t="s">
        <v>914</v>
      </c>
      <c r="E730" s="24"/>
      <c r="F730" s="4">
        <f>F731+F738</f>
        <v>13483.1</v>
      </c>
      <c r="G730" s="4">
        <f>G731+G738</f>
        <v>13483.1</v>
      </c>
    </row>
    <row r="731" spans="1:7" ht="31.5" x14ac:dyDescent="0.25">
      <c r="A731" s="25" t="s">
        <v>903</v>
      </c>
      <c r="B731" s="20" t="s">
        <v>264</v>
      </c>
      <c r="C731" s="20" t="s">
        <v>219</v>
      </c>
      <c r="D731" s="20" t="s">
        <v>915</v>
      </c>
      <c r="E731" s="20"/>
      <c r="F731" s="6">
        <f>F732+F734+F736</f>
        <v>12977.1</v>
      </c>
      <c r="G731" s="6">
        <f>G732+G734+G736</f>
        <v>12977.1</v>
      </c>
    </row>
    <row r="732" spans="1:7" ht="94.5" x14ac:dyDescent="0.25">
      <c r="A732" s="25" t="s">
        <v>127</v>
      </c>
      <c r="B732" s="20" t="s">
        <v>264</v>
      </c>
      <c r="C732" s="20" t="s">
        <v>219</v>
      </c>
      <c r="D732" s="20" t="s">
        <v>915</v>
      </c>
      <c r="E732" s="20" t="s">
        <v>128</v>
      </c>
      <c r="F732" s="6">
        <f>F733</f>
        <v>11885.1</v>
      </c>
      <c r="G732" s="6">
        <f>G733</f>
        <v>11885.1</v>
      </c>
    </row>
    <row r="733" spans="1:7" ht="31.5" x14ac:dyDescent="0.25">
      <c r="A733" s="25" t="s">
        <v>342</v>
      </c>
      <c r="B733" s="20" t="s">
        <v>264</v>
      </c>
      <c r="C733" s="20" t="s">
        <v>219</v>
      </c>
      <c r="D733" s="20" t="s">
        <v>915</v>
      </c>
      <c r="E733" s="20" t="s">
        <v>209</v>
      </c>
      <c r="F733" s="6">
        <f>'пр.4.1.ведом.22-23'!G748</f>
        <v>11885.1</v>
      </c>
      <c r="G733" s="6">
        <f>'пр.4.1.ведом.22-23'!H748</f>
        <v>11885.1</v>
      </c>
    </row>
    <row r="734" spans="1:7" ht="31.5" x14ac:dyDescent="0.25">
      <c r="A734" s="25" t="s">
        <v>131</v>
      </c>
      <c r="B734" s="20" t="s">
        <v>264</v>
      </c>
      <c r="C734" s="20" t="s">
        <v>219</v>
      </c>
      <c r="D734" s="20" t="s">
        <v>915</v>
      </c>
      <c r="E734" s="20" t="s">
        <v>132</v>
      </c>
      <c r="F734" s="6">
        <f>F735</f>
        <v>1077</v>
      </c>
      <c r="G734" s="6">
        <f>G735</f>
        <v>1077</v>
      </c>
    </row>
    <row r="735" spans="1:7" ht="47.25" x14ac:dyDescent="0.25">
      <c r="A735" s="25" t="s">
        <v>133</v>
      </c>
      <c r="B735" s="20" t="s">
        <v>264</v>
      </c>
      <c r="C735" s="20" t="s">
        <v>219</v>
      </c>
      <c r="D735" s="20" t="s">
        <v>915</v>
      </c>
      <c r="E735" s="20" t="s">
        <v>134</v>
      </c>
      <c r="F735" s="6">
        <f>'пр.4.1.ведом.22-23'!G750</f>
        <v>1077</v>
      </c>
      <c r="G735" s="6">
        <f>'пр.4.1.ведом.22-23'!H750</f>
        <v>1077</v>
      </c>
    </row>
    <row r="736" spans="1:7" ht="15.75" x14ac:dyDescent="0.25">
      <c r="A736" s="25" t="s">
        <v>135</v>
      </c>
      <c r="B736" s="20" t="s">
        <v>264</v>
      </c>
      <c r="C736" s="20" t="s">
        <v>219</v>
      </c>
      <c r="D736" s="20" t="s">
        <v>915</v>
      </c>
      <c r="E736" s="20" t="s">
        <v>145</v>
      </c>
      <c r="F736" s="6">
        <f>F737</f>
        <v>15</v>
      </c>
      <c r="G736" s="6">
        <f>G737</f>
        <v>15</v>
      </c>
    </row>
    <row r="737" spans="1:9" ht="15.75" customHeight="1" x14ac:dyDescent="0.25">
      <c r="A737" s="25" t="s">
        <v>568</v>
      </c>
      <c r="B737" s="20" t="s">
        <v>264</v>
      </c>
      <c r="C737" s="20" t="s">
        <v>219</v>
      </c>
      <c r="D737" s="20" t="s">
        <v>915</v>
      </c>
      <c r="E737" s="20" t="s">
        <v>138</v>
      </c>
      <c r="F737" s="6">
        <f>'пр.4.1.ведом.22-23'!G752</f>
        <v>15</v>
      </c>
      <c r="G737" s="6">
        <f>'пр.4.1.ведом.22-23'!H752</f>
        <v>15</v>
      </c>
    </row>
    <row r="738" spans="1:9" ht="47.25" x14ac:dyDescent="0.25">
      <c r="A738" s="25" t="s">
        <v>839</v>
      </c>
      <c r="B738" s="20" t="s">
        <v>264</v>
      </c>
      <c r="C738" s="20" t="s">
        <v>219</v>
      </c>
      <c r="D738" s="20" t="s">
        <v>916</v>
      </c>
      <c r="E738" s="20"/>
      <c r="F738" s="6">
        <f>F739</f>
        <v>506</v>
      </c>
      <c r="G738" s="6">
        <f>G739</f>
        <v>506</v>
      </c>
    </row>
    <row r="739" spans="1:9" ht="94.5" x14ac:dyDescent="0.25">
      <c r="A739" s="25" t="s">
        <v>127</v>
      </c>
      <c r="B739" s="20" t="s">
        <v>264</v>
      </c>
      <c r="C739" s="20" t="s">
        <v>219</v>
      </c>
      <c r="D739" s="20" t="s">
        <v>916</v>
      </c>
      <c r="E739" s="20" t="s">
        <v>128</v>
      </c>
      <c r="F739" s="6">
        <f>F740</f>
        <v>506</v>
      </c>
      <c r="G739" s="6">
        <f>G740</f>
        <v>506</v>
      </c>
    </row>
    <row r="740" spans="1:9" ht="31.5" x14ac:dyDescent="0.25">
      <c r="A740" s="25" t="s">
        <v>129</v>
      </c>
      <c r="B740" s="20" t="s">
        <v>264</v>
      </c>
      <c r="C740" s="20" t="s">
        <v>219</v>
      </c>
      <c r="D740" s="20" t="s">
        <v>916</v>
      </c>
      <c r="E740" s="20" t="s">
        <v>130</v>
      </c>
      <c r="F740" s="6">
        <f>'пр.4.1.ведом.22-23'!G755</f>
        <v>506</v>
      </c>
      <c r="G740" s="6">
        <f>'пр.4.1.ведом.22-23'!H755</f>
        <v>506</v>
      </c>
    </row>
    <row r="741" spans="1:9" ht="15.75" x14ac:dyDescent="0.25">
      <c r="A741" s="41" t="s">
        <v>298</v>
      </c>
      <c r="B741" s="7" t="s">
        <v>299</v>
      </c>
      <c r="C741" s="7"/>
      <c r="D741" s="7"/>
      <c r="E741" s="7"/>
      <c r="F741" s="4">
        <f>F742+F795</f>
        <v>76411.28</v>
      </c>
      <c r="G741" s="4">
        <f>G742+G795</f>
        <v>78971.679999999993</v>
      </c>
      <c r="H741">
        <v>72370</v>
      </c>
      <c r="I741">
        <v>73630.2</v>
      </c>
    </row>
    <row r="742" spans="1:9" ht="15.75" x14ac:dyDescent="0.25">
      <c r="A742" s="41" t="s">
        <v>300</v>
      </c>
      <c r="B742" s="7" t="s">
        <v>299</v>
      </c>
      <c r="C742" s="7" t="s">
        <v>118</v>
      </c>
      <c r="D742" s="7"/>
      <c r="E742" s="7"/>
      <c r="F742" s="4">
        <f>F743+F785+F790</f>
        <v>57844.87999999999</v>
      </c>
      <c r="G742" s="4">
        <f>G743+G785+G790</f>
        <v>60376.279999999992</v>
      </c>
      <c r="H742" s="231">
        <f>H741-F741</f>
        <v>-4041.2799999999988</v>
      </c>
      <c r="I742" s="231">
        <f>I741-G741</f>
        <v>-5341.4799999999959</v>
      </c>
    </row>
    <row r="743" spans="1:9" ht="47.25" x14ac:dyDescent="0.25">
      <c r="A743" s="23" t="s">
        <v>1362</v>
      </c>
      <c r="B743" s="24" t="s">
        <v>299</v>
      </c>
      <c r="C743" s="24" t="s">
        <v>118</v>
      </c>
      <c r="D743" s="24" t="s">
        <v>267</v>
      </c>
      <c r="E743" s="24"/>
      <c r="F743" s="4">
        <f>F744+F752+F758+F762+F769+F773+F777+F781</f>
        <v>56956.179999999993</v>
      </c>
      <c r="G743" s="4">
        <f>G744+G752+G758+G762+G769+G773+G777+G781</f>
        <v>59462.37999999999</v>
      </c>
    </row>
    <row r="744" spans="1:9" ht="47.25" x14ac:dyDescent="0.25">
      <c r="A744" s="23" t="s">
        <v>1304</v>
      </c>
      <c r="B744" s="24" t="s">
        <v>299</v>
      </c>
      <c r="C744" s="24" t="s">
        <v>118</v>
      </c>
      <c r="D744" s="24" t="s">
        <v>1208</v>
      </c>
      <c r="E744" s="24"/>
      <c r="F744" s="4">
        <f>F745</f>
        <v>51840.479999999996</v>
      </c>
      <c r="G744" s="4">
        <f>G745</f>
        <v>51840.479999999996</v>
      </c>
    </row>
    <row r="745" spans="1:9" ht="31.5" x14ac:dyDescent="0.25">
      <c r="A745" s="25" t="s">
        <v>800</v>
      </c>
      <c r="B745" s="20" t="s">
        <v>299</v>
      </c>
      <c r="C745" s="20" t="s">
        <v>118</v>
      </c>
      <c r="D745" s="20" t="s">
        <v>1209</v>
      </c>
      <c r="E745" s="20"/>
      <c r="F745" s="6">
        <f>F746+F748+F750</f>
        <v>51840.479999999996</v>
      </c>
      <c r="G745" s="6">
        <f>G746+G748+G750</f>
        <v>51840.479999999996</v>
      </c>
    </row>
    <row r="746" spans="1:9" ht="94.5" x14ac:dyDescent="0.25">
      <c r="A746" s="25" t="s">
        <v>127</v>
      </c>
      <c r="B746" s="20" t="s">
        <v>299</v>
      </c>
      <c r="C746" s="20" t="s">
        <v>118</v>
      </c>
      <c r="D746" s="20" t="s">
        <v>1209</v>
      </c>
      <c r="E746" s="20" t="s">
        <v>128</v>
      </c>
      <c r="F746" s="6">
        <f>F747</f>
        <v>43271.28</v>
      </c>
      <c r="G746" s="6">
        <f>G747</f>
        <v>43271.28</v>
      </c>
    </row>
    <row r="747" spans="1:9" ht="31.5" x14ac:dyDescent="0.25">
      <c r="A747" s="25" t="s">
        <v>208</v>
      </c>
      <c r="B747" s="20" t="s">
        <v>299</v>
      </c>
      <c r="C747" s="20" t="s">
        <v>118</v>
      </c>
      <c r="D747" s="20" t="s">
        <v>1209</v>
      </c>
      <c r="E747" s="20" t="s">
        <v>209</v>
      </c>
      <c r="F747" s="6">
        <f>'пр.4.1.ведом.22-23'!G363</f>
        <v>43271.28</v>
      </c>
      <c r="G747" s="6">
        <f>'пр.4.1.ведом.22-23'!H363</f>
        <v>43271.28</v>
      </c>
    </row>
    <row r="748" spans="1:9" ht="31.5" x14ac:dyDescent="0.25">
      <c r="A748" s="25" t="s">
        <v>131</v>
      </c>
      <c r="B748" s="20" t="s">
        <v>299</v>
      </c>
      <c r="C748" s="20" t="s">
        <v>118</v>
      </c>
      <c r="D748" s="20" t="s">
        <v>1209</v>
      </c>
      <c r="E748" s="20" t="s">
        <v>132</v>
      </c>
      <c r="F748" s="6">
        <f>F749</f>
        <v>8506.2000000000007</v>
      </c>
      <c r="G748" s="6">
        <f>G749</f>
        <v>8506.2000000000007</v>
      </c>
    </row>
    <row r="749" spans="1:9" ht="47.25" x14ac:dyDescent="0.25">
      <c r="A749" s="25" t="s">
        <v>133</v>
      </c>
      <c r="B749" s="20" t="s">
        <v>299</v>
      </c>
      <c r="C749" s="20" t="s">
        <v>118</v>
      </c>
      <c r="D749" s="20" t="s">
        <v>1209</v>
      </c>
      <c r="E749" s="20" t="s">
        <v>134</v>
      </c>
      <c r="F749" s="6">
        <f>'пр.4.1.ведом.22-23'!G365</f>
        <v>8506.2000000000007</v>
      </c>
      <c r="G749" s="6">
        <f>'пр.4.1.ведом.22-23'!H365</f>
        <v>8506.2000000000007</v>
      </c>
    </row>
    <row r="750" spans="1:9" ht="15.75" x14ac:dyDescent="0.25">
      <c r="A750" s="25" t="s">
        <v>135</v>
      </c>
      <c r="B750" s="20" t="s">
        <v>299</v>
      </c>
      <c r="C750" s="20" t="s">
        <v>118</v>
      </c>
      <c r="D750" s="20" t="s">
        <v>1209</v>
      </c>
      <c r="E750" s="20" t="s">
        <v>145</v>
      </c>
      <c r="F750" s="6">
        <f>F751</f>
        <v>63</v>
      </c>
      <c r="G750" s="6">
        <f>G751</f>
        <v>63</v>
      </c>
    </row>
    <row r="751" spans="1:9" ht="15.75" x14ac:dyDescent="0.25">
      <c r="A751" s="25" t="s">
        <v>568</v>
      </c>
      <c r="B751" s="20" t="s">
        <v>299</v>
      </c>
      <c r="C751" s="20" t="s">
        <v>118</v>
      </c>
      <c r="D751" s="20" t="s">
        <v>1209</v>
      </c>
      <c r="E751" s="20" t="s">
        <v>138</v>
      </c>
      <c r="F751" s="6">
        <f>'пр.4.1.ведом.22-23'!G367</f>
        <v>63</v>
      </c>
      <c r="G751" s="6">
        <f>'пр.4.1.ведом.22-23'!H367</f>
        <v>63</v>
      </c>
    </row>
    <row r="752" spans="1:9" ht="31.5" x14ac:dyDescent="0.25">
      <c r="A752" s="216" t="s">
        <v>1306</v>
      </c>
      <c r="B752" s="24" t="s">
        <v>299</v>
      </c>
      <c r="C752" s="24" t="s">
        <v>118</v>
      </c>
      <c r="D752" s="24" t="s">
        <v>1210</v>
      </c>
      <c r="E752" s="24"/>
      <c r="F752" s="4">
        <f>F753</f>
        <v>1380</v>
      </c>
      <c r="G752" s="4">
        <f>G753</f>
        <v>1380</v>
      </c>
    </row>
    <row r="753" spans="1:7" ht="31.5" x14ac:dyDescent="0.25">
      <c r="A753" s="31" t="s">
        <v>816</v>
      </c>
      <c r="B753" s="20" t="s">
        <v>299</v>
      </c>
      <c r="C753" s="20" t="s">
        <v>118</v>
      </c>
      <c r="D753" s="20" t="s">
        <v>1212</v>
      </c>
      <c r="E753" s="20"/>
      <c r="F753" s="6">
        <f>F756</f>
        <v>1380</v>
      </c>
      <c r="G753" s="6">
        <f>G756</f>
        <v>1380</v>
      </c>
    </row>
    <row r="754" spans="1:7" ht="94.5" hidden="1" x14ac:dyDescent="0.25">
      <c r="A754" s="25" t="s">
        <v>127</v>
      </c>
      <c r="B754" s="20" t="s">
        <v>299</v>
      </c>
      <c r="C754" s="20" t="s">
        <v>118</v>
      </c>
      <c r="D754" s="20" t="s">
        <v>1212</v>
      </c>
      <c r="E754" s="20" t="s">
        <v>128</v>
      </c>
      <c r="F754" s="6">
        <f>'Пр.3 Рд,пр, ЦС,ВР 21'!F871</f>
        <v>487.40000000000009</v>
      </c>
      <c r="G754" s="6">
        <f>'Пр.3 Рд,пр, ЦС,ВР 21'!G871</f>
        <v>0</v>
      </c>
    </row>
    <row r="755" spans="1:7" ht="31.5" hidden="1" x14ac:dyDescent="0.25">
      <c r="A755" s="25" t="s">
        <v>208</v>
      </c>
      <c r="B755" s="20" t="s">
        <v>299</v>
      </c>
      <c r="C755" s="20" t="s">
        <v>118</v>
      </c>
      <c r="D755" s="20" t="s">
        <v>1212</v>
      </c>
      <c r="E755" s="20" t="s">
        <v>209</v>
      </c>
      <c r="F755" s="6">
        <f>'Пр.3 Рд,пр, ЦС,ВР 21'!F872</f>
        <v>487.40000000000009</v>
      </c>
      <c r="G755" s="6">
        <f>'Пр.3 Рд,пр, ЦС,ВР 21'!G872</f>
        <v>0</v>
      </c>
    </row>
    <row r="756" spans="1:7" ht="31.5" x14ac:dyDescent="0.25">
      <c r="A756" s="25" t="s">
        <v>131</v>
      </c>
      <c r="B756" s="20" t="s">
        <v>299</v>
      </c>
      <c r="C756" s="20" t="s">
        <v>118</v>
      </c>
      <c r="D756" s="20" t="s">
        <v>1212</v>
      </c>
      <c r="E756" s="20" t="s">
        <v>132</v>
      </c>
      <c r="F756" s="6">
        <f>F757</f>
        <v>1380</v>
      </c>
      <c r="G756" s="6">
        <f>G757</f>
        <v>1380</v>
      </c>
    </row>
    <row r="757" spans="1:7" ht="47.25" x14ac:dyDescent="0.25">
      <c r="A757" s="25" t="s">
        <v>133</v>
      </c>
      <c r="B757" s="20" t="s">
        <v>299</v>
      </c>
      <c r="C757" s="20" t="s">
        <v>118</v>
      </c>
      <c r="D757" s="20" t="s">
        <v>1212</v>
      </c>
      <c r="E757" s="20" t="s">
        <v>134</v>
      </c>
      <c r="F757" s="6">
        <f>'пр.4.1.ведом.22-23'!G373</f>
        <v>1380</v>
      </c>
      <c r="G757" s="6">
        <f>'пр.4.1.ведом.22-23'!H373</f>
        <v>1380</v>
      </c>
    </row>
    <row r="758" spans="1:7" ht="47.25" x14ac:dyDescent="0.25">
      <c r="A758" s="23" t="s">
        <v>947</v>
      </c>
      <c r="B758" s="24" t="s">
        <v>299</v>
      </c>
      <c r="C758" s="24" t="s">
        <v>118</v>
      </c>
      <c r="D758" s="24" t="s">
        <v>1213</v>
      </c>
      <c r="E758" s="24"/>
      <c r="F758" s="4">
        <f t="shared" ref="F758:G760" si="74">F759</f>
        <v>875</v>
      </c>
      <c r="G758" s="4">
        <f t="shared" si="74"/>
        <v>875</v>
      </c>
    </row>
    <row r="759" spans="1:7" ht="47.25" x14ac:dyDescent="0.25">
      <c r="A759" s="25" t="s">
        <v>839</v>
      </c>
      <c r="B759" s="20" t="s">
        <v>299</v>
      </c>
      <c r="C759" s="20" t="s">
        <v>118</v>
      </c>
      <c r="D759" s="20" t="s">
        <v>1214</v>
      </c>
      <c r="E759" s="20"/>
      <c r="F759" s="6">
        <f t="shared" si="74"/>
        <v>875</v>
      </c>
      <c r="G759" s="6">
        <f t="shared" si="74"/>
        <v>875</v>
      </c>
    </row>
    <row r="760" spans="1:7" ht="94.5" x14ac:dyDescent="0.25">
      <c r="A760" s="25" t="s">
        <v>127</v>
      </c>
      <c r="B760" s="20" t="s">
        <v>299</v>
      </c>
      <c r="C760" s="20" t="s">
        <v>118</v>
      </c>
      <c r="D760" s="20" t="s">
        <v>1214</v>
      </c>
      <c r="E760" s="20" t="s">
        <v>128</v>
      </c>
      <c r="F760" s="6">
        <f t="shared" si="74"/>
        <v>875</v>
      </c>
      <c r="G760" s="6">
        <f t="shared" si="74"/>
        <v>875</v>
      </c>
    </row>
    <row r="761" spans="1:7" ht="33.75" customHeight="1" x14ac:dyDescent="0.25">
      <c r="A761" s="25" t="s">
        <v>129</v>
      </c>
      <c r="B761" s="20" t="s">
        <v>299</v>
      </c>
      <c r="C761" s="20" t="s">
        <v>118</v>
      </c>
      <c r="D761" s="20" t="s">
        <v>1214</v>
      </c>
      <c r="E761" s="20" t="s">
        <v>209</v>
      </c>
      <c r="F761" s="6">
        <f>'пр.4.1.ведом.22-23'!G377</f>
        <v>875</v>
      </c>
      <c r="G761" s="6">
        <f>'пр.4.1.ведом.22-23'!H377</f>
        <v>875</v>
      </c>
    </row>
    <row r="762" spans="1:7" ht="50.25" customHeight="1" x14ac:dyDescent="0.25">
      <c r="A762" s="217" t="s">
        <v>900</v>
      </c>
      <c r="B762" s="24" t="s">
        <v>299</v>
      </c>
      <c r="C762" s="24" t="s">
        <v>118</v>
      </c>
      <c r="D762" s="24" t="s">
        <v>1215</v>
      </c>
      <c r="E762" s="24"/>
      <c r="F762" s="4">
        <f>F763+F766</f>
        <v>2442</v>
      </c>
      <c r="G762" s="4">
        <f>G763+G766</f>
        <v>2442</v>
      </c>
    </row>
    <row r="763" spans="1:7" s="203" customFormat="1" ht="110.85" customHeight="1" x14ac:dyDescent="0.25">
      <c r="A763" s="31" t="s">
        <v>293</v>
      </c>
      <c r="B763" s="20" t="s">
        <v>299</v>
      </c>
      <c r="C763" s="20" t="s">
        <v>118</v>
      </c>
      <c r="D763" s="20" t="s">
        <v>1414</v>
      </c>
      <c r="E763" s="20"/>
      <c r="F763" s="6">
        <f t="shared" ref="F763:G764" si="75">F764</f>
        <v>2100.6</v>
      </c>
      <c r="G763" s="6">
        <f t="shared" si="75"/>
        <v>2100.6</v>
      </c>
    </row>
    <row r="764" spans="1:7" s="203" customFormat="1" ht="100.15" customHeight="1" x14ac:dyDescent="0.25">
      <c r="A764" s="25" t="s">
        <v>127</v>
      </c>
      <c r="B764" s="20" t="s">
        <v>299</v>
      </c>
      <c r="C764" s="20" t="s">
        <v>118</v>
      </c>
      <c r="D764" s="20" t="s">
        <v>1414</v>
      </c>
      <c r="E764" s="20" t="s">
        <v>128</v>
      </c>
      <c r="F764" s="6">
        <f t="shared" si="75"/>
        <v>2100.6</v>
      </c>
      <c r="G764" s="6">
        <f t="shared" si="75"/>
        <v>2100.6</v>
      </c>
    </row>
    <row r="765" spans="1:7" s="203" customFormat="1" ht="40.15" customHeight="1" x14ac:dyDescent="0.25">
      <c r="A765" s="25" t="s">
        <v>208</v>
      </c>
      <c r="B765" s="20" t="s">
        <v>299</v>
      </c>
      <c r="C765" s="20" t="s">
        <v>118</v>
      </c>
      <c r="D765" s="20" t="s">
        <v>1414</v>
      </c>
      <c r="E765" s="20" t="s">
        <v>209</v>
      </c>
      <c r="F765" s="6">
        <f>'пр.4.1.ведом.22-23'!G381</f>
        <v>2100.6</v>
      </c>
      <c r="G765" s="6">
        <f>'пр.4.1.ведом.22-23'!H381</f>
        <v>2100.6</v>
      </c>
    </row>
    <row r="766" spans="1:7" s="203" customFormat="1" ht="78" customHeight="1" x14ac:dyDescent="0.25">
      <c r="A766" s="25" t="s">
        <v>331</v>
      </c>
      <c r="B766" s="20" t="s">
        <v>299</v>
      </c>
      <c r="C766" s="20" t="s">
        <v>118</v>
      </c>
      <c r="D766" s="20" t="s">
        <v>1296</v>
      </c>
      <c r="E766" s="20"/>
      <c r="F766" s="26">
        <f>F767</f>
        <v>341.4</v>
      </c>
      <c r="G766" s="26">
        <f>G767</f>
        <v>341.4</v>
      </c>
    </row>
    <row r="767" spans="1:7" s="203" customFormat="1" ht="98.45" customHeight="1" x14ac:dyDescent="0.25">
      <c r="A767" s="25" t="s">
        <v>127</v>
      </c>
      <c r="B767" s="20" t="s">
        <v>299</v>
      </c>
      <c r="C767" s="20" t="s">
        <v>118</v>
      </c>
      <c r="D767" s="20" t="s">
        <v>1296</v>
      </c>
      <c r="E767" s="20" t="s">
        <v>128</v>
      </c>
      <c r="F767" s="26">
        <f>F768</f>
        <v>341.4</v>
      </c>
      <c r="G767" s="26">
        <f>G768</f>
        <v>341.4</v>
      </c>
    </row>
    <row r="768" spans="1:7" s="203" customFormat="1" ht="50.25" customHeight="1" x14ac:dyDescent="0.25">
      <c r="A768" s="25" t="s">
        <v>208</v>
      </c>
      <c r="B768" s="20" t="s">
        <v>299</v>
      </c>
      <c r="C768" s="20" t="s">
        <v>118</v>
      </c>
      <c r="D768" s="20" t="s">
        <v>1296</v>
      </c>
      <c r="E768" s="20" t="s">
        <v>209</v>
      </c>
      <c r="F768" s="26">
        <f>'пр.4.1.ведом.22-23'!G384</f>
        <v>341.4</v>
      </c>
      <c r="G768" s="26">
        <f>'пр.4.1.ведом.22-23'!H384</f>
        <v>341.4</v>
      </c>
    </row>
    <row r="769" spans="1:7" s="203" customFormat="1" ht="31.5" x14ac:dyDescent="0.25">
      <c r="A769" s="23" t="s">
        <v>902</v>
      </c>
      <c r="B769" s="24" t="s">
        <v>299</v>
      </c>
      <c r="C769" s="24" t="s">
        <v>118</v>
      </c>
      <c r="D769" s="24" t="s">
        <v>1220</v>
      </c>
      <c r="E769" s="24"/>
      <c r="F769" s="21">
        <f t="shared" ref="F769:G771" si="76">F770</f>
        <v>50</v>
      </c>
      <c r="G769" s="21">
        <f t="shared" si="76"/>
        <v>50</v>
      </c>
    </row>
    <row r="770" spans="1:7" s="203" customFormat="1" ht="31.5" x14ac:dyDescent="0.25">
      <c r="A770" s="25" t="s">
        <v>821</v>
      </c>
      <c r="B770" s="20" t="s">
        <v>299</v>
      </c>
      <c r="C770" s="20" t="s">
        <v>118</v>
      </c>
      <c r="D770" s="20" t="s">
        <v>1221</v>
      </c>
      <c r="E770" s="20"/>
      <c r="F770" s="26">
        <f t="shared" si="76"/>
        <v>50</v>
      </c>
      <c r="G770" s="26">
        <f t="shared" si="76"/>
        <v>50</v>
      </c>
    </row>
    <row r="771" spans="1:7" s="203" customFormat="1" ht="31.5" x14ac:dyDescent="0.25">
      <c r="A771" s="25" t="s">
        <v>131</v>
      </c>
      <c r="B771" s="20" t="s">
        <v>299</v>
      </c>
      <c r="C771" s="20" t="s">
        <v>118</v>
      </c>
      <c r="D771" s="20" t="s">
        <v>1221</v>
      </c>
      <c r="E771" s="20" t="s">
        <v>132</v>
      </c>
      <c r="F771" s="26">
        <f t="shared" si="76"/>
        <v>50</v>
      </c>
      <c r="G771" s="26">
        <f t="shared" si="76"/>
        <v>50</v>
      </c>
    </row>
    <row r="772" spans="1:7" s="203" customFormat="1" ht="47.25" x14ac:dyDescent="0.25">
      <c r="A772" s="25" t="s">
        <v>133</v>
      </c>
      <c r="B772" s="20" t="s">
        <v>299</v>
      </c>
      <c r="C772" s="20" t="s">
        <v>118</v>
      </c>
      <c r="D772" s="20" t="s">
        <v>1221</v>
      </c>
      <c r="E772" s="20" t="s">
        <v>134</v>
      </c>
      <c r="F772" s="26">
        <f>'пр.4.1.ведом.22-23'!G388</f>
        <v>50</v>
      </c>
      <c r="G772" s="26">
        <f>'пр.4.1.ведом.22-23'!H388</f>
        <v>50</v>
      </c>
    </row>
    <row r="773" spans="1:7" s="203" customFormat="1" ht="31.5" x14ac:dyDescent="0.25">
      <c r="A773" s="23" t="s">
        <v>1010</v>
      </c>
      <c r="B773" s="24" t="s">
        <v>299</v>
      </c>
      <c r="C773" s="24" t="s">
        <v>118</v>
      </c>
      <c r="D773" s="24" t="s">
        <v>1222</v>
      </c>
      <c r="E773" s="24"/>
      <c r="F773" s="21">
        <f t="shared" ref="F773:G775" si="77">F774</f>
        <v>68.7</v>
      </c>
      <c r="G773" s="21">
        <f t="shared" si="77"/>
        <v>68.7</v>
      </c>
    </row>
    <row r="774" spans="1:7" s="203" customFormat="1" ht="47.25" x14ac:dyDescent="0.25">
      <c r="A774" s="25" t="s">
        <v>1497</v>
      </c>
      <c r="B774" s="20" t="s">
        <v>299</v>
      </c>
      <c r="C774" s="20" t="s">
        <v>118</v>
      </c>
      <c r="D774" s="20" t="s">
        <v>1223</v>
      </c>
      <c r="E774" s="20"/>
      <c r="F774" s="26">
        <f t="shared" si="77"/>
        <v>68.7</v>
      </c>
      <c r="G774" s="26">
        <f t="shared" si="77"/>
        <v>68.7</v>
      </c>
    </row>
    <row r="775" spans="1:7" s="203" customFormat="1" ht="31.5" x14ac:dyDescent="0.25">
      <c r="A775" s="25" t="s">
        <v>131</v>
      </c>
      <c r="B775" s="20" t="s">
        <v>299</v>
      </c>
      <c r="C775" s="20" t="s">
        <v>118</v>
      </c>
      <c r="D775" s="20" t="s">
        <v>1223</v>
      </c>
      <c r="E775" s="20" t="s">
        <v>132</v>
      </c>
      <c r="F775" s="26">
        <f t="shared" si="77"/>
        <v>68.7</v>
      </c>
      <c r="G775" s="26">
        <f t="shared" si="77"/>
        <v>68.7</v>
      </c>
    </row>
    <row r="776" spans="1:7" s="203" customFormat="1" ht="47.25" x14ac:dyDescent="0.25">
      <c r="A776" s="25" t="s">
        <v>133</v>
      </c>
      <c r="B776" s="20" t="s">
        <v>299</v>
      </c>
      <c r="C776" s="20" t="s">
        <v>118</v>
      </c>
      <c r="D776" s="20" t="s">
        <v>1223</v>
      </c>
      <c r="E776" s="20" t="s">
        <v>134</v>
      </c>
      <c r="F776" s="26">
        <f>'пр.4.1.ведом.22-23'!G392</f>
        <v>68.7</v>
      </c>
      <c r="G776" s="26">
        <f>'пр.4.1.ведом.22-23'!H392</f>
        <v>68.7</v>
      </c>
    </row>
    <row r="777" spans="1:7" s="203" customFormat="1" ht="31.5" x14ac:dyDescent="0.25">
      <c r="A777" s="210" t="s">
        <v>1184</v>
      </c>
      <c r="B777" s="24" t="s">
        <v>299</v>
      </c>
      <c r="C777" s="24" t="s">
        <v>118</v>
      </c>
      <c r="D777" s="24" t="s">
        <v>1317</v>
      </c>
      <c r="E777" s="24"/>
      <c r="F777" s="21">
        <f t="shared" ref="F777:G777" si="78">F778</f>
        <v>300</v>
      </c>
      <c r="G777" s="21">
        <f t="shared" si="78"/>
        <v>2806.2</v>
      </c>
    </row>
    <row r="778" spans="1:7" s="203" customFormat="1" ht="63" x14ac:dyDescent="0.25">
      <c r="A778" s="98" t="s">
        <v>1172</v>
      </c>
      <c r="B778" s="20" t="s">
        <v>299</v>
      </c>
      <c r="C778" s="20" t="s">
        <v>118</v>
      </c>
      <c r="D778" s="20" t="s">
        <v>1219</v>
      </c>
      <c r="E778" s="20"/>
      <c r="F778" s="26">
        <f>F779</f>
        <v>300</v>
      </c>
      <c r="G778" s="26">
        <f>G779</f>
        <v>2806.2</v>
      </c>
    </row>
    <row r="779" spans="1:7" s="203" customFormat="1" ht="31.5" x14ac:dyDescent="0.25">
      <c r="A779" s="25" t="s">
        <v>131</v>
      </c>
      <c r="B779" s="20" t="s">
        <v>299</v>
      </c>
      <c r="C779" s="20" t="s">
        <v>118</v>
      </c>
      <c r="D779" s="20" t="s">
        <v>1219</v>
      </c>
      <c r="E779" s="20" t="s">
        <v>132</v>
      </c>
      <c r="F779" s="26">
        <f>F780</f>
        <v>300</v>
      </c>
      <c r="G779" s="26">
        <f>G780</f>
        <v>2806.2</v>
      </c>
    </row>
    <row r="780" spans="1:7" s="203" customFormat="1" ht="47.25" x14ac:dyDescent="0.25">
      <c r="A780" s="25" t="s">
        <v>133</v>
      </c>
      <c r="B780" s="20" t="s">
        <v>299</v>
      </c>
      <c r="C780" s="20" t="s">
        <v>118</v>
      </c>
      <c r="D780" s="20" t="s">
        <v>1219</v>
      </c>
      <c r="E780" s="20" t="s">
        <v>134</v>
      </c>
      <c r="F780" s="26">
        <f>'пр.4.1.ведом.22-23'!G396</f>
        <v>300</v>
      </c>
      <c r="G780" s="26">
        <f>'пр.4.1.ведом.22-23'!H396</f>
        <v>2806.2</v>
      </c>
    </row>
    <row r="781" spans="1:7" s="203" customFormat="1" ht="31.5" hidden="1" x14ac:dyDescent="0.25">
      <c r="A781" s="346" t="s">
        <v>1340</v>
      </c>
      <c r="B781" s="24" t="s">
        <v>299</v>
      </c>
      <c r="C781" s="24" t="s">
        <v>118</v>
      </c>
      <c r="D781" s="24"/>
      <c r="E781" s="24"/>
      <c r="F781" s="21">
        <f t="shared" ref="F781:G783" si="79">F782</f>
        <v>0</v>
      </c>
      <c r="G781" s="21">
        <f t="shared" si="79"/>
        <v>0</v>
      </c>
    </row>
    <row r="782" spans="1:7" s="203" customFormat="1" ht="15.75" hidden="1" x14ac:dyDescent="0.25">
      <c r="A782" s="25"/>
      <c r="B782" s="20" t="s">
        <v>299</v>
      </c>
      <c r="C782" s="20" t="s">
        <v>118</v>
      </c>
      <c r="D782" s="20"/>
      <c r="E782" s="20"/>
      <c r="F782" s="26">
        <f t="shared" si="79"/>
        <v>0</v>
      </c>
      <c r="G782" s="26">
        <f t="shared" si="79"/>
        <v>0</v>
      </c>
    </row>
    <row r="783" spans="1:7" s="203" customFormat="1" ht="15.75" hidden="1" x14ac:dyDescent="0.25">
      <c r="A783" s="25"/>
      <c r="B783" s="20" t="s">
        <v>299</v>
      </c>
      <c r="C783" s="20" t="s">
        <v>118</v>
      </c>
      <c r="D783" s="20"/>
      <c r="E783" s="20" t="s">
        <v>132</v>
      </c>
      <c r="F783" s="26">
        <f t="shared" si="79"/>
        <v>0</v>
      </c>
      <c r="G783" s="26">
        <f t="shared" si="79"/>
        <v>0</v>
      </c>
    </row>
    <row r="784" spans="1:7" s="203" customFormat="1" ht="15.75" hidden="1" x14ac:dyDescent="0.25">
      <c r="A784" s="25"/>
      <c r="B784" s="20" t="s">
        <v>299</v>
      </c>
      <c r="C784" s="20" t="s">
        <v>118</v>
      </c>
      <c r="D784" s="20"/>
      <c r="E784" s="20" t="s">
        <v>134</v>
      </c>
      <c r="F784" s="26">
        <f>'пр.4.1.ведом.22-23'!G400</f>
        <v>0</v>
      </c>
      <c r="G784" s="26">
        <f>'пр.4.1.ведом.22-23'!H400</f>
        <v>0</v>
      </c>
    </row>
    <row r="785" spans="1:7" ht="63" x14ac:dyDescent="0.25">
      <c r="A785" s="34" t="s">
        <v>1368</v>
      </c>
      <c r="B785" s="24" t="s">
        <v>299</v>
      </c>
      <c r="C785" s="24" t="s">
        <v>118</v>
      </c>
      <c r="D785" s="24" t="s">
        <v>324</v>
      </c>
      <c r="E785" s="24"/>
      <c r="F785" s="380">
        <f t="shared" ref="F785:G788" si="80">F786</f>
        <v>10</v>
      </c>
      <c r="G785" s="380">
        <f t="shared" si="80"/>
        <v>0</v>
      </c>
    </row>
    <row r="786" spans="1:7" ht="63" x14ac:dyDescent="0.25">
      <c r="A786" s="34" t="s">
        <v>1025</v>
      </c>
      <c r="B786" s="24" t="s">
        <v>299</v>
      </c>
      <c r="C786" s="24" t="s">
        <v>118</v>
      </c>
      <c r="D786" s="24" t="s">
        <v>934</v>
      </c>
      <c r="E786" s="24"/>
      <c r="F786" s="4">
        <f t="shared" si="80"/>
        <v>10</v>
      </c>
      <c r="G786" s="4">
        <f t="shared" si="80"/>
        <v>0</v>
      </c>
    </row>
    <row r="787" spans="1:7" ht="47.25" x14ac:dyDescent="0.25">
      <c r="A787" s="31" t="s">
        <v>1082</v>
      </c>
      <c r="B787" s="20" t="s">
        <v>299</v>
      </c>
      <c r="C787" s="20" t="s">
        <v>118</v>
      </c>
      <c r="D787" s="20" t="s">
        <v>1026</v>
      </c>
      <c r="E787" s="20"/>
      <c r="F787" s="6">
        <f t="shared" si="80"/>
        <v>10</v>
      </c>
      <c r="G787" s="6">
        <f t="shared" si="80"/>
        <v>0</v>
      </c>
    </row>
    <row r="788" spans="1:7" ht="31.5" x14ac:dyDescent="0.25">
      <c r="A788" s="25" t="s">
        <v>131</v>
      </c>
      <c r="B788" s="20" t="s">
        <v>299</v>
      </c>
      <c r="C788" s="20" t="s">
        <v>118</v>
      </c>
      <c r="D788" s="20" t="s">
        <v>1026</v>
      </c>
      <c r="E788" s="20" t="s">
        <v>132</v>
      </c>
      <c r="F788" s="6">
        <f t="shared" si="80"/>
        <v>10</v>
      </c>
      <c r="G788" s="6">
        <f t="shared" si="80"/>
        <v>0</v>
      </c>
    </row>
    <row r="789" spans="1:7" ht="47.25" x14ac:dyDescent="0.25">
      <c r="A789" s="25" t="s">
        <v>133</v>
      </c>
      <c r="B789" s="20" t="s">
        <v>299</v>
      </c>
      <c r="C789" s="20" t="s">
        <v>118</v>
      </c>
      <c r="D789" s="20" t="s">
        <v>1026</v>
      </c>
      <c r="E789" s="20" t="s">
        <v>134</v>
      </c>
      <c r="F789" s="6">
        <f>'пр.4.1.ведом.22-23'!G405</f>
        <v>10</v>
      </c>
      <c r="G789" s="6">
        <f>'пр.4.1.ведом.22-23'!H405</f>
        <v>0</v>
      </c>
    </row>
    <row r="790" spans="1:7" ht="63" x14ac:dyDescent="0.25">
      <c r="A790" s="41" t="s">
        <v>1363</v>
      </c>
      <c r="B790" s="24" t="s">
        <v>299</v>
      </c>
      <c r="C790" s="24" t="s">
        <v>118</v>
      </c>
      <c r="D790" s="24" t="s">
        <v>705</v>
      </c>
      <c r="E790" s="221"/>
      <c r="F790" s="4">
        <f t="shared" ref="F790:G790" si="81">F791</f>
        <v>878.7</v>
      </c>
      <c r="G790" s="4">
        <f t="shared" si="81"/>
        <v>913.9</v>
      </c>
    </row>
    <row r="791" spans="1:7" ht="63" x14ac:dyDescent="0.25">
      <c r="A791" s="41" t="s">
        <v>890</v>
      </c>
      <c r="B791" s="24" t="s">
        <v>299</v>
      </c>
      <c r="C791" s="24" t="s">
        <v>118</v>
      </c>
      <c r="D791" s="24" t="s">
        <v>888</v>
      </c>
      <c r="E791" s="221"/>
      <c r="F791" s="4">
        <f t="shared" ref="F791:G793" si="82">F792</f>
        <v>878.7</v>
      </c>
      <c r="G791" s="4">
        <f t="shared" si="82"/>
        <v>913.9</v>
      </c>
    </row>
    <row r="792" spans="1:7" ht="47.25" x14ac:dyDescent="0.25">
      <c r="A792" s="98" t="s">
        <v>1022</v>
      </c>
      <c r="B792" s="20" t="s">
        <v>299</v>
      </c>
      <c r="C792" s="20" t="s">
        <v>118</v>
      </c>
      <c r="D792" s="20" t="s">
        <v>889</v>
      </c>
      <c r="E792" s="32"/>
      <c r="F792" s="6">
        <f t="shared" si="82"/>
        <v>878.7</v>
      </c>
      <c r="G792" s="6">
        <f t="shared" si="82"/>
        <v>913.9</v>
      </c>
    </row>
    <row r="793" spans="1:7" ht="31.5" x14ac:dyDescent="0.25">
      <c r="A793" s="25" t="s">
        <v>131</v>
      </c>
      <c r="B793" s="20" t="s">
        <v>299</v>
      </c>
      <c r="C793" s="20" t="s">
        <v>118</v>
      </c>
      <c r="D793" s="20" t="s">
        <v>889</v>
      </c>
      <c r="E793" s="32" t="s">
        <v>132</v>
      </c>
      <c r="F793" s="6">
        <f t="shared" si="82"/>
        <v>878.7</v>
      </c>
      <c r="G793" s="6">
        <f t="shared" si="82"/>
        <v>913.9</v>
      </c>
    </row>
    <row r="794" spans="1:7" ht="47.25" x14ac:dyDescent="0.25">
      <c r="A794" s="25" t="s">
        <v>133</v>
      </c>
      <c r="B794" s="20" t="s">
        <v>299</v>
      </c>
      <c r="C794" s="20" t="s">
        <v>118</v>
      </c>
      <c r="D794" s="20" t="s">
        <v>889</v>
      </c>
      <c r="E794" s="32" t="s">
        <v>134</v>
      </c>
      <c r="F794" s="6">
        <f>'пр.4.1.ведом.22-23'!G410</f>
        <v>878.7</v>
      </c>
      <c r="G794" s="6">
        <f>'пр.4.1.ведом.22-23'!H410</f>
        <v>913.9</v>
      </c>
    </row>
    <row r="795" spans="1:7" ht="31.5" x14ac:dyDescent="0.25">
      <c r="A795" s="23" t="s">
        <v>333</v>
      </c>
      <c r="B795" s="24" t="s">
        <v>299</v>
      </c>
      <c r="C795" s="24" t="s">
        <v>150</v>
      </c>
      <c r="D795" s="24"/>
      <c r="E795" s="32"/>
      <c r="F795" s="4">
        <f>F796+F806+F818+F824</f>
        <v>18566.400000000001</v>
      </c>
      <c r="G795" s="4">
        <f>G796+G806+G818+G824</f>
        <v>18595.400000000001</v>
      </c>
    </row>
    <row r="796" spans="1:7" ht="31.5" x14ac:dyDescent="0.25">
      <c r="A796" s="23" t="s">
        <v>917</v>
      </c>
      <c r="B796" s="24" t="s">
        <v>299</v>
      </c>
      <c r="C796" s="24" t="s">
        <v>150</v>
      </c>
      <c r="D796" s="24" t="s">
        <v>858</v>
      </c>
      <c r="E796" s="32"/>
      <c r="F796" s="4">
        <f>F797</f>
        <v>7291.6</v>
      </c>
      <c r="G796" s="4">
        <f>G797</f>
        <v>7291.6</v>
      </c>
    </row>
    <row r="797" spans="1:7" ht="15.75" x14ac:dyDescent="0.25">
      <c r="A797" s="23" t="s">
        <v>918</v>
      </c>
      <c r="B797" s="24" t="s">
        <v>299</v>
      </c>
      <c r="C797" s="24" t="s">
        <v>150</v>
      </c>
      <c r="D797" s="24" t="s">
        <v>859</v>
      </c>
      <c r="E797" s="32"/>
      <c r="F797" s="4">
        <f>F798+F803</f>
        <v>7291.6</v>
      </c>
      <c r="G797" s="4">
        <f>G798+G803</f>
        <v>7291.6</v>
      </c>
    </row>
    <row r="798" spans="1:7" ht="31.5" x14ac:dyDescent="0.25">
      <c r="A798" s="25" t="s">
        <v>897</v>
      </c>
      <c r="B798" s="20" t="s">
        <v>299</v>
      </c>
      <c r="C798" s="20" t="s">
        <v>150</v>
      </c>
      <c r="D798" s="20" t="s">
        <v>860</v>
      </c>
      <c r="E798" s="32"/>
      <c r="F798" s="6">
        <f>F799</f>
        <v>7015.6</v>
      </c>
      <c r="G798" s="6">
        <f>G799</f>
        <v>7015.6</v>
      </c>
    </row>
    <row r="799" spans="1:7" ht="94.5" x14ac:dyDescent="0.25">
      <c r="A799" s="25" t="s">
        <v>127</v>
      </c>
      <c r="B799" s="20" t="s">
        <v>299</v>
      </c>
      <c r="C799" s="20" t="s">
        <v>150</v>
      </c>
      <c r="D799" s="20" t="s">
        <v>860</v>
      </c>
      <c r="E799" s="32" t="s">
        <v>128</v>
      </c>
      <c r="F799" s="6">
        <f>F800</f>
        <v>7015.6</v>
      </c>
      <c r="G799" s="6">
        <f>G800</f>
        <v>7015.6</v>
      </c>
    </row>
    <row r="800" spans="1:7" ht="31.5" x14ac:dyDescent="0.25">
      <c r="A800" s="25" t="s">
        <v>129</v>
      </c>
      <c r="B800" s="20" t="s">
        <v>299</v>
      </c>
      <c r="C800" s="20" t="s">
        <v>150</v>
      </c>
      <c r="D800" s="20" t="s">
        <v>860</v>
      </c>
      <c r="E800" s="40" t="s">
        <v>130</v>
      </c>
      <c r="F800" s="6">
        <f>'пр.4.1.ведом.22-23'!G416</f>
        <v>7015.6</v>
      </c>
      <c r="G800" s="6">
        <f>'пр.4.1.ведом.22-23'!H416</f>
        <v>7015.6</v>
      </c>
    </row>
    <row r="801" spans="1:7" ht="31.5" hidden="1" x14ac:dyDescent="0.25">
      <c r="A801" s="25" t="s">
        <v>131</v>
      </c>
      <c r="B801" s="20" t="s">
        <v>299</v>
      </c>
      <c r="C801" s="20" t="s">
        <v>150</v>
      </c>
      <c r="D801" s="20" t="s">
        <v>860</v>
      </c>
      <c r="E801" s="40" t="s">
        <v>132</v>
      </c>
      <c r="F801" s="6">
        <f>'Пр.3 Рд,пр, ЦС,ВР 21'!F921</f>
        <v>0</v>
      </c>
      <c r="G801" s="6">
        <f>'Пр.3 Рд,пр, ЦС,ВР 21'!G921</f>
        <v>0</v>
      </c>
    </row>
    <row r="802" spans="1:7" ht="47.25" hidden="1" x14ac:dyDescent="0.25">
      <c r="A802" s="25" t="s">
        <v>133</v>
      </c>
      <c r="B802" s="20" t="s">
        <v>299</v>
      </c>
      <c r="C802" s="20" t="s">
        <v>150</v>
      </c>
      <c r="D802" s="20" t="s">
        <v>860</v>
      </c>
      <c r="E802" s="40" t="s">
        <v>134</v>
      </c>
      <c r="F802" s="6">
        <f>'Пр.3 Рд,пр, ЦС,ВР 21'!F922</f>
        <v>0</v>
      </c>
      <c r="G802" s="6">
        <f>'Пр.3 Рд,пр, ЦС,ВР 21'!G922</f>
        <v>0</v>
      </c>
    </row>
    <row r="803" spans="1:7" ht="47.25" x14ac:dyDescent="0.25">
      <c r="A803" s="25" t="s">
        <v>839</v>
      </c>
      <c r="B803" s="20" t="s">
        <v>299</v>
      </c>
      <c r="C803" s="20" t="s">
        <v>150</v>
      </c>
      <c r="D803" s="20" t="s">
        <v>862</v>
      </c>
      <c r="E803" s="40"/>
      <c r="F803" s="6">
        <f>F804</f>
        <v>276</v>
      </c>
      <c r="G803" s="6">
        <f>G804</f>
        <v>276</v>
      </c>
    </row>
    <row r="804" spans="1:7" ht="94.5" x14ac:dyDescent="0.25">
      <c r="A804" s="25" t="s">
        <v>127</v>
      </c>
      <c r="B804" s="20" t="s">
        <v>299</v>
      </c>
      <c r="C804" s="20" t="s">
        <v>150</v>
      </c>
      <c r="D804" s="20" t="s">
        <v>862</v>
      </c>
      <c r="E804" s="40" t="s">
        <v>128</v>
      </c>
      <c r="F804" s="6">
        <f>F805</f>
        <v>276</v>
      </c>
      <c r="G804" s="6">
        <f>G805</f>
        <v>276</v>
      </c>
    </row>
    <row r="805" spans="1:7" ht="31.5" x14ac:dyDescent="0.25">
      <c r="A805" s="25" t="s">
        <v>129</v>
      </c>
      <c r="B805" s="20" t="s">
        <v>299</v>
      </c>
      <c r="C805" s="20" t="s">
        <v>150</v>
      </c>
      <c r="D805" s="20" t="s">
        <v>862</v>
      </c>
      <c r="E805" s="40" t="s">
        <v>130</v>
      </c>
      <c r="F805" s="6">
        <f>'пр.4.1.ведом.22-23'!G421</f>
        <v>276</v>
      </c>
      <c r="G805" s="6">
        <f>'пр.4.1.ведом.22-23'!H421</f>
        <v>276</v>
      </c>
    </row>
    <row r="806" spans="1:7" ht="15.75" x14ac:dyDescent="0.25">
      <c r="A806" s="23" t="s">
        <v>926</v>
      </c>
      <c r="B806" s="24" t="s">
        <v>299</v>
      </c>
      <c r="C806" s="24" t="s">
        <v>150</v>
      </c>
      <c r="D806" s="24" t="s">
        <v>866</v>
      </c>
      <c r="E806" s="40"/>
      <c r="F806" s="4">
        <f t="shared" ref="F806:G806" si="83">F807</f>
        <v>11014.8</v>
      </c>
      <c r="G806" s="4">
        <f t="shared" si="83"/>
        <v>11014.8</v>
      </c>
    </row>
    <row r="807" spans="1:7" ht="36.75" customHeight="1" x14ac:dyDescent="0.25">
      <c r="A807" s="23" t="s">
        <v>929</v>
      </c>
      <c r="B807" s="24" t="s">
        <v>299</v>
      </c>
      <c r="C807" s="24" t="s">
        <v>150</v>
      </c>
      <c r="D807" s="24" t="s">
        <v>914</v>
      </c>
      <c r="E807" s="40"/>
      <c r="F807" s="4">
        <f>F808+F815</f>
        <v>11014.8</v>
      </c>
      <c r="G807" s="4">
        <f>G808+G815</f>
        <v>11014.8</v>
      </c>
    </row>
    <row r="808" spans="1:7" ht="31.5" x14ac:dyDescent="0.25">
      <c r="A808" s="25" t="s">
        <v>903</v>
      </c>
      <c r="B808" s="20" t="s">
        <v>299</v>
      </c>
      <c r="C808" s="20" t="s">
        <v>150</v>
      </c>
      <c r="D808" s="20" t="s">
        <v>915</v>
      </c>
      <c r="E808" s="40"/>
      <c r="F808" s="6">
        <f>F809+F811+F813</f>
        <v>10804.8</v>
      </c>
      <c r="G808" s="6">
        <f>G809+G811+G813</f>
        <v>10804.8</v>
      </c>
    </row>
    <row r="809" spans="1:7" ht="94.5" x14ac:dyDescent="0.25">
      <c r="A809" s="25" t="s">
        <v>127</v>
      </c>
      <c r="B809" s="20" t="s">
        <v>299</v>
      </c>
      <c r="C809" s="20" t="s">
        <v>150</v>
      </c>
      <c r="D809" s="20" t="s">
        <v>915</v>
      </c>
      <c r="E809" s="40" t="s">
        <v>128</v>
      </c>
      <c r="F809" s="6">
        <f>F810</f>
        <v>8853.7999999999993</v>
      </c>
      <c r="G809" s="6">
        <f>G810</f>
        <v>8853.7999999999993</v>
      </c>
    </row>
    <row r="810" spans="1:7" ht="31.5" x14ac:dyDescent="0.25">
      <c r="A810" s="25" t="s">
        <v>342</v>
      </c>
      <c r="B810" s="20" t="s">
        <v>299</v>
      </c>
      <c r="C810" s="20" t="s">
        <v>150</v>
      </c>
      <c r="D810" s="20" t="s">
        <v>915</v>
      </c>
      <c r="E810" s="40" t="s">
        <v>209</v>
      </c>
      <c r="F810" s="6">
        <f>'пр.4.1.ведом.22-23'!G426</f>
        <v>8853.7999999999993</v>
      </c>
      <c r="G810" s="6">
        <f>'пр.4.1.ведом.22-23'!H426</f>
        <v>8853.7999999999993</v>
      </c>
    </row>
    <row r="811" spans="1:7" ht="31.5" x14ac:dyDescent="0.25">
      <c r="A811" s="25" t="s">
        <v>131</v>
      </c>
      <c r="B811" s="20" t="s">
        <v>299</v>
      </c>
      <c r="C811" s="20" t="s">
        <v>150</v>
      </c>
      <c r="D811" s="20" t="s">
        <v>915</v>
      </c>
      <c r="E811" s="40" t="s">
        <v>132</v>
      </c>
      <c r="F811" s="6">
        <f>F812</f>
        <v>1937</v>
      </c>
      <c r="G811" s="6">
        <f>G812</f>
        <v>1937</v>
      </c>
    </row>
    <row r="812" spans="1:7" ht="47.25" x14ac:dyDescent="0.25">
      <c r="A812" s="25" t="s">
        <v>133</v>
      </c>
      <c r="B812" s="20" t="s">
        <v>299</v>
      </c>
      <c r="C812" s="20" t="s">
        <v>150</v>
      </c>
      <c r="D812" s="20" t="s">
        <v>915</v>
      </c>
      <c r="E812" s="40" t="s">
        <v>134</v>
      </c>
      <c r="F812" s="6">
        <f>'пр.4.1.ведом.22-23'!G428</f>
        <v>1937</v>
      </c>
      <c r="G812" s="6">
        <f>'пр.4.1.ведом.22-23'!H428</f>
        <v>1937</v>
      </c>
    </row>
    <row r="813" spans="1:7" ht="15.75" x14ac:dyDescent="0.25">
      <c r="A813" s="25" t="s">
        <v>135</v>
      </c>
      <c r="B813" s="20" t="s">
        <v>299</v>
      </c>
      <c r="C813" s="20" t="s">
        <v>150</v>
      </c>
      <c r="D813" s="20" t="s">
        <v>915</v>
      </c>
      <c r="E813" s="40" t="s">
        <v>145</v>
      </c>
      <c r="F813" s="6">
        <f>F814</f>
        <v>14</v>
      </c>
      <c r="G813" s="6">
        <f>G814</f>
        <v>14</v>
      </c>
    </row>
    <row r="814" spans="1:7" ht="15.75" x14ac:dyDescent="0.25">
      <c r="A814" s="25" t="s">
        <v>568</v>
      </c>
      <c r="B814" s="20" t="s">
        <v>299</v>
      </c>
      <c r="C814" s="20" t="s">
        <v>150</v>
      </c>
      <c r="D814" s="20" t="s">
        <v>915</v>
      </c>
      <c r="E814" s="40" t="s">
        <v>138</v>
      </c>
      <c r="F814" s="6">
        <f>'пр.4.1.ведом.22-23'!G430</f>
        <v>14</v>
      </c>
      <c r="G814" s="6">
        <f>'пр.4.1.ведом.22-23'!H430</f>
        <v>14</v>
      </c>
    </row>
    <row r="815" spans="1:7" ht="47.25" x14ac:dyDescent="0.25">
      <c r="A815" s="25" t="s">
        <v>839</v>
      </c>
      <c r="B815" s="20" t="s">
        <v>299</v>
      </c>
      <c r="C815" s="20" t="s">
        <v>150</v>
      </c>
      <c r="D815" s="20" t="s">
        <v>916</v>
      </c>
      <c r="E815" s="40"/>
      <c r="F815" s="6">
        <f>F816</f>
        <v>210</v>
      </c>
      <c r="G815" s="6">
        <f>G816</f>
        <v>210</v>
      </c>
    </row>
    <row r="816" spans="1:7" ht="94.5" x14ac:dyDescent="0.25">
      <c r="A816" s="25" t="s">
        <v>127</v>
      </c>
      <c r="B816" s="20" t="s">
        <v>299</v>
      </c>
      <c r="C816" s="20" t="s">
        <v>150</v>
      </c>
      <c r="D816" s="20" t="s">
        <v>916</v>
      </c>
      <c r="E816" s="40" t="s">
        <v>128</v>
      </c>
      <c r="F816" s="6">
        <f>F817</f>
        <v>210</v>
      </c>
      <c r="G816" s="6">
        <f>G817</f>
        <v>210</v>
      </c>
    </row>
    <row r="817" spans="1:9" ht="31.5" x14ac:dyDescent="0.25">
      <c r="A817" s="25" t="s">
        <v>129</v>
      </c>
      <c r="B817" s="20" t="s">
        <v>299</v>
      </c>
      <c r="C817" s="20" t="s">
        <v>150</v>
      </c>
      <c r="D817" s="20" t="s">
        <v>916</v>
      </c>
      <c r="E817" s="40" t="s">
        <v>209</v>
      </c>
      <c r="F817" s="6">
        <f>'пр.4.1.ведом.22-23'!G433</f>
        <v>210</v>
      </c>
      <c r="G817" s="6">
        <f>'пр.4.1.ведом.22-23'!H433</f>
        <v>210</v>
      </c>
    </row>
    <row r="818" spans="1:9" ht="50.25" customHeight="1" x14ac:dyDescent="0.25">
      <c r="A818" s="23" t="s">
        <v>1358</v>
      </c>
      <c r="B818" s="24" t="s">
        <v>299</v>
      </c>
      <c r="C818" s="24" t="s">
        <v>150</v>
      </c>
      <c r="D818" s="24" t="s">
        <v>344</v>
      </c>
      <c r="E818" s="40"/>
      <c r="F818" s="4">
        <f>F819</f>
        <v>260</v>
      </c>
      <c r="G818" s="4">
        <f>G819</f>
        <v>285</v>
      </c>
    </row>
    <row r="819" spans="1:9" ht="54" customHeight="1" x14ac:dyDescent="0.25">
      <c r="A819" s="23" t="s">
        <v>1364</v>
      </c>
      <c r="B819" s="24" t="s">
        <v>299</v>
      </c>
      <c r="C819" s="24" t="s">
        <v>150</v>
      </c>
      <c r="D819" s="24" t="s">
        <v>362</v>
      </c>
      <c r="E819" s="24"/>
      <c r="F819" s="21">
        <f t="shared" ref="F819:G820" si="84">F820</f>
        <v>260</v>
      </c>
      <c r="G819" s="21">
        <f t="shared" si="84"/>
        <v>285</v>
      </c>
    </row>
    <row r="820" spans="1:9" ht="31.5" x14ac:dyDescent="0.25">
      <c r="A820" s="23" t="s">
        <v>997</v>
      </c>
      <c r="B820" s="24" t="s">
        <v>299</v>
      </c>
      <c r="C820" s="24" t="s">
        <v>150</v>
      </c>
      <c r="D820" s="24" t="s">
        <v>1226</v>
      </c>
      <c r="E820" s="24"/>
      <c r="F820" s="21">
        <f t="shared" si="84"/>
        <v>260</v>
      </c>
      <c r="G820" s="21">
        <f t="shared" si="84"/>
        <v>285</v>
      </c>
    </row>
    <row r="821" spans="1:9" ht="31.5" x14ac:dyDescent="0.25">
      <c r="A821" s="25" t="s">
        <v>996</v>
      </c>
      <c r="B821" s="20" t="s">
        <v>299</v>
      </c>
      <c r="C821" s="20" t="s">
        <v>150</v>
      </c>
      <c r="D821" s="20" t="s">
        <v>1227</v>
      </c>
      <c r="E821" s="20"/>
      <c r="F821" s="26">
        <f>F822</f>
        <v>260</v>
      </c>
      <c r="G821" s="26">
        <f>G822</f>
        <v>285</v>
      </c>
    </row>
    <row r="822" spans="1:9" ht="31.5" x14ac:dyDescent="0.25">
      <c r="A822" s="25" t="s">
        <v>131</v>
      </c>
      <c r="B822" s="20" t="s">
        <v>299</v>
      </c>
      <c r="C822" s="20" t="s">
        <v>150</v>
      </c>
      <c r="D822" s="20" t="s">
        <v>1227</v>
      </c>
      <c r="E822" s="20" t="s">
        <v>132</v>
      </c>
      <c r="F822" s="26">
        <f>F823</f>
        <v>260</v>
      </c>
      <c r="G822" s="26">
        <f>G823</f>
        <v>285</v>
      </c>
    </row>
    <row r="823" spans="1:9" ht="47.25" x14ac:dyDescent="0.25">
      <c r="A823" s="25" t="s">
        <v>133</v>
      </c>
      <c r="B823" s="20" t="s">
        <v>299</v>
      </c>
      <c r="C823" s="20" t="s">
        <v>150</v>
      </c>
      <c r="D823" s="20" t="s">
        <v>1227</v>
      </c>
      <c r="E823" s="20" t="s">
        <v>134</v>
      </c>
      <c r="F823" s="26">
        <f>'пр.4.1.ведом.22-23'!G439</f>
        <v>260</v>
      </c>
      <c r="G823" s="26">
        <f>'пр.4.1.ведом.22-23'!H439</f>
        <v>285</v>
      </c>
    </row>
    <row r="824" spans="1:9" s="203" customFormat="1" ht="63" x14ac:dyDescent="0.25">
      <c r="A824" s="34" t="s">
        <v>1447</v>
      </c>
      <c r="B824" s="24" t="s">
        <v>299</v>
      </c>
      <c r="C824" s="24" t="s">
        <v>150</v>
      </c>
      <c r="D824" s="24" t="s">
        <v>324</v>
      </c>
      <c r="E824" s="24"/>
      <c r="F824" s="21">
        <f>F826</f>
        <v>0</v>
      </c>
      <c r="G824" s="21">
        <f>G825</f>
        <v>4</v>
      </c>
    </row>
    <row r="825" spans="1:9" s="203" customFormat="1" ht="63" x14ac:dyDescent="0.25">
      <c r="A825" s="34" t="s">
        <v>1025</v>
      </c>
      <c r="B825" s="24" t="s">
        <v>299</v>
      </c>
      <c r="C825" s="24" t="s">
        <v>150</v>
      </c>
      <c r="D825" s="24" t="s">
        <v>934</v>
      </c>
      <c r="E825" s="24"/>
      <c r="F825" s="21">
        <f>F828</f>
        <v>0</v>
      </c>
      <c r="G825" s="21">
        <f>G826</f>
        <v>4</v>
      </c>
    </row>
    <row r="826" spans="1:9" s="203" customFormat="1" ht="47.25" x14ac:dyDescent="0.25">
      <c r="A826" s="31" t="s">
        <v>1083</v>
      </c>
      <c r="B826" s="20" t="s">
        <v>299</v>
      </c>
      <c r="C826" s="20" t="s">
        <v>150</v>
      </c>
      <c r="D826" s="20" t="s">
        <v>1026</v>
      </c>
      <c r="E826" s="20"/>
      <c r="F826" s="26">
        <f>F827</f>
        <v>0</v>
      </c>
      <c r="G826" s="26">
        <f>G827</f>
        <v>4</v>
      </c>
    </row>
    <row r="827" spans="1:9" s="203" customFormat="1" ht="31.5" x14ac:dyDescent="0.25">
      <c r="A827" s="25" t="s">
        <v>131</v>
      </c>
      <c r="B827" s="20" t="s">
        <v>299</v>
      </c>
      <c r="C827" s="20" t="s">
        <v>150</v>
      </c>
      <c r="D827" s="20" t="s">
        <v>1026</v>
      </c>
      <c r="E827" s="20" t="s">
        <v>132</v>
      </c>
      <c r="F827" s="26">
        <f>F828</f>
        <v>0</v>
      </c>
      <c r="G827" s="26">
        <f>G828</f>
        <v>4</v>
      </c>
    </row>
    <row r="828" spans="1:9" s="203" customFormat="1" ht="47.25" x14ac:dyDescent="0.25">
      <c r="A828" s="25" t="s">
        <v>133</v>
      </c>
      <c r="B828" s="20" t="s">
        <v>299</v>
      </c>
      <c r="C828" s="20" t="s">
        <v>150</v>
      </c>
      <c r="D828" s="20" t="s">
        <v>1026</v>
      </c>
      <c r="E828" s="20" t="s">
        <v>134</v>
      </c>
      <c r="F828" s="26">
        <f>'пр.4.1.ведом.22-23'!G444</f>
        <v>0</v>
      </c>
      <c r="G828" s="26">
        <f>'пр.4.1.ведом.22-23'!H444</f>
        <v>4</v>
      </c>
    </row>
    <row r="829" spans="1:9" ht="15.75" x14ac:dyDescent="0.25">
      <c r="A829" s="23" t="s">
        <v>243</v>
      </c>
      <c r="B829" s="24" t="s">
        <v>244</v>
      </c>
      <c r="C829" s="24"/>
      <c r="D829" s="24"/>
      <c r="E829" s="204"/>
      <c r="F829" s="4">
        <f>F830+F836+F872+F866</f>
        <v>18033.41</v>
      </c>
      <c r="G829" s="4">
        <f>G830+G836+G872+G866</f>
        <v>26348.010000000002</v>
      </c>
      <c r="H829">
        <v>17738.8</v>
      </c>
      <c r="I829" s="22">
        <v>26058.9</v>
      </c>
    </row>
    <row r="830" spans="1:9" ht="15.75" x14ac:dyDescent="0.25">
      <c r="A830" s="23" t="s">
        <v>245</v>
      </c>
      <c r="B830" s="24" t="s">
        <v>244</v>
      </c>
      <c r="C830" s="24" t="s">
        <v>118</v>
      </c>
      <c r="D830" s="24"/>
      <c r="E830" s="24"/>
      <c r="F830" s="4">
        <f t="shared" ref="F830:G832" si="85">F831</f>
        <v>9815.2999999999993</v>
      </c>
      <c r="G830" s="4">
        <f t="shared" si="85"/>
        <v>9815.2999999999993</v>
      </c>
      <c r="H830" s="231">
        <f>H829-F829</f>
        <v>-294.61000000000058</v>
      </c>
      <c r="I830" s="231">
        <f>I829-G829</f>
        <v>-289.11000000000058</v>
      </c>
    </row>
    <row r="831" spans="1:9" ht="15.75" x14ac:dyDescent="0.25">
      <c r="A831" s="23" t="s">
        <v>141</v>
      </c>
      <c r="B831" s="24" t="s">
        <v>244</v>
      </c>
      <c r="C831" s="24" t="s">
        <v>118</v>
      </c>
      <c r="D831" s="24" t="s">
        <v>866</v>
      </c>
      <c r="E831" s="24"/>
      <c r="F831" s="4">
        <f t="shared" si="85"/>
        <v>9815.2999999999993</v>
      </c>
      <c r="G831" s="4">
        <f t="shared" si="85"/>
        <v>9815.2999999999993</v>
      </c>
    </row>
    <row r="832" spans="1:9" ht="31.5" x14ac:dyDescent="0.25">
      <c r="A832" s="23" t="s">
        <v>870</v>
      </c>
      <c r="B832" s="24" t="s">
        <v>244</v>
      </c>
      <c r="C832" s="24" t="s">
        <v>118</v>
      </c>
      <c r="D832" s="24" t="s">
        <v>865</v>
      </c>
      <c r="E832" s="24"/>
      <c r="F832" s="4">
        <f t="shared" si="85"/>
        <v>9815.2999999999993</v>
      </c>
      <c r="G832" s="4">
        <f t="shared" si="85"/>
        <v>9815.2999999999993</v>
      </c>
    </row>
    <row r="833" spans="1:7" ht="15.75" x14ac:dyDescent="0.25">
      <c r="A833" s="25" t="s">
        <v>246</v>
      </c>
      <c r="B833" s="20" t="s">
        <v>244</v>
      </c>
      <c r="C833" s="20" t="s">
        <v>118</v>
      </c>
      <c r="D833" s="20" t="s">
        <v>881</v>
      </c>
      <c r="E833" s="20"/>
      <c r="F833" s="6">
        <f>F834</f>
        <v>9815.2999999999993</v>
      </c>
      <c r="G833" s="6">
        <f>G834</f>
        <v>9815.2999999999993</v>
      </c>
    </row>
    <row r="834" spans="1:7" ht="31.5" x14ac:dyDescent="0.25">
      <c r="A834" s="25" t="s">
        <v>248</v>
      </c>
      <c r="B834" s="20" t="s">
        <v>244</v>
      </c>
      <c r="C834" s="20" t="s">
        <v>118</v>
      </c>
      <c r="D834" s="20" t="s">
        <v>881</v>
      </c>
      <c r="E834" s="20" t="s">
        <v>249</v>
      </c>
      <c r="F834" s="6">
        <f>F835</f>
        <v>9815.2999999999993</v>
      </c>
      <c r="G834" s="6">
        <f>G835</f>
        <v>9815.2999999999993</v>
      </c>
    </row>
    <row r="835" spans="1:7" ht="31.5" x14ac:dyDescent="0.25">
      <c r="A835" s="25" t="s">
        <v>250</v>
      </c>
      <c r="B835" s="20" t="s">
        <v>244</v>
      </c>
      <c r="C835" s="20" t="s">
        <v>118</v>
      </c>
      <c r="D835" s="20" t="s">
        <v>881</v>
      </c>
      <c r="E835" s="20" t="s">
        <v>251</v>
      </c>
      <c r="F835" s="6">
        <f>'пр.4.1.ведом.22-23'!G224</f>
        <v>9815.2999999999993</v>
      </c>
      <c r="G835" s="6">
        <f>'пр.4.1.ведом.22-23'!H224</f>
        <v>9815.2999999999993</v>
      </c>
    </row>
    <row r="836" spans="1:7" ht="15.75" x14ac:dyDescent="0.25">
      <c r="A836" s="23" t="s">
        <v>252</v>
      </c>
      <c r="B836" s="24" t="s">
        <v>244</v>
      </c>
      <c r="C836" s="24" t="s">
        <v>215</v>
      </c>
      <c r="D836" s="24"/>
      <c r="E836" s="24"/>
      <c r="F836" s="4">
        <f>F837+F858</f>
        <v>2011.6100000000001</v>
      </c>
      <c r="G836" s="4">
        <f>G837+G858</f>
        <v>2036.1100000000001</v>
      </c>
    </row>
    <row r="837" spans="1:7" ht="50.25" customHeight="1" x14ac:dyDescent="0.25">
      <c r="A837" s="23" t="s">
        <v>1389</v>
      </c>
      <c r="B837" s="24" t="s">
        <v>244</v>
      </c>
      <c r="C837" s="24" t="s">
        <v>215</v>
      </c>
      <c r="D837" s="24" t="s">
        <v>344</v>
      </c>
      <c r="E837" s="24"/>
      <c r="F837" s="4">
        <f>F838+F843</f>
        <v>2001.6100000000001</v>
      </c>
      <c r="G837" s="4">
        <f>G838+G843</f>
        <v>2026.1100000000001</v>
      </c>
    </row>
    <row r="838" spans="1:7" ht="31.5" x14ac:dyDescent="0.25">
      <c r="A838" s="23" t="s">
        <v>352</v>
      </c>
      <c r="B838" s="24" t="s">
        <v>244</v>
      </c>
      <c r="C838" s="24" t="s">
        <v>215</v>
      </c>
      <c r="D838" s="24" t="s">
        <v>353</v>
      </c>
      <c r="E838" s="24"/>
      <c r="F838" s="21">
        <f t="shared" ref="F838:G841" si="86">F839</f>
        <v>294.61</v>
      </c>
      <c r="G838" s="21">
        <f t="shared" si="86"/>
        <v>289.11</v>
      </c>
    </row>
    <row r="839" spans="1:7" ht="31.5" x14ac:dyDescent="0.25">
      <c r="A839" s="23" t="s">
        <v>905</v>
      </c>
      <c r="B839" s="24" t="s">
        <v>244</v>
      </c>
      <c r="C839" s="24" t="s">
        <v>215</v>
      </c>
      <c r="D839" s="24" t="s">
        <v>904</v>
      </c>
      <c r="E839" s="24"/>
      <c r="F839" s="21">
        <f t="shared" si="86"/>
        <v>294.61</v>
      </c>
      <c r="G839" s="21">
        <f t="shared" si="86"/>
        <v>289.11</v>
      </c>
    </row>
    <row r="840" spans="1:7" ht="31.5" x14ac:dyDescent="0.25">
      <c r="A840" s="25" t="s">
        <v>824</v>
      </c>
      <c r="B840" s="20" t="s">
        <v>244</v>
      </c>
      <c r="C840" s="20" t="s">
        <v>215</v>
      </c>
      <c r="D840" s="20" t="s">
        <v>906</v>
      </c>
      <c r="E840" s="20"/>
      <c r="F840" s="26">
        <f t="shared" si="86"/>
        <v>294.61</v>
      </c>
      <c r="G840" s="26">
        <f t="shared" si="86"/>
        <v>289.11</v>
      </c>
    </row>
    <row r="841" spans="1:7" ht="31.5" x14ac:dyDescent="0.25">
      <c r="A841" s="25" t="s">
        <v>248</v>
      </c>
      <c r="B841" s="20" t="s">
        <v>244</v>
      </c>
      <c r="C841" s="20" t="s">
        <v>215</v>
      </c>
      <c r="D841" s="20" t="s">
        <v>906</v>
      </c>
      <c r="E841" s="20" t="s">
        <v>249</v>
      </c>
      <c r="F841" s="26">
        <f>F842</f>
        <v>294.61</v>
      </c>
      <c r="G841" s="26">
        <f t="shared" si="86"/>
        <v>289.11</v>
      </c>
    </row>
    <row r="842" spans="1:7" ht="31.5" x14ac:dyDescent="0.25">
      <c r="A842" s="25" t="s">
        <v>250</v>
      </c>
      <c r="B842" s="20" t="s">
        <v>244</v>
      </c>
      <c r="C842" s="20" t="s">
        <v>215</v>
      </c>
      <c r="D842" s="20" t="s">
        <v>906</v>
      </c>
      <c r="E842" s="20" t="s">
        <v>251</v>
      </c>
      <c r="F842" s="26">
        <f>'пр.4.1.ведом.22-23'!G452</f>
        <v>294.61</v>
      </c>
      <c r="G842" s="26">
        <f>'пр.4.1.ведом.22-23'!H452</f>
        <v>289.11</v>
      </c>
    </row>
    <row r="843" spans="1:7" ht="47.25" x14ac:dyDescent="0.25">
      <c r="A843" s="23" t="s">
        <v>355</v>
      </c>
      <c r="B843" s="19">
        <v>10</v>
      </c>
      <c r="C843" s="24" t="s">
        <v>215</v>
      </c>
      <c r="D843" s="24" t="s">
        <v>362</v>
      </c>
      <c r="E843" s="24"/>
      <c r="F843" s="21">
        <f>F845+F848+F854</f>
        <v>1707</v>
      </c>
      <c r="G843" s="21">
        <f>G845+G848+G854</f>
        <v>1737</v>
      </c>
    </row>
    <row r="844" spans="1:7" ht="31.5" x14ac:dyDescent="0.25">
      <c r="A844" s="23" t="s">
        <v>1040</v>
      </c>
      <c r="B844" s="19">
        <v>10</v>
      </c>
      <c r="C844" s="24" t="s">
        <v>215</v>
      </c>
      <c r="D844" s="24" t="s">
        <v>913</v>
      </c>
      <c r="E844" s="24"/>
      <c r="F844" s="21">
        <f t="shared" ref="F844:G846" si="87">F845</f>
        <v>630</v>
      </c>
      <c r="G844" s="21">
        <f t="shared" si="87"/>
        <v>630</v>
      </c>
    </row>
    <row r="845" spans="1:7" ht="47.25" x14ac:dyDescent="0.25">
      <c r="A845" s="98" t="s">
        <v>1041</v>
      </c>
      <c r="B845" s="20" t="s">
        <v>244</v>
      </c>
      <c r="C845" s="20" t="s">
        <v>215</v>
      </c>
      <c r="D845" s="20" t="s">
        <v>1229</v>
      </c>
      <c r="E845" s="20"/>
      <c r="F845" s="26">
        <f t="shared" si="87"/>
        <v>630</v>
      </c>
      <c r="G845" s="26">
        <f t="shared" si="87"/>
        <v>630</v>
      </c>
    </row>
    <row r="846" spans="1:7" ht="31.5" x14ac:dyDescent="0.25">
      <c r="A846" s="25" t="s">
        <v>248</v>
      </c>
      <c r="B846" s="20" t="s">
        <v>244</v>
      </c>
      <c r="C846" s="20" t="s">
        <v>215</v>
      </c>
      <c r="D846" s="20" t="s">
        <v>1229</v>
      </c>
      <c r="E846" s="20" t="s">
        <v>249</v>
      </c>
      <c r="F846" s="26">
        <f t="shared" si="87"/>
        <v>630</v>
      </c>
      <c r="G846" s="26">
        <f t="shared" si="87"/>
        <v>630</v>
      </c>
    </row>
    <row r="847" spans="1:7" ht="31.5" x14ac:dyDescent="0.25">
      <c r="A847" s="25" t="s">
        <v>348</v>
      </c>
      <c r="B847" s="20" t="s">
        <v>244</v>
      </c>
      <c r="C847" s="20" t="s">
        <v>215</v>
      </c>
      <c r="D847" s="20" t="s">
        <v>1229</v>
      </c>
      <c r="E847" s="20" t="s">
        <v>349</v>
      </c>
      <c r="F847" s="26">
        <f>'пр.4.1.ведом.22-23'!G457</f>
        <v>630</v>
      </c>
      <c r="G847" s="26">
        <f>'пр.4.1.ведом.22-23'!H457</f>
        <v>630</v>
      </c>
    </row>
    <row r="848" spans="1:7" ht="31.5" x14ac:dyDescent="0.25">
      <c r="A848" s="23" t="s">
        <v>1233</v>
      </c>
      <c r="B848" s="19">
        <v>10</v>
      </c>
      <c r="C848" s="24" t="s">
        <v>215</v>
      </c>
      <c r="D848" s="24" t="s">
        <v>1231</v>
      </c>
      <c r="E848" s="24"/>
      <c r="F848" s="21">
        <f>F849+F852</f>
        <v>657</v>
      </c>
      <c r="G848" s="21">
        <f>G849+G852</f>
        <v>657</v>
      </c>
    </row>
    <row r="849" spans="1:7" ht="31.5" x14ac:dyDescent="0.25">
      <c r="A849" s="25" t="s">
        <v>1230</v>
      </c>
      <c r="B849" s="20" t="s">
        <v>244</v>
      </c>
      <c r="C849" s="20" t="s">
        <v>215</v>
      </c>
      <c r="D849" s="20" t="s">
        <v>1232</v>
      </c>
      <c r="E849" s="20"/>
      <c r="F849" s="26">
        <f>F850</f>
        <v>400</v>
      </c>
      <c r="G849" s="26">
        <f>G850</f>
        <v>400</v>
      </c>
    </row>
    <row r="850" spans="1:7" ht="31.5" x14ac:dyDescent="0.25">
      <c r="A850" s="25" t="s">
        <v>131</v>
      </c>
      <c r="B850" s="20" t="s">
        <v>244</v>
      </c>
      <c r="C850" s="20" t="s">
        <v>215</v>
      </c>
      <c r="D850" s="20" t="s">
        <v>1232</v>
      </c>
      <c r="E850" s="20" t="s">
        <v>132</v>
      </c>
      <c r="F850" s="26">
        <f>F851</f>
        <v>400</v>
      </c>
      <c r="G850" s="26">
        <f>G851</f>
        <v>400</v>
      </c>
    </row>
    <row r="851" spans="1:7" ht="47.25" x14ac:dyDescent="0.25">
      <c r="A851" s="25" t="s">
        <v>133</v>
      </c>
      <c r="B851" s="20" t="s">
        <v>244</v>
      </c>
      <c r="C851" s="20" t="s">
        <v>215</v>
      </c>
      <c r="D851" s="20" t="s">
        <v>1232</v>
      </c>
      <c r="E851" s="20" t="s">
        <v>134</v>
      </c>
      <c r="F851" s="26">
        <f>'пр.4.1.ведом.22-23'!G461</f>
        <v>400</v>
      </c>
      <c r="G851" s="26">
        <f>'пр.4.1.ведом.22-23'!H461</f>
        <v>400</v>
      </c>
    </row>
    <row r="852" spans="1:7" s="203" customFormat="1" ht="31.5" x14ac:dyDescent="0.25">
      <c r="A852" s="25" t="s">
        <v>248</v>
      </c>
      <c r="B852" s="20" t="s">
        <v>244</v>
      </c>
      <c r="C852" s="20" t="s">
        <v>215</v>
      </c>
      <c r="D852" s="20" t="s">
        <v>1232</v>
      </c>
      <c r="E852" s="20" t="s">
        <v>249</v>
      </c>
      <c r="F852" s="26">
        <f>F853</f>
        <v>257</v>
      </c>
      <c r="G852" s="26">
        <f>G853</f>
        <v>257</v>
      </c>
    </row>
    <row r="853" spans="1:7" s="203" customFormat="1" ht="31.5" x14ac:dyDescent="0.25">
      <c r="A853" s="25" t="s">
        <v>348</v>
      </c>
      <c r="B853" s="20" t="s">
        <v>244</v>
      </c>
      <c r="C853" s="20" t="s">
        <v>215</v>
      </c>
      <c r="D853" s="20" t="s">
        <v>1232</v>
      </c>
      <c r="E853" s="20" t="s">
        <v>349</v>
      </c>
      <c r="F853" s="26">
        <f>'пр.4.1.ведом.22-23'!G463</f>
        <v>257</v>
      </c>
      <c r="G853" s="26">
        <f>'пр.4.1.ведом.22-23'!H463</f>
        <v>257</v>
      </c>
    </row>
    <row r="854" spans="1:7" ht="31.5" x14ac:dyDescent="0.25">
      <c r="A854" s="23" t="s">
        <v>997</v>
      </c>
      <c r="B854" s="19">
        <v>10</v>
      </c>
      <c r="C854" s="24" t="s">
        <v>215</v>
      </c>
      <c r="D854" s="24" t="s">
        <v>1226</v>
      </c>
      <c r="E854" s="24"/>
      <c r="F854" s="21">
        <f>F855</f>
        <v>420</v>
      </c>
      <c r="G854" s="21">
        <f t="shared" ref="G854:G856" si="88">G855</f>
        <v>450</v>
      </c>
    </row>
    <row r="855" spans="1:7" ht="22.7" customHeight="1" x14ac:dyDescent="0.25">
      <c r="A855" s="25" t="s">
        <v>1038</v>
      </c>
      <c r="B855" s="20" t="s">
        <v>244</v>
      </c>
      <c r="C855" s="20" t="s">
        <v>215</v>
      </c>
      <c r="D855" s="20" t="s">
        <v>1228</v>
      </c>
      <c r="E855" s="20"/>
      <c r="F855" s="26">
        <f>F856</f>
        <v>420</v>
      </c>
      <c r="G855" s="26">
        <f t="shared" si="88"/>
        <v>450</v>
      </c>
    </row>
    <row r="856" spans="1:7" ht="31.5" x14ac:dyDescent="0.25">
      <c r="A856" s="25" t="s">
        <v>248</v>
      </c>
      <c r="B856" s="20" t="s">
        <v>244</v>
      </c>
      <c r="C856" s="20" t="s">
        <v>215</v>
      </c>
      <c r="D856" s="20" t="s">
        <v>1228</v>
      </c>
      <c r="E856" s="20" t="s">
        <v>249</v>
      </c>
      <c r="F856" s="26">
        <f>F857</f>
        <v>420</v>
      </c>
      <c r="G856" s="26">
        <f t="shared" si="88"/>
        <v>450</v>
      </c>
    </row>
    <row r="857" spans="1:7" ht="31.5" x14ac:dyDescent="0.25">
      <c r="A857" s="25" t="s">
        <v>348</v>
      </c>
      <c r="B857" s="20" t="s">
        <v>244</v>
      </c>
      <c r="C857" s="20" t="s">
        <v>215</v>
      </c>
      <c r="D857" s="20" t="s">
        <v>1228</v>
      </c>
      <c r="E857" s="20" t="s">
        <v>349</v>
      </c>
      <c r="F857" s="26">
        <f>'пр.4.1.ведом.22-23'!G467</f>
        <v>420</v>
      </c>
      <c r="G857" s="26">
        <f>'пр.4.1.ведом.22-23'!H467</f>
        <v>450</v>
      </c>
    </row>
    <row r="858" spans="1:7" ht="63" x14ac:dyDescent="0.25">
      <c r="A858" s="23" t="s">
        <v>1357</v>
      </c>
      <c r="B858" s="24" t="s">
        <v>244</v>
      </c>
      <c r="C858" s="24" t="s">
        <v>215</v>
      </c>
      <c r="D858" s="24" t="s">
        <v>254</v>
      </c>
      <c r="E858" s="24"/>
      <c r="F858" s="4">
        <f t="shared" ref="F858:G858" si="89">F859</f>
        <v>10</v>
      </c>
      <c r="G858" s="4">
        <f t="shared" si="89"/>
        <v>10</v>
      </c>
    </row>
    <row r="859" spans="1:7" ht="53.45" customHeight="1" x14ac:dyDescent="0.25">
      <c r="A859" s="23" t="s">
        <v>884</v>
      </c>
      <c r="B859" s="24" t="s">
        <v>244</v>
      </c>
      <c r="C859" s="24" t="s">
        <v>215</v>
      </c>
      <c r="D859" s="24" t="s">
        <v>882</v>
      </c>
      <c r="E859" s="24"/>
      <c r="F859" s="4">
        <f>F860+F863</f>
        <v>10</v>
      </c>
      <c r="G859" s="4">
        <f>G860+G863</f>
        <v>10</v>
      </c>
    </row>
    <row r="860" spans="1:7" ht="31.5" x14ac:dyDescent="0.25">
      <c r="A860" s="25" t="s">
        <v>883</v>
      </c>
      <c r="B860" s="20" t="s">
        <v>244</v>
      </c>
      <c r="C860" s="20" t="s">
        <v>215</v>
      </c>
      <c r="D860" s="20" t="s">
        <v>1193</v>
      </c>
      <c r="E860" s="20"/>
      <c r="F860" s="6">
        <f>F861</f>
        <v>10</v>
      </c>
      <c r="G860" s="6">
        <f>G861</f>
        <v>10</v>
      </c>
    </row>
    <row r="861" spans="1:7" ht="31.5" x14ac:dyDescent="0.25">
      <c r="A861" s="25" t="s">
        <v>248</v>
      </c>
      <c r="B861" s="20" t="s">
        <v>244</v>
      </c>
      <c r="C861" s="20" t="s">
        <v>215</v>
      </c>
      <c r="D861" s="20" t="s">
        <v>1193</v>
      </c>
      <c r="E861" s="20" t="s">
        <v>249</v>
      </c>
      <c r="F861" s="6">
        <f>F862</f>
        <v>10</v>
      </c>
      <c r="G861" s="6">
        <f>G862</f>
        <v>10</v>
      </c>
    </row>
    <row r="862" spans="1:7" ht="31.5" x14ac:dyDescent="0.25">
      <c r="A862" s="25" t="s">
        <v>250</v>
      </c>
      <c r="B862" s="20" t="s">
        <v>244</v>
      </c>
      <c r="C862" s="20" t="s">
        <v>215</v>
      </c>
      <c r="D862" s="20" t="s">
        <v>1193</v>
      </c>
      <c r="E862" s="20" t="s">
        <v>251</v>
      </c>
      <c r="F862" s="6">
        <f>'пр.4.1.ведом.22-23'!G230</f>
        <v>10</v>
      </c>
      <c r="G862" s="6">
        <f>'пр.4.1.ведом.22-23'!H230</f>
        <v>10</v>
      </c>
    </row>
    <row r="863" spans="1:7" s="203" customFormat="1" ht="63" hidden="1" x14ac:dyDescent="0.25">
      <c r="A863" s="25" t="s">
        <v>1181</v>
      </c>
      <c r="B863" s="20" t="s">
        <v>244</v>
      </c>
      <c r="C863" s="20" t="s">
        <v>215</v>
      </c>
      <c r="D863" s="20" t="s">
        <v>1180</v>
      </c>
      <c r="E863" s="20"/>
      <c r="F863" s="26">
        <f>F864</f>
        <v>0</v>
      </c>
      <c r="G863" s="26">
        <f>G864</f>
        <v>0</v>
      </c>
    </row>
    <row r="864" spans="1:7" s="203" customFormat="1" ht="31.5" hidden="1" x14ac:dyDescent="0.25">
      <c r="A864" s="25" t="s">
        <v>248</v>
      </c>
      <c r="B864" s="20" t="s">
        <v>244</v>
      </c>
      <c r="C864" s="20" t="s">
        <v>215</v>
      </c>
      <c r="D864" s="20" t="s">
        <v>1180</v>
      </c>
      <c r="E864" s="20" t="s">
        <v>249</v>
      </c>
      <c r="F864" s="26">
        <f>F865</f>
        <v>0</v>
      </c>
      <c r="G864" s="26">
        <f>G865</f>
        <v>0</v>
      </c>
    </row>
    <row r="865" spans="1:7" s="203" customFormat="1" ht="31.5" hidden="1" x14ac:dyDescent="0.25">
      <c r="A865" s="25" t="s">
        <v>250</v>
      </c>
      <c r="B865" s="20" t="s">
        <v>244</v>
      </c>
      <c r="C865" s="20" t="s">
        <v>215</v>
      </c>
      <c r="D865" s="20" t="s">
        <v>1180</v>
      </c>
      <c r="E865" s="20" t="s">
        <v>251</v>
      </c>
      <c r="F865" s="26">
        <f>'пр.4.1.ведом.22-23'!G233</f>
        <v>0</v>
      </c>
      <c r="G865" s="26">
        <f>'пр.4.1.ведом.22-23'!H233</f>
        <v>0</v>
      </c>
    </row>
    <row r="866" spans="1:7" s="203" customFormat="1" ht="15.75" x14ac:dyDescent="0.25">
      <c r="A866" s="23" t="s">
        <v>243</v>
      </c>
      <c r="B866" s="24" t="s">
        <v>244</v>
      </c>
      <c r="C866" s="20"/>
      <c r="D866" s="20"/>
      <c r="E866" s="20"/>
      <c r="F866" s="21">
        <f t="shared" ref="F866:G870" si="90">F867</f>
        <v>2469.1</v>
      </c>
      <c r="G866" s="21">
        <f t="shared" si="90"/>
        <v>10803.2</v>
      </c>
    </row>
    <row r="867" spans="1:7" s="203" customFormat="1" ht="15.75" x14ac:dyDescent="0.25">
      <c r="A867" s="23" t="s">
        <v>400</v>
      </c>
      <c r="B867" s="24" t="s">
        <v>244</v>
      </c>
      <c r="C867" s="24" t="s">
        <v>150</v>
      </c>
      <c r="D867" s="20"/>
      <c r="E867" s="20"/>
      <c r="F867" s="21">
        <f t="shared" si="90"/>
        <v>2469.1</v>
      </c>
      <c r="G867" s="21">
        <f t="shared" si="90"/>
        <v>10803.2</v>
      </c>
    </row>
    <row r="868" spans="1:7" s="203" customFormat="1" ht="47.25" x14ac:dyDescent="0.25">
      <c r="A868" s="23" t="s">
        <v>885</v>
      </c>
      <c r="B868" s="24" t="s">
        <v>244</v>
      </c>
      <c r="C868" s="24" t="s">
        <v>150</v>
      </c>
      <c r="D868" s="24" t="s">
        <v>863</v>
      </c>
      <c r="E868" s="20"/>
      <c r="F868" s="21">
        <f t="shared" si="90"/>
        <v>2469.1</v>
      </c>
      <c r="G868" s="21">
        <f t="shared" si="90"/>
        <v>10803.2</v>
      </c>
    </row>
    <row r="869" spans="1:7" s="203" customFormat="1" ht="47.25" x14ac:dyDescent="0.25">
      <c r="A869" s="25" t="s">
        <v>1176</v>
      </c>
      <c r="B869" s="20" t="s">
        <v>244</v>
      </c>
      <c r="C869" s="20" t="s">
        <v>150</v>
      </c>
      <c r="D869" s="20" t="s">
        <v>1175</v>
      </c>
      <c r="E869" s="20"/>
      <c r="F869" s="26">
        <f t="shared" si="90"/>
        <v>2469.1</v>
      </c>
      <c r="G869" s="26">
        <f t="shared" si="90"/>
        <v>10803.2</v>
      </c>
    </row>
    <row r="870" spans="1:7" s="203" customFormat="1" ht="31.5" x14ac:dyDescent="0.25">
      <c r="A870" s="25" t="s">
        <v>131</v>
      </c>
      <c r="B870" s="20" t="s">
        <v>244</v>
      </c>
      <c r="C870" s="20" t="s">
        <v>150</v>
      </c>
      <c r="D870" s="20" t="s">
        <v>1175</v>
      </c>
      <c r="E870" s="20" t="s">
        <v>132</v>
      </c>
      <c r="F870" s="26">
        <f t="shared" si="90"/>
        <v>2469.1</v>
      </c>
      <c r="G870" s="26">
        <f t="shared" si="90"/>
        <v>10803.2</v>
      </c>
    </row>
    <row r="871" spans="1:7" s="203" customFormat="1" ht="47.25" x14ac:dyDescent="0.25">
      <c r="A871" s="25" t="s">
        <v>133</v>
      </c>
      <c r="B871" s="20" t="s">
        <v>244</v>
      </c>
      <c r="C871" s="20" t="s">
        <v>150</v>
      </c>
      <c r="D871" s="20" t="s">
        <v>1175</v>
      </c>
      <c r="E871" s="20" t="s">
        <v>134</v>
      </c>
      <c r="F871" s="26">
        <f>'пр.4.1.ведом.22-23'!G536</f>
        <v>2469.1</v>
      </c>
      <c r="G871" s="26">
        <f>'пр.4.1.ведом.22-23'!H536</f>
        <v>10803.2</v>
      </c>
    </row>
    <row r="872" spans="1:7" ht="31.5" x14ac:dyDescent="0.25">
      <c r="A872" s="23" t="s">
        <v>258</v>
      </c>
      <c r="B872" s="24" t="s">
        <v>244</v>
      </c>
      <c r="C872" s="24" t="s">
        <v>120</v>
      </c>
      <c r="D872" s="24"/>
      <c r="E872" s="24"/>
      <c r="F872" s="4">
        <f>F873+F880</f>
        <v>3737.4</v>
      </c>
      <c r="G872" s="4">
        <f>G873+G880</f>
        <v>3693.4</v>
      </c>
    </row>
    <row r="873" spans="1:7" ht="31.5" x14ac:dyDescent="0.25">
      <c r="A873" s="23" t="s">
        <v>917</v>
      </c>
      <c r="B873" s="24" t="s">
        <v>244</v>
      </c>
      <c r="C873" s="24" t="s">
        <v>120</v>
      </c>
      <c r="D873" s="24" t="s">
        <v>858</v>
      </c>
      <c r="E873" s="24"/>
      <c r="F873" s="4">
        <f>F874</f>
        <v>3650.4</v>
      </c>
      <c r="G873" s="4">
        <f>G874</f>
        <v>3606.4</v>
      </c>
    </row>
    <row r="874" spans="1:7" ht="47.25" x14ac:dyDescent="0.25">
      <c r="A874" s="23" t="s">
        <v>885</v>
      </c>
      <c r="B874" s="24" t="s">
        <v>244</v>
      </c>
      <c r="C874" s="24" t="s">
        <v>120</v>
      </c>
      <c r="D874" s="24" t="s">
        <v>863</v>
      </c>
      <c r="E874" s="24"/>
      <c r="F874" s="4">
        <f>F875</f>
        <v>3650.4</v>
      </c>
      <c r="G874" s="4">
        <f>G875</f>
        <v>3606.4</v>
      </c>
    </row>
    <row r="875" spans="1:7" ht="47.25" x14ac:dyDescent="0.25">
      <c r="A875" s="31" t="s">
        <v>259</v>
      </c>
      <c r="B875" s="20" t="s">
        <v>244</v>
      </c>
      <c r="C875" s="20" t="s">
        <v>120</v>
      </c>
      <c r="D875" s="20" t="s">
        <v>925</v>
      </c>
      <c r="E875" s="20"/>
      <c r="F875" s="6">
        <f>F876+F878</f>
        <v>3650.4</v>
      </c>
      <c r="G875" s="6">
        <f>G876+G878</f>
        <v>3606.4</v>
      </c>
    </row>
    <row r="876" spans="1:7" ht="94.5" x14ac:dyDescent="0.25">
      <c r="A876" s="25" t="s">
        <v>127</v>
      </c>
      <c r="B876" s="20" t="s">
        <v>244</v>
      </c>
      <c r="C876" s="20" t="s">
        <v>120</v>
      </c>
      <c r="D876" s="20" t="s">
        <v>925</v>
      </c>
      <c r="E876" s="20" t="s">
        <v>128</v>
      </c>
      <c r="F876" s="6">
        <f>F877</f>
        <v>3249.8</v>
      </c>
      <c r="G876" s="6">
        <f>G877</f>
        <v>3205.8</v>
      </c>
    </row>
    <row r="877" spans="1:7" ht="31.5" x14ac:dyDescent="0.25">
      <c r="A877" s="25" t="s">
        <v>129</v>
      </c>
      <c r="B877" s="20" t="s">
        <v>244</v>
      </c>
      <c r="C877" s="20" t="s">
        <v>120</v>
      </c>
      <c r="D877" s="20" t="s">
        <v>925</v>
      </c>
      <c r="E877" s="20" t="s">
        <v>130</v>
      </c>
      <c r="F877" s="6">
        <f>'пр.4.1.ведом.22-23'!G239</f>
        <v>3249.8</v>
      </c>
      <c r="G877" s="6">
        <f>'пр.4.1.ведом.22-23'!H239</f>
        <v>3205.8</v>
      </c>
    </row>
    <row r="878" spans="1:7" ht="31.5" x14ac:dyDescent="0.25">
      <c r="A878" s="25" t="s">
        <v>131</v>
      </c>
      <c r="B878" s="20" t="s">
        <v>244</v>
      </c>
      <c r="C878" s="20" t="s">
        <v>120</v>
      </c>
      <c r="D878" s="20" t="s">
        <v>925</v>
      </c>
      <c r="E878" s="20" t="s">
        <v>132</v>
      </c>
      <c r="F878" s="6">
        <f>F879</f>
        <v>400.6</v>
      </c>
      <c r="G878" s="6">
        <f>G879</f>
        <v>400.6</v>
      </c>
    </row>
    <row r="879" spans="1:7" ht="47.25" x14ac:dyDescent="0.25">
      <c r="A879" s="25" t="s">
        <v>133</v>
      </c>
      <c r="B879" s="20" t="s">
        <v>244</v>
      </c>
      <c r="C879" s="20" t="s">
        <v>120</v>
      </c>
      <c r="D879" s="20" t="s">
        <v>925</v>
      </c>
      <c r="E879" s="20" t="s">
        <v>134</v>
      </c>
      <c r="F879" s="6">
        <f>'пр.4.1.ведом.22-23'!G241</f>
        <v>400.6</v>
      </c>
      <c r="G879" s="6">
        <f>'пр.4.1.ведом.22-23'!H241</f>
        <v>400.6</v>
      </c>
    </row>
    <row r="880" spans="1:7" ht="15.75" x14ac:dyDescent="0.25">
      <c r="A880" s="23" t="s">
        <v>141</v>
      </c>
      <c r="B880" s="24" t="s">
        <v>244</v>
      </c>
      <c r="C880" s="24" t="s">
        <v>120</v>
      </c>
      <c r="D880" s="24" t="s">
        <v>866</v>
      </c>
      <c r="E880" s="24"/>
      <c r="F880" s="4">
        <f t="shared" ref="F880:G883" si="91">F881</f>
        <v>87</v>
      </c>
      <c r="G880" s="4">
        <f t="shared" si="91"/>
        <v>87</v>
      </c>
    </row>
    <row r="881" spans="1:7" ht="31.5" x14ac:dyDescent="0.25">
      <c r="A881" s="23" t="s">
        <v>870</v>
      </c>
      <c r="B881" s="24" t="s">
        <v>244</v>
      </c>
      <c r="C881" s="24" t="s">
        <v>120</v>
      </c>
      <c r="D881" s="24" t="s">
        <v>865</v>
      </c>
      <c r="E881" s="24"/>
      <c r="F881" s="4">
        <f t="shared" si="91"/>
        <v>87</v>
      </c>
      <c r="G881" s="4">
        <f t="shared" si="91"/>
        <v>87</v>
      </c>
    </row>
    <row r="882" spans="1:7" ht="15.75" x14ac:dyDescent="0.25">
      <c r="A882" s="25" t="s">
        <v>572</v>
      </c>
      <c r="B882" s="20" t="s">
        <v>244</v>
      </c>
      <c r="C882" s="20" t="s">
        <v>120</v>
      </c>
      <c r="D882" s="20" t="s">
        <v>985</v>
      </c>
      <c r="E882" s="20"/>
      <c r="F882" s="6">
        <f t="shared" si="91"/>
        <v>87</v>
      </c>
      <c r="G882" s="6">
        <f t="shared" si="91"/>
        <v>87</v>
      </c>
    </row>
    <row r="883" spans="1:7" ht="31.5" x14ac:dyDescent="0.25">
      <c r="A883" s="25" t="s">
        <v>131</v>
      </c>
      <c r="B883" s="20" t="s">
        <v>244</v>
      </c>
      <c r="C883" s="20" t="s">
        <v>120</v>
      </c>
      <c r="D883" s="20" t="s">
        <v>985</v>
      </c>
      <c r="E883" s="20" t="s">
        <v>132</v>
      </c>
      <c r="F883" s="6">
        <f t="shared" si="91"/>
        <v>87</v>
      </c>
      <c r="G883" s="6">
        <f t="shared" si="91"/>
        <v>87</v>
      </c>
    </row>
    <row r="884" spans="1:7" ht="47.25" x14ac:dyDescent="0.25">
      <c r="A884" s="25" t="s">
        <v>133</v>
      </c>
      <c r="B884" s="20" t="s">
        <v>244</v>
      </c>
      <c r="C884" s="20" t="s">
        <v>120</v>
      </c>
      <c r="D884" s="20" t="s">
        <v>985</v>
      </c>
      <c r="E884" s="20" t="s">
        <v>134</v>
      </c>
      <c r="F884" s="6">
        <f>'пр.4.1.ведом.22-23'!G1045</f>
        <v>87</v>
      </c>
      <c r="G884" s="6">
        <f>'пр.4.1.ведом.22-23'!H1045</f>
        <v>87</v>
      </c>
    </row>
    <row r="885" spans="1:7" ht="15.75" x14ac:dyDescent="0.25">
      <c r="A885" s="41" t="s">
        <v>490</v>
      </c>
      <c r="B885" s="7" t="s">
        <v>491</v>
      </c>
      <c r="C885" s="40"/>
      <c r="D885" s="40"/>
      <c r="E885" s="40"/>
      <c r="F885" s="4">
        <f>F886+F923</f>
        <v>63981.399999999994</v>
      </c>
      <c r="G885" s="4">
        <f>G886+G923</f>
        <v>64012.600000000006</v>
      </c>
    </row>
    <row r="886" spans="1:7" ht="15.75" x14ac:dyDescent="0.25">
      <c r="A886" s="23" t="s">
        <v>492</v>
      </c>
      <c r="B886" s="24" t="s">
        <v>491</v>
      </c>
      <c r="C886" s="24" t="s">
        <v>118</v>
      </c>
      <c r="D886" s="20"/>
      <c r="E886" s="20"/>
      <c r="F886" s="4">
        <f>F887+F918+F913</f>
        <v>50452.2</v>
      </c>
      <c r="G886" s="4">
        <f>G887+G918+G913</f>
        <v>50483.4</v>
      </c>
    </row>
    <row r="887" spans="1:7" ht="47.25" x14ac:dyDescent="0.25">
      <c r="A887" s="23" t="s">
        <v>1380</v>
      </c>
      <c r="B887" s="24" t="s">
        <v>491</v>
      </c>
      <c r="C887" s="24" t="s">
        <v>118</v>
      </c>
      <c r="D887" s="24" t="s">
        <v>482</v>
      </c>
      <c r="E887" s="24"/>
      <c r="F887" s="4">
        <f>F888+F892+F902+F909</f>
        <v>49873.1</v>
      </c>
      <c r="G887" s="4">
        <f>G888+G892+G902+G909</f>
        <v>49873.1</v>
      </c>
    </row>
    <row r="888" spans="1:7" ht="47.25" x14ac:dyDescent="0.25">
      <c r="A888" s="23" t="s">
        <v>937</v>
      </c>
      <c r="B888" s="24" t="s">
        <v>491</v>
      </c>
      <c r="C888" s="24" t="s">
        <v>118</v>
      </c>
      <c r="D888" s="24" t="s">
        <v>1268</v>
      </c>
      <c r="E888" s="24"/>
      <c r="F888" s="4">
        <f t="shared" ref="F888:G890" si="92">F889</f>
        <v>47819.6</v>
      </c>
      <c r="G888" s="4">
        <f t="shared" si="92"/>
        <v>47819.6</v>
      </c>
    </row>
    <row r="889" spans="1:7" ht="47.25" x14ac:dyDescent="0.25">
      <c r="A889" s="25" t="s">
        <v>1298</v>
      </c>
      <c r="B889" s="20" t="s">
        <v>491</v>
      </c>
      <c r="C889" s="20" t="s">
        <v>118</v>
      </c>
      <c r="D889" s="20" t="s">
        <v>1269</v>
      </c>
      <c r="E889" s="20"/>
      <c r="F889" s="6">
        <f t="shared" si="92"/>
        <v>47819.6</v>
      </c>
      <c r="G889" s="6">
        <f t="shared" si="92"/>
        <v>47819.6</v>
      </c>
    </row>
    <row r="890" spans="1:7" ht="47.25" x14ac:dyDescent="0.25">
      <c r="A890" s="25" t="s">
        <v>272</v>
      </c>
      <c r="B890" s="20" t="s">
        <v>491</v>
      </c>
      <c r="C890" s="20" t="s">
        <v>118</v>
      </c>
      <c r="D890" s="20" t="s">
        <v>1269</v>
      </c>
      <c r="E890" s="20" t="s">
        <v>273</v>
      </c>
      <c r="F890" s="6">
        <f t="shared" si="92"/>
        <v>47819.6</v>
      </c>
      <c r="G890" s="6">
        <f t="shared" si="92"/>
        <v>47819.6</v>
      </c>
    </row>
    <row r="891" spans="1:7" ht="15.75" x14ac:dyDescent="0.25">
      <c r="A891" s="25" t="s">
        <v>274</v>
      </c>
      <c r="B891" s="20" t="s">
        <v>491</v>
      </c>
      <c r="C891" s="20" t="s">
        <v>118</v>
      </c>
      <c r="D891" s="20" t="s">
        <v>1269</v>
      </c>
      <c r="E891" s="20" t="s">
        <v>275</v>
      </c>
      <c r="F891" s="6">
        <f>'пр.4.1.ведом.22-23'!G770</f>
        <v>47819.6</v>
      </c>
      <c r="G891" s="6">
        <f>'пр.4.1.ведом.22-23'!H770</f>
        <v>47819.6</v>
      </c>
    </row>
    <row r="892" spans="1:7" ht="31.5" x14ac:dyDescent="0.25">
      <c r="A892" s="23" t="s">
        <v>945</v>
      </c>
      <c r="B892" s="24" t="s">
        <v>491</v>
      </c>
      <c r="C892" s="24" t="s">
        <v>118</v>
      </c>
      <c r="D892" s="24" t="s">
        <v>1270</v>
      </c>
      <c r="E892" s="24"/>
      <c r="F892" s="4">
        <f>F893+F896+F899</f>
        <v>36</v>
      </c>
      <c r="G892" s="4">
        <f>G893+G896+G899</f>
        <v>36</v>
      </c>
    </row>
    <row r="893" spans="1:7" ht="47.25" hidden="1" x14ac:dyDescent="0.25">
      <c r="A893" s="25" t="s">
        <v>278</v>
      </c>
      <c r="B893" s="20" t="s">
        <v>491</v>
      </c>
      <c r="C893" s="20" t="s">
        <v>118</v>
      </c>
      <c r="D893" s="20" t="s">
        <v>1330</v>
      </c>
      <c r="E893" s="20"/>
      <c r="F893" s="6">
        <f>F894</f>
        <v>0</v>
      </c>
      <c r="G893" s="6">
        <f>'Пр.3 Рд,пр, ЦС,ВР 21'!G1026</f>
        <v>0</v>
      </c>
    </row>
    <row r="894" spans="1:7" ht="47.25" hidden="1" x14ac:dyDescent="0.25">
      <c r="A894" s="25" t="s">
        <v>272</v>
      </c>
      <c r="B894" s="20" t="s">
        <v>491</v>
      </c>
      <c r="C894" s="20" t="s">
        <v>118</v>
      </c>
      <c r="D894" s="20" t="s">
        <v>1330</v>
      </c>
      <c r="E894" s="20" t="s">
        <v>273</v>
      </c>
      <c r="F894" s="6">
        <f>F895</f>
        <v>0</v>
      </c>
      <c r="G894" s="6">
        <f>'Пр.3 Рд,пр, ЦС,ВР 21'!G1027</f>
        <v>0</v>
      </c>
    </row>
    <row r="895" spans="1:7" ht="15.75" hidden="1" x14ac:dyDescent="0.25">
      <c r="A895" s="25" t="s">
        <v>274</v>
      </c>
      <c r="B895" s="20" t="s">
        <v>491</v>
      </c>
      <c r="C895" s="20" t="s">
        <v>118</v>
      </c>
      <c r="D895" s="20" t="s">
        <v>1330</v>
      </c>
      <c r="E895" s="20" t="s">
        <v>275</v>
      </c>
      <c r="F895" s="6">
        <v>0</v>
      </c>
      <c r="G895" s="6">
        <f>'Пр.3 Рд,пр, ЦС,ВР 21'!G1028</f>
        <v>0</v>
      </c>
    </row>
    <row r="896" spans="1:7" ht="31.5" hidden="1" x14ac:dyDescent="0.25">
      <c r="A896" s="25" t="s">
        <v>280</v>
      </c>
      <c r="B896" s="20" t="s">
        <v>491</v>
      </c>
      <c r="C896" s="20" t="s">
        <v>118</v>
      </c>
      <c r="D896" s="20" t="s">
        <v>1331</v>
      </c>
      <c r="E896" s="20"/>
      <c r="F896" s="6">
        <f>F897</f>
        <v>0</v>
      </c>
      <c r="G896" s="6">
        <f>G897</f>
        <v>0</v>
      </c>
    </row>
    <row r="897" spans="1:7" ht="47.25" hidden="1" x14ac:dyDescent="0.25">
      <c r="A897" s="25" t="s">
        <v>272</v>
      </c>
      <c r="B897" s="20" t="s">
        <v>491</v>
      </c>
      <c r="C897" s="20" t="s">
        <v>118</v>
      </c>
      <c r="D897" s="20" t="s">
        <v>1331</v>
      </c>
      <c r="E897" s="20" t="s">
        <v>273</v>
      </c>
      <c r="F897" s="6">
        <f>F898</f>
        <v>0</v>
      </c>
      <c r="G897" s="6">
        <f>G898</f>
        <v>0</v>
      </c>
    </row>
    <row r="898" spans="1:7" ht="15.75" hidden="1" x14ac:dyDescent="0.25">
      <c r="A898" s="25" t="s">
        <v>274</v>
      </c>
      <c r="B898" s="20" t="s">
        <v>491</v>
      </c>
      <c r="C898" s="20" t="s">
        <v>118</v>
      </c>
      <c r="D898" s="20" t="s">
        <v>1331</v>
      </c>
      <c r="E898" s="20" t="s">
        <v>275</v>
      </c>
      <c r="F898" s="6">
        <f>'пр.4.1.ведом.22-23'!G777</f>
        <v>0</v>
      </c>
      <c r="G898" s="6">
        <f>'пр.4.1.ведом.22-23'!H777</f>
        <v>0</v>
      </c>
    </row>
    <row r="899" spans="1:7" ht="15.75" x14ac:dyDescent="0.25">
      <c r="A899" s="25" t="s">
        <v>830</v>
      </c>
      <c r="B899" s="20" t="s">
        <v>491</v>
      </c>
      <c r="C899" s="20" t="s">
        <v>118</v>
      </c>
      <c r="D899" s="20" t="s">
        <v>1271</v>
      </c>
      <c r="E899" s="20"/>
      <c r="F899" s="6">
        <f>F900</f>
        <v>36</v>
      </c>
      <c r="G899" s="6">
        <f>G900</f>
        <v>36</v>
      </c>
    </row>
    <row r="900" spans="1:7" ht="47.25" x14ac:dyDescent="0.25">
      <c r="A900" s="25" t="s">
        <v>272</v>
      </c>
      <c r="B900" s="20" t="s">
        <v>491</v>
      </c>
      <c r="C900" s="20" t="s">
        <v>118</v>
      </c>
      <c r="D900" s="20" t="s">
        <v>1271</v>
      </c>
      <c r="E900" s="20" t="s">
        <v>273</v>
      </c>
      <c r="F900" s="6">
        <f>F901</f>
        <v>36</v>
      </c>
      <c r="G900" s="6">
        <f>G901</f>
        <v>36</v>
      </c>
    </row>
    <row r="901" spans="1:7" ht="15.75" x14ac:dyDescent="0.25">
      <c r="A901" s="25" t="s">
        <v>274</v>
      </c>
      <c r="B901" s="20" t="s">
        <v>491</v>
      </c>
      <c r="C901" s="20" t="s">
        <v>118</v>
      </c>
      <c r="D901" s="20" t="s">
        <v>1271</v>
      </c>
      <c r="E901" s="20" t="s">
        <v>275</v>
      </c>
      <c r="F901" s="6">
        <f>'пр.4.1.ведом.22-23'!G781</f>
        <v>36</v>
      </c>
      <c r="G901" s="6">
        <f>'пр.4.1.ведом.22-23'!H781</f>
        <v>36</v>
      </c>
    </row>
    <row r="902" spans="1:7" ht="47.25" x14ac:dyDescent="0.25">
      <c r="A902" s="23" t="s">
        <v>947</v>
      </c>
      <c r="B902" s="24" t="s">
        <v>491</v>
      </c>
      <c r="C902" s="24" t="s">
        <v>118</v>
      </c>
      <c r="D902" s="24" t="s">
        <v>1272</v>
      </c>
      <c r="E902" s="24"/>
      <c r="F902" s="4">
        <f>F903+F906</f>
        <v>1204</v>
      </c>
      <c r="G902" s="4">
        <f>G903+G906</f>
        <v>1204</v>
      </c>
    </row>
    <row r="903" spans="1:7" ht="31.5" hidden="1" x14ac:dyDescent="0.25">
      <c r="A903" s="25" t="s">
        <v>791</v>
      </c>
      <c r="B903" s="20" t="s">
        <v>491</v>
      </c>
      <c r="C903" s="20" t="s">
        <v>118</v>
      </c>
      <c r="D903" s="20" t="s">
        <v>1310</v>
      </c>
      <c r="E903" s="20"/>
      <c r="F903" s="6">
        <f>F904</f>
        <v>0</v>
      </c>
      <c r="G903" s="6">
        <f>'Пр.3 Рд,пр, ЦС,ВР 21'!G1039</f>
        <v>0</v>
      </c>
    </row>
    <row r="904" spans="1:7" ht="47.25" hidden="1" x14ac:dyDescent="0.25">
      <c r="A904" s="25" t="s">
        <v>272</v>
      </c>
      <c r="B904" s="20" t="s">
        <v>491</v>
      </c>
      <c r="C904" s="20" t="s">
        <v>118</v>
      </c>
      <c r="D904" s="20" t="s">
        <v>1310</v>
      </c>
      <c r="E904" s="20" t="s">
        <v>273</v>
      </c>
      <c r="F904" s="6">
        <f>F905</f>
        <v>0</v>
      </c>
      <c r="G904" s="6">
        <f>'Пр.3 Рд,пр, ЦС,ВР 21'!G1040</f>
        <v>0</v>
      </c>
    </row>
    <row r="905" spans="1:7" ht="15.75" hidden="1" x14ac:dyDescent="0.25">
      <c r="A905" s="25" t="s">
        <v>274</v>
      </c>
      <c r="B905" s="20" t="s">
        <v>491</v>
      </c>
      <c r="C905" s="20" t="s">
        <v>118</v>
      </c>
      <c r="D905" s="20" t="s">
        <v>1310</v>
      </c>
      <c r="E905" s="20" t="s">
        <v>275</v>
      </c>
      <c r="F905" s="6">
        <v>0</v>
      </c>
      <c r="G905" s="6">
        <f>'Пр.3 Рд,пр, ЦС,ВР 21'!G1041</f>
        <v>0</v>
      </c>
    </row>
    <row r="906" spans="1:7" ht="47.25" x14ac:dyDescent="0.25">
      <c r="A906" s="45" t="s">
        <v>764</v>
      </c>
      <c r="B906" s="20" t="s">
        <v>491</v>
      </c>
      <c r="C906" s="20" t="s">
        <v>118</v>
      </c>
      <c r="D906" s="20" t="s">
        <v>1273</v>
      </c>
      <c r="E906" s="20"/>
      <c r="F906" s="6">
        <f>F907</f>
        <v>1204</v>
      </c>
      <c r="G906" s="6">
        <f>G907</f>
        <v>1204</v>
      </c>
    </row>
    <row r="907" spans="1:7" ht="47.25" x14ac:dyDescent="0.25">
      <c r="A907" s="31" t="s">
        <v>272</v>
      </c>
      <c r="B907" s="20" t="s">
        <v>491</v>
      </c>
      <c r="C907" s="20" t="s">
        <v>118</v>
      </c>
      <c r="D907" s="20" t="s">
        <v>1273</v>
      </c>
      <c r="E907" s="20" t="s">
        <v>273</v>
      </c>
      <c r="F907" s="6">
        <f>F908</f>
        <v>1204</v>
      </c>
      <c r="G907" s="6">
        <f>G908</f>
        <v>1204</v>
      </c>
    </row>
    <row r="908" spans="1:7" ht="15.75" x14ac:dyDescent="0.25">
      <c r="A908" s="31" t="s">
        <v>274</v>
      </c>
      <c r="B908" s="20" t="s">
        <v>491</v>
      </c>
      <c r="C908" s="20" t="s">
        <v>118</v>
      </c>
      <c r="D908" s="20" t="s">
        <v>1273</v>
      </c>
      <c r="E908" s="20" t="s">
        <v>275</v>
      </c>
      <c r="F908" s="6">
        <f>'пр.4.1.ведом.22-23'!G788</f>
        <v>1204</v>
      </c>
      <c r="G908" s="6">
        <f>'пр.4.1.ведом.22-23'!H788</f>
        <v>1204</v>
      </c>
    </row>
    <row r="909" spans="1:7" ht="54.75" customHeight="1" x14ac:dyDescent="0.25">
      <c r="A909" s="23" t="s">
        <v>900</v>
      </c>
      <c r="B909" s="24" t="s">
        <v>491</v>
      </c>
      <c r="C909" s="24" t="s">
        <v>118</v>
      </c>
      <c r="D909" s="24" t="s">
        <v>1274</v>
      </c>
      <c r="E909" s="24"/>
      <c r="F909" s="4">
        <f t="shared" ref="F909:G911" si="93">F910</f>
        <v>813.5</v>
      </c>
      <c r="G909" s="4">
        <f t="shared" si="93"/>
        <v>813.5</v>
      </c>
    </row>
    <row r="910" spans="1:7" ht="121.7" customHeight="1" x14ac:dyDescent="0.25">
      <c r="A910" s="31" t="s">
        <v>464</v>
      </c>
      <c r="B910" s="20" t="s">
        <v>491</v>
      </c>
      <c r="C910" s="20" t="s">
        <v>118</v>
      </c>
      <c r="D910" s="20" t="s">
        <v>1413</v>
      </c>
      <c r="E910" s="20"/>
      <c r="F910" s="6">
        <f t="shared" si="93"/>
        <v>813.5</v>
      </c>
      <c r="G910" s="6">
        <f t="shared" si="93"/>
        <v>813.5</v>
      </c>
    </row>
    <row r="911" spans="1:7" ht="47.25" x14ac:dyDescent="0.25">
      <c r="A911" s="25" t="s">
        <v>272</v>
      </c>
      <c r="B911" s="20" t="s">
        <v>491</v>
      </c>
      <c r="C911" s="20" t="s">
        <v>118</v>
      </c>
      <c r="D911" s="20" t="s">
        <v>1413</v>
      </c>
      <c r="E911" s="20" t="s">
        <v>273</v>
      </c>
      <c r="F911" s="6">
        <f t="shared" si="93"/>
        <v>813.5</v>
      </c>
      <c r="G911" s="6">
        <f t="shared" si="93"/>
        <v>813.5</v>
      </c>
    </row>
    <row r="912" spans="1:7" ht="15.75" x14ac:dyDescent="0.25">
      <c r="A912" s="25" t="s">
        <v>274</v>
      </c>
      <c r="B912" s="20" t="s">
        <v>491</v>
      </c>
      <c r="C912" s="20" t="s">
        <v>118</v>
      </c>
      <c r="D912" s="20" t="s">
        <v>1413</v>
      </c>
      <c r="E912" s="20" t="s">
        <v>275</v>
      </c>
      <c r="F912" s="6">
        <f>'пр.4.1.ведом.22-23'!G792</f>
        <v>813.5</v>
      </c>
      <c r="G912" s="6">
        <f>'пр.4.1.ведом.22-23'!H792</f>
        <v>813.5</v>
      </c>
    </row>
    <row r="913" spans="1:7" s="203" customFormat="1" ht="63" x14ac:dyDescent="0.25">
      <c r="A913" s="34" t="s">
        <v>1368</v>
      </c>
      <c r="B913" s="24" t="s">
        <v>491</v>
      </c>
      <c r="C913" s="24" t="s">
        <v>118</v>
      </c>
      <c r="D913" s="24" t="s">
        <v>324</v>
      </c>
      <c r="E913" s="24"/>
      <c r="F913" s="4">
        <f t="shared" ref="F913:G916" si="94">F914</f>
        <v>0</v>
      </c>
      <c r="G913" s="4">
        <f t="shared" si="94"/>
        <v>8</v>
      </c>
    </row>
    <row r="914" spans="1:7" s="203" customFormat="1" ht="63" x14ac:dyDescent="0.25">
      <c r="A914" s="34" t="s">
        <v>1024</v>
      </c>
      <c r="B914" s="24" t="s">
        <v>491</v>
      </c>
      <c r="C914" s="24" t="s">
        <v>118</v>
      </c>
      <c r="D914" s="24" t="s">
        <v>934</v>
      </c>
      <c r="E914" s="24"/>
      <c r="F914" s="4">
        <f t="shared" si="94"/>
        <v>0</v>
      </c>
      <c r="G914" s="4">
        <f t="shared" si="94"/>
        <v>8</v>
      </c>
    </row>
    <row r="915" spans="1:7" s="203" customFormat="1" ht="47.25" x14ac:dyDescent="0.25">
      <c r="A915" s="31" t="s">
        <v>1008</v>
      </c>
      <c r="B915" s="20" t="s">
        <v>491</v>
      </c>
      <c r="C915" s="20" t="s">
        <v>118</v>
      </c>
      <c r="D915" s="20" t="s">
        <v>935</v>
      </c>
      <c r="E915" s="20"/>
      <c r="F915" s="6">
        <f t="shared" si="94"/>
        <v>0</v>
      </c>
      <c r="G915" s="6">
        <f t="shared" si="94"/>
        <v>8</v>
      </c>
    </row>
    <row r="916" spans="1:7" s="203" customFormat="1" ht="47.25" x14ac:dyDescent="0.25">
      <c r="A916" s="31" t="s">
        <v>272</v>
      </c>
      <c r="B916" s="20" t="s">
        <v>491</v>
      </c>
      <c r="C916" s="20" t="s">
        <v>118</v>
      </c>
      <c r="D916" s="20" t="s">
        <v>935</v>
      </c>
      <c r="E916" s="20" t="s">
        <v>273</v>
      </c>
      <c r="F916" s="6">
        <f t="shared" si="94"/>
        <v>0</v>
      </c>
      <c r="G916" s="6">
        <f t="shared" si="94"/>
        <v>8</v>
      </c>
    </row>
    <row r="917" spans="1:7" s="203" customFormat="1" ht="15.75" x14ac:dyDescent="0.25">
      <c r="A917" s="31" t="s">
        <v>274</v>
      </c>
      <c r="B917" s="20" t="s">
        <v>491</v>
      </c>
      <c r="C917" s="20" t="s">
        <v>118</v>
      </c>
      <c r="D917" s="20" t="s">
        <v>935</v>
      </c>
      <c r="E917" s="20" t="s">
        <v>275</v>
      </c>
      <c r="F917" s="6">
        <f>'пр.4.1.ведом.22-23'!G797</f>
        <v>0</v>
      </c>
      <c r="G917" s="6">
        <f>'пр.4.1.ведом.22-23'!H797</f>
        <v>8</v>
      </c>
    </row>
    <row r="918" spans="1:7" ht="48.95" customHeight="1" x14ac:dyDescent="0.25">
      <c r="A918" s="41" t="s">
        <v>1363</v>
      </c>
      <c r="B918" s="24" t="s">
        <v>491</v>
      </c>
      <c r="C918" s="24" t="s">
        <v>118</v>
      </c>
      <c r="D918" s="24" t="s">
        <v>705</v>
      </c>
      <c r="E918" s="221"/>
      <c r="F918" s="4">
        <f t="shared" ref="F918:G918" si="95">F919</f>
        <v>579.1</v>
      </c>
      <c r="G918" s="4">
        <f t="shared" si="95"/>
        <v>602.29999999999995</v>
      </c>
    </row>
    <row r="919" spans="1:7" ht="63" x14ac:dyDescent="0.25">
      <c r="A919" s="41" t="s">
        <v>890</v>
      </c>
      <c r="B919" s="24" t="s">
        <v>491</v>
      </c>
      <c r="C919" s="24" t="s">
        <v>118</v>
      </c>
      <c r="D919" s="24" t="s">
        <v>888</v>
      </c>
      <c r="E919" s="221"/>
      <c r="F919" s="4">
        <f t="shared" ref="F919:G921" si="96">F920</f>
        <v>579.1</v>
      </c>
      <c r="G919" s="4">
        <f t="shared" si="96"/>
        <v>602.29999999999995</v>
      </c>
    </row>
    <row r="920" spans="1:7" ht="47.25" x14ac:dyDescent="0.25">
      <c r="A920" s="98" t="s">
        <v>780</v>
      </c>
      <c r="B920" s="20" t="s">
        <v>491</v>
      </c>
      <c r="C920" s="20" t="s">
        <v>118</v>
      </c>
      <c r="D920" s="20" t="s">
        <v>936</v>
      </c>
      <c r="E920" s="32"/>
      <c r="F920" s="6">
        <f t="shared" si="96"/>
        <v>579.1</v>
      </c>
      <c r="G920" s="6">
        <f t="shared" si="96"/>
        <v>602.29999999999995</v>
      </c>
    </row>
    <row r="921" spans="1:7" ht="47.25" x14ac:dyDescent="0.25">
      <c r="A921" s="29" t="s">
        <v>272</v>
      </c>
      <c r="B921" s="20" t="s">
        <v>491</v>
      </c>
      <c r="C921" s="20" t="s">
        <v>118</v>
      </c>
      <c r="D921" s="20" t="s">
        <v>936</v>
      </c>
      <c r="E921" s="32" t="s">
        <v>273</v>
      </c>
      <c r="F921" s="6">
        <f t="shared" si="96"/>
        <v>579.1</v>
      </c>
      <c r="G921" s="6">
        <f t="shared" si="96"/>
        <v>602.29999999999995</v>
      </c>
    </row>
    <row r="922" spans="1:7" ht="15.75" x14ac:dyDescent="0.25">
      <c r="A922" s="182" t="s">
        <v>274</v>
      </c>
      <c r="B922" s="20" t="s">
        <v>491</v>
      </c>
      <c r="C922" s="20" t="s">
        <v>118</v>
      </c>
      <c r="D922" s="20" t="s">
        <v>936</v>
      </c>
      <c r="E922" s="32" t="s">
        <v>275</v>
      </c>
      <c r="F922" s="6">
        <f>'пр.4.1.ведом.22-23'!G802</f>
        <v>579.1</v>
      </c>
      <c r="G922" s="6">
        <f>'пр.4.1.ведом.22-23'!H802</f>
        <v>602.29999999999995</v>
      </c>
    </row>
    <row r="923" spans="1:7" ht="31.5" x14ac:dyDescent="0.25">
      <c r="A923" s="23" t="s">
        <v>500</v>
      </c>
      <c r="B923" s="24" t="s">
        <v>491</v>
      </c>
      <c r="C923" s="24" t="s">
        <v>234</v>
      </c>
      <c r="D923" s="24"/>
      <c r="E923" s="24"/>
      <c r="F923" s="4">
        <f>F924+F932+F944</f>
        <v>13529.2</v>
      </c>
      <c r="G923" s="4">
        <f>G924+G932+G944</f>
        <v>13529.2</v>
      </c>
    </row>
    <row r="924" spans="1:7" ht="31.5" x14ac:dyDescent="0.25">
      <c r="A924" s="23" t="s">
        <v>917</v>
      </c>
      <c r="B924" s="24" t="s">
        <v>491</v>
      </c>
      <c r="C924" s="24" t="s">
        <v>234</v>
      </c>
      <c r="D924" s="24" t="s">
        <v>858</v>
      </c>
      <c r="E924" s="24"/>
      <c r="F924" s="4">
        <f>F925</f>
        <v>5224.5</v>
      </c>
      <c r="G924" s="4">
        <f>G925</f>
        <v>5224.5</v>
      </c>
    </row>
    <row r="925" spans="1:7" ht="15.75" x14ac:dyDescent="0.25">
      <c r="A925" s="23" t="s">
        <v>918</v>
      </c>
      <c r="B925" s="24" t="s">
        <v>491</v>
      </c>
      <c r="C925" s="24" t="s">
        <v>234</v>
      </c>
      <c r="D925" s="24" t="s">
        <v>859</v>
      </c>
      <c r="E925" s="24"/>
      <c r="F925" s="4">
        <f>F926+F929</f>
        <v>5224.5</v>
      </c>
      <c r="G925" s="4">
        <f>G926+G929</f>
        <v>5224.5</v>
      </c>
    </row>
    <row r="926" spans="1:7" ht="31.5" x14ac:dyDescent="0.25">
      <c r="A926" s="25" t="s">
        <v>897</v>
      </c>
      <c r="B926" s="20" t="s">
        <v>491</v>
      </c>
      <c r="C926" s="20" t="s">
        <v>234</v>
      </c>
      <c r="D926" s="20" t="s">
        <v>860</v>
      </c>
      <c r="E926" s="20"/>
      <c r="F926" s="6">
        <f>F927</f>
        <v>4888.5</v>
      </c>
      <c r="G926" s="6">
        <f>G927</f>
        <v>4888.5</v>
      </c>
    </row>
    <row r="927" spans="1:7" ht="94.5" x14ac:dyDescent="0.25">
      <c r="A927" s="25" t="s">
        <v>127</v>
      </c>
      <c r="B927" s="20" t="s">
        <v>491</v>
      </c>
      <c r="C927" s="20" t="s">
        <v>234</v>
      </c>
      <c r="D927" s="20" t="s">
        <v>860</v>
      </c>
      <c r="E927" s="20" t="s">
        <v>128</v>
      </c>
      <c r="F927" s="6">
        <f>F928</f>
        <v>4888.5</v>
      </c>
      <c r="G927" s="6">
        <f>G928</f>
        <v>4888.5</v>
      </c>
    </row>
    <row r="928" spans="1:7" ht="31.5" x14ac:dyDescent="0.25">
      <c r="A928" s="25" t="s">
        <v>129</v>
      </c>
      <c r="B928" s="20" t="s">
        <v>491</v>
      </c>
      <c r="C928" s="20" t="s">
        <v>234</v>
      </c>
      <c r="D928" s="20" t="s">
        <v>860</v>
      </c>
      <c r="E928" s="20" t="s">
        <v>130</v>
      </c>
      <c r="F928" s="6">
        <f>'пр.4.1.ведом.22-23'!G808</f>
        <v>4888.5</v>
      </c>
      <c r="G928" s="6">
        <f>'пр.4.1.ведом.22-23'!H808</f>
        <v>4888.5</v>
      </c>
    </row>
    <row r="929" spans="1:7" ht="47.25" x14ac:dyDescent="0.25">
      <c r="A929" s="25" t="s">
        <v>839</v>
      </c>
      <c r="B929" s="20" t="s">
        <v>491</v>
      </c>
      <c r="C929" s="20" t="s">
        <v>234</v>
      </c>
      <c r="D929" s="20" t="s">
        <v>862</v>
      </c>
      <c r="E929" s="20"/>
      <c r="F929" s="6">
        <f>F930</f>
        <v>336</v>
      </c>
      <c r="G929" s="6">
        <f>G930</f>
        <v>336</v>
      </c>
    </row>
    <row r="930" spans="1:7" ht="94.5" x14ac:dyDescent="0.25">
      <c r="A930" s="25" t="s">
        <v>127</v>
      </c>
      <c r="B930" s="20" t="s">
        <v>491</v>
      </c>
      <c r="C930" s="20" t="s">
        <v>234</v>
      </c>
      <c r="D930" s="20" t="s">
        <v>862</v>
      </c>
      <c r="E930" s="20" t="s">
        <v>128</v>
      </c>
      <c r="F930" s="6">
        <f>F931</f>
        <v>336</v>
      </c>
      <c r="G930" s="6">
        <f>G931</f>
        <v>336</v>
      </c>
    </row>
    <row r="931" spans="1:7" ht="31.5" x14ac:dyDescent="0.25">
      <c r="A931" s="25" t="s">
        <v>129</v>
      </c>
      <c r="B931" s="20" t="s">
        <v>491</v>
      </c>
      <c r="C931" s="20" t="s">
        <v>234</v>
      </c>
      <c r="D931" s="20" t="s">
        <v>862</v>
      </c>
      <c r="E931" s="20" t="s">
        <v>130</v>
      </c>
      <c r="F931" s="6">
        <f>'пр.4.1.ведом.22-23'!G811</f>
        <v>336</v>
      </c>
      <c r="G931" s="6">
        <f>'пр.4.1.ведом.22-23'!H811</f>
        <v>336</v>
      </c>
    </row>
    <row r="932" spans="1:7" ht="15.75" x14ac:dyDescent="0.25">
      <c r="A932" s="23" t="s">
        <v>141</v>
      </c>
      <c r="B932" s="24" t="s">
        <v>491</v>
      </c>
      <c r="C932" s="24" t="s">
        <v>234</v>
      </c>
      <c r="D932" s="24" t="s">
        <v>866</v>
      </c>
      <c r="E932" s="24"/>
      <c r="F932" s="4">
        <f>F933</f>
        <v>5304.7</v>
      </c>
      <c r="G932" s="4">
        <f>G933</f>
        <v>5304.7</v>
      </c>
    </row>
    <row r="933" spans="1:7" ht="32.65" customHeight="1" x14ac:dyDescent="0.25">
      <c r="A933" s="23" t="s">
        <v>929</v>
      </c>
      <c r="B933" s="24" t="s">
        <v>491</v>
      </c>
      <c r="C933" s="24" t="s">
        <v>234</v>
      </c>
      <c r="D933" s="24" t="s">
        <v>914</v>
      </c>
      <c r="E933" s="24"/>
      <c r="F933" s="4">
        <f>F934+F941</f>
        <v>5304.7</v>
      </c>
      <c r="G933" s="4">
        <f>G934+G941</f>
        <v>5304.7</v>
      </c>
    </row>
    <row r="934" spans="1:7" ht="31.5" x14ac:dyDescent="0.25">
      <c r="A934" s="25" t="s">
        <v>903</v>
      </c>
      <c r="B934" s="20" t="s">
        <v>491</v>
      </c>
      <c r="C934" s="20" t="s">
        <v>234</v>
      </c>
      <c r="D934" s="20" t="s">
        <v>915</v>
      </c>
      <c r="E934" s="20"/>
      <c r="F934" s="6">
        <f>F937+F939+F935</f>
        <v>5089.7</v>
      </c>
      <c r="G934" s="6">
        <f>G937+G939+G935</f>
        <v>5089.7</v>
      </c>
    </row>
    <row r="935" spans="1:7" ht="94.5" x14ac:dyDescent="0.25">
      <c r="A935" s="25" t="s">
        <v>127</v>
      </c>
      <c r="B935" s="20" t="s">
        <v>491</v>
      </c>
      <c r="C935" s="20" t="s">
        <v>234</v>
      </c>
      <c r="D935" s="20" t="s">
        <v>915</v>
      </c>
      <c r="E935" s="20" t="s">
        <v>128</v>
      </c>
      <c r="F935" s="6">
        <f>F936</f>
        <v>4695.3999999999996</v>
      </c>
      <c r="G935" s="6">
        <f>G936</f>
        <v>4695.3999999999996</v>
      </c>
    </row>
    <row r="936" spans="1:7" ht="31.5" x14ac:dyDescent="0.25">
      <c r="A936" s="25" t="s">
        <v>342</v>
      </c>
      <c r="B936" s="20" t="s">
        <v>491</v>
      </c>
      <c r="C936" s="20" t="s">
        <v>234</v>
      </c>
      <c r="D936" s="20" t="s">
        <v>915</v>
      </c>
      <c r="E936" s="20" t="s">
        <v>209</v>
      </c>
      <c r="F936" s="6">
        <f>'пр.4.1.ведом.22-23'!G816</f>
        <v>4695.3999999999996</v>
      </c>
      <c r="G936" s="6">
        <f>'пр.4.1.ведом.22-23'!H816</f>
        <v>4695.3999999999996</v>
      </c>
    </row>
    <row r="937" spans="1:7" ht="31.5" x14ac:dyDescent="0.25">
      <c r="A937" s="25" t="s">
        <v>131</v>
      </c>
      <c r="B937" s="20" t="s">
        <v>491</v>
      </c>
      <c r="C937" s="20" t="s">
        <v>234</v>
      </c>
      <c r="D937" s="20" t="s">
        <v>915</v>
      </c>
      <c r="E937" s="20" t="s">
        <v>132</v>
      </c>
      <c r="F937" s="6">
        <f>F938</f>
        <v>343.3</v>
      </c>
      <c r="G937" s="6">
        <f>G938</f>
        <v>343.3</v>
      </c>
    </row>
    <row r="938" spans="1:7" ht="47.25" x14ac:dyDescent="0.25">
      <c r="A938" s="25" t="s">
        <v>133</v>
      </c>
      <c r="B938" s="20" t="s">
        <v>491</v>
      </c>
      <c r="C938" s="20" t="s">
        <v>234</v>
      </c>
      <c r="D938" s="20" t="s">
        <v>915</v>
      </c>
      <c r="E938" s="20" t="s">
        <v>134</v>
      </c>
      <c r="F938" s="6">
        <f>'пр.4.1.ведом.22-23'!G818</f>
        <v>343.3</v>
      </c>
      <c r="G938" s="6">
        <f>'пр.4.1.ведом.22-23'!H818</f>
        <v>343.3</v>
      </c>
    </row>
    <row r="939" spans="1:7" ht="15.75" x14ac:dyDescent="0.25">
      <c r="A939" s="25" t="s">
        <v>135</v>
      </c>
      <c r="B939" s="20" t="s">
        <v>491</v>
      </c>
      <c r="C939" s="20" t="s">
        <v>234</v>
      </c>
      <c r="D939" s="20" t="s">
        <v>915</v>
      </c>
      <c r="E939" s="20" t="s">
        <v>145</v>
      </c>
      <c r="F939" s="6">
        <f>F940</f>
        <v>51</v>
      </c>
      <c r="G939" s="6">
        <f>G940</f>
        <v>51</v>
      </c>
    </row>
    <row r="940" spans="1:7" ht="15.75" x14ac:dyDescent="0.25">
      <c r="A940" s="25" t="s">
        <v>568</v>
      </c>
      <c r="B940" s="20" t="s">
        <v>491</v>
      </c>
      <c r="C940" s="20" t="s">
        <v>234</v>
      </c>
      <c r="D940" s="20" t="s">
        <v>915</v>
      </c>
      <c r="E940" s="20" t="s">
        <v>138</v>
      </c>
      <c r="F940" s="6">
        <f>'пр.4.1.ведом.22-23'!G820</f>
        <v>51</v>
      </c>
      <c r="G940" s="6">
        <f>'пр.4.1.ведом.22-23'!H820</f>
        <v>51</v>
      </c>
    </row>
    <row r="941" spans="1:7" ht="47.25" x14ac:dyDescent="0.25">
      <c r="A941" s="25" t="s">
        <v>839</v>
      </c>
      <c r="B941" s="20" t="s">
        <v>491</v>
      </c>
      <c r="C941" s="20" t="s">
        <v>234</v>
      </c>
      <c r="D941" s="20" t="s">
        <v>916</v>
      </c>
      <c r="E941" s="20"/>
      <c r="F941" s="6">
        <f>F942</f>
        <v>215</v>
      </c>
      <c r="G941" s="6">
        <f>G942</f>
        <v>215</v>
      </c>
    </row>
    <row r="942" spans="1:7" ht="94.5" x14ac:dyDescent="0.25">
      <c r="A942" s="25" t="s">
        <v>127</v>
      </c>
      <c r="B942" s="20" t="s">
        <v>491</v>
      </c>
      <c r="C942" s="20" t="s">
        <v>234</v>
      </c>
      <c r="D942" s="20" t="s">
        <v>916</v>
      </c>
      <c r="E942" s="20" t="s">
        <v>128</v>
      </c>
      <c r="F942" s="6">
        <f>F943</f>
        <v>215</v>
      </c>
      <c r="G942" s="6">
        <f>G943</f>
        <v>215</v>
      </c>
    </row>
    <row r="943" spans="1:7" ht="31.5" x14ac:dyDescent="0.25">
      <c r="A943" s="25" t="s">
        <v>129</v>
      </c>
      <c r="B943" s="20" t="s">
        <v>491</v>
      </c>
      <c r="C943" s="20" t="s">
        <v>234</v>
      </c>
      <c r="D943" s="20" t="s">
        <v>916</v>
      </c>
      <c r="E943" s="20" t="s">
        <v>130</v>
      </c>
      <c r="F943" s="6">
        <f>'пр.4.1.ведом.22-23'!G823</f>
        <v>215</v>
      </c>
      <c r="G943" s="6">
        <f>'пр.4.1.ведом.22-23'!H823</f>
        <v>215</v>
      </c>
    </row>
    <row r="944" spans="1:7" ht="47.25" x14ac:dyDescent="0.25">
      <c r="A944" s="41" t="s">
        <v>1380</v>
      </c>
      <c r="B944" s="24" t="s">
        <v>491</v>
      </c>
      <c r="C944" s="24" t="s">
        <v>234</v>
      </c>
      <c r="D944" s="7" t="s">
        <v>482</v>
      </c>
      <c r="E944" s="24"/>
      <c r="F944" s="4">
        <f>F945</f>
        <v>3000</v>
      </c>
      <c r="G944" s="4">
        <f>G945</f>
        <v>3000</v>
      </c>
    </row>
    <row r="945" spans="1:7" ht="31.5" x14ac:dyDescent="0.25">
      <c r="A945" s="58" t="s">
        <v>951</v>
      </c>
      <c r="B945" s="24" t="s">
        <v>491</v>
      </c>
      <c r="C945" s="24" t="s">
        <v>234</v>
      </c>
      <c r="D945" s="7" t="s">
        <v>1276</v>
      </c>
      <c r="E945" s="24"/>
      <c r="F945" s="4">
        <f t="shared" ref="F945:G945" si="97">F946</f>
        <v>3000</v>
      </c>
      <c r="G945" s="4">
        <f t="shared" si="97"/>
        <v>3000</v>
      </c>
    </row>
    <row r="946" spans="1:7" ht="31.5" x14ac:dyDescent="0.25">
      <c r="A946" s="29" t="s">
        <v>952</v>
      </c>
      <c r="B946" s="20" t="s">
        <v>491</v>
      </c>
      <c r="C946" s="20" t="s">
        <v>234</v>
      </c>
      <c r="D946" s="40" t="s">
        <v>1277</v>
      </c>
      <c r="E946" s="20"/>
      <c r="F946" s="6">
        <f>F947+F949</f>
        <v>3000</v>
      </c>
      <c r="G946" s="6">
        <f>G947+G949</f>
        <v>3000</v>
      </c>
    </row>
    <row r="947" spans="1:7" ht="94.5" x14ac:dyDescent="0.25">
      <c r="A947" s="25" t="s">
        <v>127</v>
      </c>
      <c r="B947" s="20" t="s">
        <v>491</v>
      </c>
      <c r="C947" s="20" t="s">
        <v>234</v>
      </c>
      <c r="D947" s="40" t="s">
        <v>1277</v>
      </c>
      <c r="E947" s="20" t="s">
        <v>128</v>
      </c>
      <c r="F947" s="6">
        <f>F948</f>
        <v>2500</v>
      </c>
      <c r="G947" s="6">
        <f>G948</f>
        <v>2500</v>
      </c>
    </row>
    <row r="948" spans="1:7" ht="31.5" x14ac:dyDescent="0.25">
      <c r="A948" s="25" t="s">
        <v>342</v>
      </c>
      <c r="B948" s="20" t="s">
        <v>491</v>
      </c>
      <c r="C948" s="20" t="s">
        <v>234</v>
      </c>
      <c r="D948" s="40" t="s">
        <v>1277</v>
      </c>
      <c r="E948" s="20" t="s">
        <v>209</v>
      </c>
      <c r="F948" s="6">
        <f>'пр.4.1.ведом.22-23'!G828</f>
        <v>2500</v>
      </c>
      <c r="G948" s="6">
        <f>'пр.4.1.ведом.22-23'!H828</f>
        <v>2500</v>
      </c>
    </row>
    <row r="949" spans="1:7" ht="31.5" x14ac:dyDescent="0.25">
      <c r="A949" s="29" t="s">
        <v>131</v>
      </c>
      <c r="B949" s="20" t="s">
        <v>491</v>
      </c>
      <c r="C949" s="20" t="s">
        <v>234</v>
      </c>
      <c r="D949" s="40" t="s">
        <v>1277</v>
      </c>
      <c r="E949" s="20" t="s">
        <v>132</v>
      </c>
      <c r="F949" s="6">
        <f>F950</f>
        <v>500</v>
      </c>
      <c r="G949" s="6">
        <f>G950</f>
        <v>500</v>
      </c>
    </row>
    <row r="950" spans="1:7" ht="47.25" x14ac:dyDescent="0.25">
      <c r="A950" s="29" t="s">
        <v>133</v>
      </c>
      <c r="B950" s="20" t="s">
        <v>491</v>
      </c>
      <c r="C950" s="20" t="s">
        <v>234</v>
      </c>
      <c r="D950" s="40" t="s">
        <v>1277</v>
      </c>
      <c r="E950" s="20" t="s">
        <v>134</v>
      </c>
      <c r="F950" s="6">
        <f>'пр.4.1.ведом.22-23'!G830</f>
        <v>500</v>
      </c>
      <c r="G950" s="6">
        <f>'пр.4.1.ведом.22-23'!H830</f>
        <v>500</v>
      </c>
    </row>
    <row r="951" spans="1:7" ht="15.75" x14ac:dyDescent="0.25">
      <c r="A951" s="41" t="s">
        <v>582</v>
      </c>
      <c r="B951" s="7" t="s">
        <v>238</v>
      </c>
      <c r="C951" s="40"/>
      <c r="D951" s="40"/>
      <c r="E951" s="40"/>
      <c r="F951" s="4">
        <f t="shared" ref="F951:G951" si="98">F952</f>
        <v>5873.2</v>
      </c>
      <c r="G951" s="4">
        <f t="shared" si="98"/>
        <v>5876.2</v>
      </c>
    </row>
    <row r="952" spans="1:7" ht="15.75" x14ac:dyDescent="0.25">
      <c r="A952" s="41" t="s">
        <v>583</v>
      </c>
      <c r="B952" s="7" t="s">
        <v>238</v>
      </c>
      <c r="C952" s="7" t="s">
        <v>213</v>
      </c>
      <c r="D952" s="7"/>
      <c r="E952" s="7"/>
      <c r="F952" s="4">
        <f>F953+F965</f>
        <v>5873.2</v>
      </c>
      <c r="G952" s="4">
        <f>G953+G965</f>
        <v>5876.2</v>
      </c>
    </row>
    <row r="953" spans="1:7" ht="47.25" x14ac:dyDescent="0.25">
      <c r="A953" s="23" t="s">
        <v>1362</v>
      </c>
      <c r="B953" s="24" t="s">
        <v>238</v>
      </c>
      <c r="C953" s="24" t="s">
        <v>213</v>
      </c>
      <c r="D953" s="24" t="s">
        <v>267</v>
      </c>
      <c r="E953" s="24"/>
      <c r="F953" s="4">
        <f>F954</f>
        <v>5798.3</v>
      </c>
      <c r="G953" s="4">
        <f>G954</f>
        <v>5798.3</v>
      </c>
    </row>
    <row r="954" spans="1:7" ht="47.25" x14ac:dyDescent="0.25">
      <c r="A954" s="23" t="s">
        <v>1305</v>
      </c>
      <c r="B954" s="24" t="s">
        <v>238</v>
      </c>
      <c r="C954" s="24" t="s">
        <v>213</v>
      </c>
      <c r="D954" s="24" t="s">
        <v>1208</v>
      </c>
      <c r="E954" s="24"/>
      <c r="F954" s="4">
        <f>F955+F962</f>
        <v>5798.3</v>
      </c>
      <c r="G954" s="4">
        <f>G955+G962</f>
        <v>5798.3</v>
      </c>
    </row>
    <row r="955" spans="1:7" ht="31.5" x14ac:dyDescent="0.25">
      <c r="A955" s="25" t="s">
        <v>801</v>
      </c>
      <c r="B955" s="20" t="s">
        <v>238</v>
      </c>
      <c r="C955" s="20" t="s">
        <v>213</v>
      </c>
      <c r="D955" s="20" t="s">
        <v>1209</v>
      </c>
      <c r="E955" s="20"/>
      <c r="F955" s="6">
        <f>F956+F958+F960</f>
        <v>5522.3</v>
      </c>
      <c r="G955" s="6">
        <f>G956+G958+G960</f>
        <v>5522.3</v>
      </c>
    </row>
    <row r="956" spans="1:7" ht="94.5" x14ac:dyDescent="0.25">
      <c r="A956" s="25" t="s">
        <v>127</v>
      </c>
      <c r="B956" s="20" t="s">
        <v>238</v>
      </c>
      <c r="C956" s="20" t="s">
        <v>213</v>
      </c>
      <c r="D956" s="20" t="s">
        <v>1209</v>
      </c>
      <c r="E956" s="20" t="s">
        <v>128</v>
      </c>
      <c r="F956" s="6">
        <f>F957</f>
        <v>4897.2</v>
      </c>
      <c r="G956" s="6">
        <f>G957</f>
        <v>4897.2</v>
      </c>
    </row>
    <row r="957" spans="1:7" ht="31.5" x14ac:dyDescent="0.25">
      <c r="A957" s="25" t="s">
        <v>208</v>
      </c>
      <c r="B957" s="20" t="s">
        <v>238</v>
      </c>
      <c r="C957" s="20" t="s">
        <v>213</v>
      </c>
      <c r="D957" s="20" t="s">
        <v>1209</v>
      </c>
      <c r="E957" s="20" t="s">
        <v>209</v>
      </c>
      <c r="F957" s="6">
        <f>'пр.4.1.ведом.22-23'!G474</f>
        <v>4897.2</v>
      </c>
      <c r="G957" s="6">
        <f>'пр.4.1.ведом.22-23'!H474</f>
        <v>4897.2</v>
      </c>
    </row>
    <row r="958" spans="1:7" ht="31.5" x14ac:dyDescent="0.25">
      <c r="A958" s="25" t="s">
        <v>131</v>
      </c>
      <c r="B958" s="20" t="s">
        <v>238</v>
      </c>
      <c r="C958" s="20" t="s">
        <v>213</v>
      </c>
      <c r="D958" s="20" t="s">
        <v>1209</v>
      </c>
      <c r="E958" s="20" t="s">
        <v>132</v>
      </c>
      <c r="F958" s="6">
        <f>F959</f>
        <v>595.1</v>
      </c>
      <c r="G958" s="6">
        <f>G959</f>
        <v>595.1</v>
      </c>
    </row>
    <row r="959" spans="1:7" ht="47.25" x14ac:dyDescent="0.25">
      <c r="A959" s="25" t="s">
        <v>133</v>
      </c>
      <c r="B959" s="20" t="s">
        <v>238</v>
      </c>
      <c r="C959" s="20" t="s">
        <v>213</v>
      </c>
      <c r="D959" s="20" t="s">
        <v>1209</v>
      </c>
      <c r="E959" s="20" t="s">
        <v>134</v>
      </c>
      <c r="F959" s="6">
        <f>'пр.4.1.ведом.22-23'!G476</f>
        <v>595.1</v>
      </c>
      <c r="G959" s="6">
        <f>'пр.4.1.ведом.22-23'!H476</f>
        <v>595.1</v>
      </c>
    </row>
    <row r="960" spans="1:7" ht="15.75" x14ac:dyDescent="0.25">
      <c r="A960" s="25" t="s">
        <v>135</v>
      </c>
      <c r="B960" s="20" t="s">
        <v>238</v>
      </c>
      <c r="C960" s="20" t="s">
        <v>213</v>
      </c>
      <c r="D960" s="20" t="s">
        <v>1209</v>
      </c>
      <c r="E960" s="20" t="s">
        <v>145</v>
      </c>
      <c r="F960" s="6">
        <f>F961</f>
        <v>30</v>
      </c>
      <c r="G960" s="6">
        <f>G961</f>
        <v>30</v>
      </c>
    </row>
    <row r="961" spans="1:7" ht="24.75" customHeight="1" x14ac:dyDescent="0.25">
      <c r="A961" s="25" t="s">
        <v>568</v>
      </c>
      <c r="B961" s="20" t="s">
        <v>238</v>
      </c>
      <c r="C961" s="20" t="s">
        <v>213</v>
      </c>
      <c r="D961" s="20" t="s">
        <v>1209</v>
      </c>
      <c r="E961" s="20" t="s">
        <v>138</v>
      </c>
      <c r="F961" s="6">
        <f>'пр.4.1.ведом.22-23'!G478</f>
        <v>30</v>
      </c>
      <c r="G961" s="6">
        <f>'пр.4.1.ведом.22-23'!H478</f>
        <v>30</v>
      </c>
    </row>
    <row r="962" spans="1:7" ht="47.25" x14ac:dyDescent="0.25">
      <c r="A962" s="25" t="s">
        <v>839</v>
      </c>
      <c r="B962" s="20" t="s">
        <v>238</v>
      </c>
      <c r="C962" s="20" t="s">
        <v>213</v>
      </c>
      <c r="D962" s="20" t="s">
        <v>1318</v>
      </c>
      <c r="E962" s="20"/>
      <c r="F962" s="6">
        <f>F963</f>
        <v>276</v>
      </c>
      <c r="G962" s="6">
        <f>G963</f>
        <v>276</v>
      </c>
    </row>
    <row r="963" spans="1:7" ht="94.5" x14ac:dyDescent="0.25">
      <c r="A963" s="25" t="s">
        <v>127</v>
      </c>
      <c r="B963" s="20" t="s">
        <v>238</v>
      </c>
      <c r="C963" s="20" t="s">
        <v>213</v>
      </c>
      <c r="D963" s="20" t="s">
        <v>1318</v>
      </c>
      <c r="E963" s="20" t="s">
        <v>128</v>
      </c>
      <c r="F963" s="6">
        <f>F964</f>
        <v>276</v>
      </c>
      <c r="G963" s="6">
        <f>G964</f>
        <v>276</v>
      </c>
    </row>
    <row r="964" spans="1:7" ht="31.5" x14ac:dyDescent="0.25">
      <c r="A964" s="25" t="s">
        <v>129</v>
      </c>
      <c r="B964" s="20" t="s">
        <v>238</v>
      </c>
      <c r="C964" s="20" t="s">
        <v>213</v>
      </c>
      <c r="D964" s="20" t="s">
        <v>1318</v>
      </c>
      <c r="E964" s="20" t="s">
        <v>209</v>
      </c>
      <c r="F964" s="6">
        <f>'пр.4.1.ведом.22-23'!G482</f>
        <v>276</v>
      </c>
      <c r="G964" s="6">
        <f>'пр.4.1.ведом.22-23'!H482</f>
        <v>276</v>
      </c>
    </row>
    <row r="965" spans="1:7" ht="63" x14ac:dyDescent="0.25">
      <c r="A965" s="41" t="s">
        <v>1363</v>
      </c>
      <c r="B965" s="24" t="s">
        <v>238</v>
      </c>
      <c r="C965" s="24" t="s">
        <v>213</v>
      </c>
      <c r="D965" s="24" t="s">
        <v>705</v>
      </c>
      <c r="E965" s="221"/>
      <c r="F965" s="4">
        <f t="shared" ref="F965:G968" si="99">F966</f>
        <v>74.900000000000006</v>
      </c>
      <c r="G965" s="4">
        <f t="shared" si="99"/>
        <v>77.900000000000006</v>
      </c>
    </row>
    <row r="966" spans="1:7" ht="53.1" customHeight="1" x14ac:dyDescent="0.25">
      <c r="A966" s="41" t="s">
        <v>890</v>
      </c>
      <c r="B966" s="24" t="s">
        <v>238</v>
      </c>
      <c r="C966" s="24" t="s">
        <v>213</v>
      </c>
      <c r="D966" s="24" t="s">
        <v>888</v>
      </c>
      <c r="E966" s="221"/>
      <c r="F966" s="4">
        <f t="shared" si="99"/>
        <v>74.900000000000006</v>
      </c>
      <c r="G966" s="4">
        <f t="shared" si="99"/>
        <v>77.900000000000006</v>
      </c>
    </row>
    <row r="967" spans="1:7" ht="47.25" x14ac:dyDescent="0.25">
      <c r="A967" s="98" t="s">
        <v>1004</v>
      </c>
      <c r="B967" s="20" t="s">
        <v>238</v>
      </c>
      <c r="C967" s="20" t="s">
        <v>213</v>
      </c>
      <c r="D967" s="20" t="s">
        <v>889</v>
      </c>
      <c r="E967" s="32"/>
      <c r="F967" s="6">
        <f t="shared" si="99"/>
        <v>74.900000000000006</v>
      </c>
      <c r="G967" s="6">
        <f t="shared" si="99"/>
        <v>77.900000000000006</v>
      </c>
    </row>
    <row r="968" spans="1:7" ht="31.5" x14ac:dyDescent="0.25">
      <c r="A968" s="25" t="s">
        <v>131</v>
      </c>
      <c r="B968" s="20" t="s">
        <v>238</v>
      </c>
      <c r="C968" s="20" t="s">
        <v>213</v>
      </c>
      <c r="D968" s="20" t="s">
        <v>889</v>
      </c>
      <c r="E968" s="32" t="s">
        <v>132</v>
      </c>
      <c r="F968" s="6">
        <f t="shared" si="99"/>
        <v>74.900000000000006</v>
      </c>
      <c r="G968" s="6">
        <f t="shared" si="99"/>
        <v>77.900000000000006</v>
      </c>
    </row>
    <row r="969" spans="1:7" ht="47.25" x14ac:dyDescent="0.25">
      <c r="A969" s="25" t="s">
        <v>133</v>
      </c>
      <c r="B969" s="20" t="s">
        <v>238</v>
      </c>
      <c r="C969" s="20" t="s">
        <v>213</v>
      </c>
      <c r="D969" s="20" t="s">
        <v>889</v>
      </c>
      <c r="E969" s="32" t="s">
        <v>134</v>
      </c>
      <c r="F969" s="6">
        <f>'пр.4.1.ведом.22-23'!G487</f>
        <v>74.900000000000006</v>
      </c>
      <c r="G969" s="6">
        <f>'пр.4.1.ведом.22-23'!H487</f>
        <v>77.900000000000006</v>
      </c>
    </row>
    <row r="970" spans="1:7" ht="15.75" x14ac:dyDescent="0.25">
      <c r="A970" s="61" t="s">
        <v>587</v>
      </c>
      <c r="B970" s="7"/>
      <c r="C970" s="7"/>
      <c r="D970" s="7"/>
      <c r="E970" s="7"/>
      <c r="F970" s="382">
        <f>F9+F230+F249+F314+F478+F741+F885+F951+F829+F8</f>
        <v>733748.7178499999</v>
      </c>
      <c r="G970" s="382">
        <f>G9+G230+G249+G314+G478+G741+G885+G951+G829+G8</f>
        <v>776239.05</v>
      </c>
    </row>
    <row r="971" spans="1:7" ht="15.75" hidden="1" x14ac:dyDescent="0.25">
      <c r="A971" s="203"/>
      <c r="B971" s="203"/>
      <c r="C971" s="203"/>
      <c r="D971" s="203"/>
      <c r="E971" s="203"/>
      <c r="F971" s="4">
        <f>'пр.4.1.ведом.22-23'!G1094</f>
        <v>733748.7178499999</v>
      </c>
      <c r="G971" s="4">
        <f>'пр.4.1.ведом.22-23'!H1094</f>
        <v>776239.04999999993</v>
      </c>
    </row>
    <row r="972" spans="1:7" ht="15.75" hidden="1" x14ac:dyDescent="0.25">
      <c r="A972" s="203"/>
      <c r="B972" s="203"/>
      <c r="C972" s="203"/>
      <c r="D972" s="203"/>
      <c r="E972" s="203"/>
      <c r="F972" s="4">
        <f>F971-F970</f>
        <v>0</v>
      </c>
      <c r="G972" s="4">
        <f>G971-G970</f>
        <v>0</v>
      </c>
    </row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2"/>
  <sheetViews>
    <sheetView view="pageBreakPreview" topLeftCell="A964" zoomScaleNormal="100" zoomScaleSheetLayoutView="100" workbookViewId="0">
      <selection activeCell="C103" sqref="C103:D103"/>
    </sheetView>
  </sheetViews>
  <sheetFormatPr defaultColWidth="9.140625" defaultRowHeight="15" x14ac:dyDescent="0.25"/>
  <cols>
    <col min="1" max="1" width="48.28515625" style="457" customWidth="1"/>
    <col min="2" max="2" width="4.5703125" style="457" customWidth="1"/>
    <col min="3" max="3" width="4.140625" style="457" customWidth="1"/>
    <col min="4" max="4" width="15.140625" style="457" customWidth="1"/>
    <col min="5" max="5" width="5.7109375" style="457" customWidth="1"/>
    <col min="6" max="6" width="13.7109375" style="22" customWidth="1"/>
    <col min="7" max="7" width="14.7109375" style="22" customWidth="1"/>
    <col min="8" max="8" width="13.5703125" style="457" hidden="1" customWidth="1"/>
    <col min="9" max="9" width="13.85546875" style="457" hidden="1" customWidth="1"/>
    <col min="10" max="10" width="11.85546875" style="457" hidden="1" customWidth="1"/>
    <col min="11" max="16384" width="9.140625" style="457"/>
  </cols>
  <sheetData>
    <row r="1" spans="1:10" ht="15.75" x14ac:dyDescent="0.25">
      <c r="A1" s="56"/>
      <c r="B1" s="56"/>
      <c r="C1" s="56"/>
      <c r="D1" s="204"/>
      <c r="E1" s="204"/>
      <c r="F1" s="613" t="s">
        <v>1532</v>
      </c>
      <c r="G1" s="613"/>
    </row>
    <row r="2" spans="1:10" ht="15.75" x14ac:dyDescent="0.25">
      <c r="A2" s="56"/>
      <c r="B2" s="56"/>
      <c r="C2" s="56"/>
      <c r="D2" s="204"/>
      <c r="E2" s="204"/>
      <c r="F2" s="613" t="s">
        <v>1530</v>
      </c>
      <c r="G2" s="613"/>
    </row>
    <row r="3" spans="1:10" ht="18.75" x14ac:dyDescent="0.3">
      <c r="A3" s="56"/>
      <c r="B3" s="56"/>
      <c r="C3" s="56"/>
      <c r="D3" s="204"/>
      <c r="E3" s="186"/>
      <c r="F3" s="613" t="s">
        <v>1529</v>
      </c>
      <c r="G3" s="613"/>
    </row>
    <row r="4" spans="1:10" x14ac:dyDescent="0.25">
      <c r="A4" s="56"/>
      <c r="B4" s="56"/>
      <c r="C4" s="56"/>
      <c r="D4" s="56"/>
      <c r="E4" s="56"/>
      <c r="F4" s="115"/>
      <c r="G4" s="115"/>
    </row>
    <row r="5" spans="1:10" ht="74.25" customHeight="1" x14ac:dyDescent="0.25">
      <c r="A5" s="619" t="s">
        <v>1312</v>
      </c>
      <c r="B5" s="619"/>
      <c r="C5" s="619"/>
      <c r="D5" s="619"/>
      <c r="E5" s="619"/>
      <c r="F5" s="619"/>
      <c r="G5" s="619"/>
    </row>
    <row r="6" spans="1:10" x14ac:dyDescent="0.25">
      <c r="A6" s="56"/>
      <c r="B6" s="56"/>
      <c r="C6" s="56"/>
      <c r="D6" s="56"/>
      <c r="E6" s="56"/>
      <c r="F6" s="115"/>
      <c r="G6" s="270" t="s">
        <v>1</v>
      </c>
    </row>
    <row r="7" spans="1:10" ht="35.450000000000003" customHeight="1" x14ac:dyDescent="0.25">
      <c r="A7" s="225" t="s">
        <v>592</v>
      </c>
      <c r="B7" s="226" t="s">
        <v>112</v>
      </c>
      <c r="C7" s="226" t="s">
        <v>113</v>
      </c>
      <c r="D7" s="226" t="s">
        <v>114</v>
      </c>
      <c r="E7" s="226" t="s">
        <v>115</v>
      </c>
      <c r="F7" s="271" t="s">
        <v>1086</v>
      </c>
      <c r="G7" s="271" t="s">
        <v>1313</v>
      </c>
      <c r="H7" s="231">
        <f>F13+F18+F32+F37+F42+F48+F57+F60+F64+F67+F72+F77+F82+F109+F114+F118+F125+F131+F139+F142+F150+F160+F165+F227+F234+F237+F241+F246+F266+F286+F318+F323+F326+F332+F337+F342+F396+F446+F453+F458+F461+F465+F470+F717+F722+F727+F731+F738+F798+F803+F808+F815+F833+F875+F882+F926+F929+F934+F941</f>
        <v>247959.91000000003</v>
      </c>
      <c r="I7" s="231">
        <f>G13+G18+G32+G37+G42+G48+G57+G60+G64+G67+G72+G77+G82+G109+G114+G118+G125+G131+G139+G142+G150+G160+G165+G227+G234+G237+G241+G246+G266+G286+G318+G323+G326+G332+G337+G342+G396+G446+G453+G458+G461+G465+G470+G717+G722+G727+G731+G738+G798+G803+G808+G815+G833+G875+G882+G926+G929+G934+G941</f>
        <v>242586.16999999998</v>
      </c>
    </row>
    <row r="8" spans="1:10" ht="16.350000000000001" customHeight="1" x14ac:dyDescent="0.25">
      <c r="A8" s="304" t="s">
        <v>1424</v>
      </c>
      <c r="B8" s="305"/>
      <c r="C8" s="305"/>
      <c r="D8" s="305"/>
      <c r="E8" s="305"/>
      <c r="F8" s="306">
        <f>'пр.4.1. рдпр 22-23 (2)'!D10</f>
        <v>12478.692500000001</v>
      </c>
      <c r="G8" s="306">
        <f>'пр.4.1. рдпр 22-23 (2)'!E10</f>
        <v>25451.88</v>
      </c>
      <c r="H8" s="231"/>
      <c r="I8" s="231"/>
    </row>
    <row r="9" spans="1:10" ht="15.75" x14ac:dyDescent="0.25">
      <c r="A9" s="470" t="s">
        <v>117</v>
      </c>
      <c r="B9" s="7" t="s">
        <v>118</v>
      </c>
      <c r="C9" s="7"/>
      <c r="D9" s="7"/>
      <c r="E9" s="7"/>
      <c r="F9" s="458">
        <f>F10+F29+F45+F106+F136+F128</f>
        <v>136787.41</v>
      </c>
      <c r="G9" s="458">
        <f>G10+G29+G45+G106+G136+G128</f>
        <v>123941.72</v>
      </c>
      <c r="H9" s="224"/>
      <c r="I9" s="224"/>
      <c r="J9" s="224"/>
    </row>
    <row r="10" spans="1:10" ht="47.25" x14ac:dyDescent="0.25">
      <c r="A10" s="470" t="s">
        <v>575</v>
      </c>
      <c r="B10" s="7" t="s">
        <v>118</v>
      </c>
      <c r="C10" s="7" t="s">
        <v>213</v>
      </c>
      <c r="D10" s="7"/>
      <c r="E10" s="7"/>
      <c r="F10" s="458">
        <f>F11+F21</f>
        <v>4867.3999999999996</v>
      </c>
      <c r="G10" s="458">
        <f>G11+G21</f>
        <v>4867.3999999999996</v>
      </c>
      <c r="H10" s="224"/>
      <c r="I10" s="224"/>
    </row>
    <row r="11" spans="1:10" ht="31.5" x14ac:dyDescent="0.25">
      <c r="A11" s="464" t="s">
        <v>917</v>
      </c>
      <c r="B11" s="7" t="s">
        <v>118</v>
      </c>
      <c r="C11" s="7" t="s">
        <v>213</v>
      </c>
      <c r="D11" s="7" t="s">
        <v>858</v>
      </c>
      <c r="E11" s="7"/>
      <c r="F11" s="458">
        <f t="shared" ref="F11:G11" si="0">F12</f>
        <v>4826.8999999999996</v>
      </c>
      <c r="G11" s="458">
        <f t="shared" si="0"/>
        <v>4826.8999999999996</v>
      </c>
    </row>
    <row r="12" spans="1:10" ht="15.75" x14ac:dyDescent="0.25">
      <c r="A12" s="464" t="s">
        <v>918</v>
      </c>
      <c r="B12" s="7" t="s">
        <v>118</v>
      </c>
      <c r="C12" s="7" t="s">
        <v>213</v>
      </c>
      <c r="D12" s="7" t="s">
        <v>859</v>
      </c>
      <c r="E12" s="7"/>
      <c r="F12" s="458">
        <f>F13+F18</f>
        <v>4826.8999999999996</v>
      </c>
      <c r="G12" s="458">
        <f>G13+G18</f>
        <v>4826.8999999999996</v>
      </c>
    </row>
    <row r="13" spans="1:10" ht="47.25" x14ac:dyDescent="0.25">
      <c r="A13" s="29" t="s">
        <v>576</v>
      </c>
      <c r="B13" s="469" t="s">
        <v>118</v>
      </c>
      <c r="C13" s="469" t="s">
        <v>213</v>
      </c>
      <c r="D13" s="469" t="s">
        <v>1338</v>
      </c>
      <c r="E13" s="469"/>
      <c r="F13" s="459">
        <f>F14+F16</f>
        <v>4826.8999999999996</v>
      </c>
      <c r="G13" s="459">
        <f>G14+G16</f>
        <v>4826.8999999999996</v>
      </c>
      <c r="H13" s="231">
        <f>F13+F18+F48+F57+F60+F118+F125+F446+F453+F717+F798+F803+F926+F929+F722</f>
        <v>104071.91</v>
      </c>
      <c r="I13" s="231">
        <f>G13+G18+G48+G57+G60+G118+G125+G446+G453+G717+G798+G803+G926+G929+G722</f>
        <v>91098.720000000016</v>
      </c>
    </row>
    <row r="14" spans="1:10" ht="94.5" x14ac:dyDescent="0.25">
      <c r="A14" s="29" t="s">
        <v>127</v>
      </c>
      <c r="B14" s="469" t="s">
        <v>118</v>
      </c>
      <c r="C14" s="469" t="s">
        <v>213</v>
      </c>
      <c r="D14" s="469" t="s">
        <v>1338</v>
      </c>
      <c r="E14" s="469" t="s">
        <v>128</v>
      </c>
      <c r="F14" s="459">
        <f>F15</f>
        <v>4736.8999999999996</v>
      </c>
      <c r="G14" s="459">
        <f>G15</f>
        <v>4736.8999999999996</v>
      </c>
    </row>
    <row r="15" spans="1:10" ht="31.5" x14ac:dyDescent="0.25">
      <c r="A15" s="29" t="s">
        <v>129</v>
      </c>
      <c r="B15" s="469" t="s">
        <v>118</v>
      </c>
      <c r="C15" s="469" t="s">
        <v>213</v>
      </c>
      <c r="D15" s="469" t="s">
        <v>1338</v>
      </c>
      <c r="E15" s="469" t="s">
        <v>130</v>
      </c>
      <c r="F15" s="459">
        <f>'пр.6.1.ведом.22-23 (2)'!G38</f>
        <v>4736.8999999999996</v>
      </c>
      <c r="G15" s="459">
        <f>'пр.6.1.ведом.22-23 (2)'!H38</f>
        <v>4736.8999999999996</v>
      </c>
    </row>
    <row r="16" spans="1:10" ht="31.5" x14ac:dyDescent="0.25">
      <c r="A16" s="29" t="s">
        <v>131</v>
      </c>
      <c r="B16" s="469" t="s">
        <v>118</v>
      </c>
      <c r="C16" s="469" t="s">
        <v>213</v>
      </c>
      <c r="D16" s="469" t="s">
        <v>1338</v>
      </c>
      <c r="E16" s="469" t="s">
        <v>132</v>
      </c>
      <c r="F16" s="459">
        <f>F17</f>
        <v>90</v>
      </c>
      <c r="G16" s="459">
        <f>G17</f>
        <v>90</v>
      </c>
    </row>
    <row r="17" spans="1:9" ht="47.25" x14ac:dyDescent="0.25">
      <c r="A17" s="29" t="s">
        <v>133</v>
      </c>
      <c r="B17" s="469" t="s">
        <v>118</v>
      </c>
      <c r="C17" s="469" t="s">
        <v>213</v>
      </c>
      <c r="D17" s="469" t="s">
        <v>1338</v>
      </c>
      <c r="E17" s="469" t="s">
        <v>134</v>
      </c>
      <c r="F17" s="459">
        <f>'пр.6.1.ведом.22-23 (2)'!G40</f>
        <v>90</v>
      </c>
      <c r="G17" s="459">
        <f>'пр.6.1.ведом.22-23 (2)'!H40</f>
        <v>90</v>
      </c>
    </row>
    <row r="18" spans="1:9" ht="47.25" hidden="1" x14ac:dyDescent="0.25">
      <c r="A18" s="466" t="s">
        <v>839</v>
      </c>
      <c r="B18" s="469" t="s">
        <v>118</v>
      </c>
      <c r="C18" s="469" t="s">
        <v>213</v>
      </c>
      <c r="D18" s="469" t="s">
        <v>862</v>
      </c>
      <c r="E18" s="469"/>
      <c r="F18" s="459">
        <f>F19</f>
        <v>0</v>
      </c>
      <c r="G18" s="459">
        <f t="shared" ref="G18:G44" si="1">F18</f>
        <v>0</v>
      </c>
    </row>
    <row r="19" spans="1:9" ht="94.5" hidden="1" x14ac:dyDescent="0.25">
      <c r="A19" s="466" t="s">
        <v>127</v>
      </c>
      <c r="B19" s="469" t="s">
        <v>118</v>
      </c>
      <c r="C19" s="469" t="s">
        <v>213</v>
      </c>
      <c r="D19" s="469" t="s">
        <v>862</v>
      </c>
      <c r="E19" s="469" t="s">
        <v>128</v>
      </c>
      <c r="F19" s="459">
        <f>F20</f>
        <v>0</v>
      </c>
      <c r="G19" s="459">
        <f>G20</f>
        <v>0</v>
      </c>
    </row>
    <row r="20" spans="1:9" ht="31.5" hidden="1" x14ac:dyDescent="0.25">
      <c r="A20" s="466" t="s">
        <v>129</v>
      </c>
      <c r="B20" s="469" t="s">
        <v>118</v>
      </c>
      <c r="C20" s="469" t="s">
        <v>213</v>
      </c>
      <c r="D20" s="469" t="s">
        <v>862</v>
      </c>
      <c r="E20" s="469" t="s">
        <v>130</v>
      </c>
      <c r="F20" s="459">
        <f>'пр.6.1.ведом.22-23 (2)'!G43</f>
        <v>0</v>
      </c>
      <c r="G20" s="459">
        <f>'пр.6.1.ведом.22-23 (2)'!H43</f>
        <v>0</v>
      </c>
    </row>
    <row r="21" spans="1:9" ht="47.25" x14ac:dyDescent="0.25">
      <c r="A21" s="464" t="s">
        <v>1349</v>
      </c>
      <c r="B21" s="465" t="s">
        <v>118</v>
      </c>
      <c r="C21" s="7" t="s">
        <v>213</v>
      </c>
      <c r="D21" s="465" t="s">
        <v>162</v>
      </c>
      <c r="E21" s="7"/>
      <c r="F21" s="379">
        <f>F22</f>
        <v>40.5</v>
      </c>
      <c r="G21" s="379">
        <f>G22</f>
        <v>40.5</v>
      </c>
    </row>
    <row r="22" spans="1:9" ht="78.75" x14ac:dyDescent="0.25">
      <c r="A22" s="219" t="s">
        <v>843</v>
      </c>
      <c r="B22" s="465" t="s">
        <v>118</v>
      </c>
      <c r="C22" s="7" t="s">
        <v>213</v>
      </c>
      <c r="D22" s="7" t="s">
        <v>850</v>
      </c>
      <c r="E22" s="7"/>
      <c r="F22" s="379">
        <f>F23+F26</f>
        <v>40.5</v>
      </c>
      <c r="G22" s="379">
        <f>G23+G26</f>
        <v>40.5</v>
      </c>
    </row>
    <row r="23" spans="1:9" ht="63" x14ac:dyDescent="0.25">
      <c r="A23" s="31" t="s">
        <v>695</v>
      </c>
      <c r="B23" s="462" t="s">
        <v>118</v>
      </c>
      <c r="C23" s="462" t="s">
        <v>213</v>
      </c>
      <c r="D23" s="469" t="s">
        <v>993</v>
      </c>
      <c r="E23" s="462"/>
      <c r="F23" s="459">
        <f>F24</f>
        <v>40.5</v>
      </c>
      <c r="G23" s="459">
        <f>G24</f>
        <v>40.5</v>
      </c>
    </row>
    <row r="24" spans="1:9" ht="31.5" x14ac:dyDescent="0.25">
      <c r="A24" s="466" t="s">
        <v>131</v>
      </c>
      <c r="B24" s="462" t="s">
        <v>118</v>
      </c>
      <c r="C24" s="462" t="s">
        <v>213</v>
      </c>
      <c r="D24" s="469" t="s">
        <v>993</v>
      </c>
      <c r="E24" s="462" t="s">
        <v>132</v>
      </c>
      <c r="F24" s="459">
        <f>F25</f>
        <v>40.5</v>
      </c>
      <c r="G24" s="459">
        <f>G25</f>
        <v>40.5</v>
      </c>
    </row>
    <row r="25" spans="1:9" ht="47.25" x14ac:dyDescent="0.25">
      <c r="A25" s="466" t="s">
        <v>133</v>
      </c>
      <c r="B25" s="462" t="s">
        <v>118</v>
      </c>
      <c r="C25" s="462" t="s">
        <v>213</v>
      </c>
      <c r="D25" s="469" t="s">
        <v>696</v>
      </c>
      <c r="E25" s="462" t="s">
        <v>134</v>
      </c>
      <c r="F25" s="459">
        <f>'пр.6.1.ведом.22-23 (2)'!G48</f>
        <v>40.5</v>
      </c>
      <c r="G25" s="459">
        <f>'пр.6.1.ведом.22-23 (2)'!H48</f>
        <v>40.5</v>
      </c>
    </row>
    <row r="26" spans="1:9" ht="63" hidden="1" x14ac:dyDescent="0.25">
      <c r="A26" s="31" t="s">
        <v>695</v>
      </c>
      <c r="B26" s="462" t="s">
        <v>118</v>
      </c>
      <c r="C26" s="462" t="s">
        <v>213</v>
      </c>
      <c r="D26" s="462" t="s">
        <v>992</v>
      </c>
      <c r="E26" s="462"/>
      <c r="F26" s="459">
        <f>F27</f>
        <v>0</v>
      </c>
      <c r="G26" s="459">
        <f>G27</f>
        <v>0</v>
      </c>
    </row>
    <row r="27" spans="1:9" ht="31.5" hidden="1" x14ac:dyDescent="0.25">
      <c r="A27" s="466" t="s">
        <v>131</v>
      </c>
      <c r="B27" s="462" t="s">
        <v>118</v>
      </c>
      <c r="C27" s="462" t="s">
        <v>213</v>
      </c>
      <c r="D27" s="462" t="s">
        <v>992</v>
      </c>
      <c r="E27" s="462" t="s">
        <v>132</v>
      </c>
      <c r="F27" s="459">
        <f>F28</f>
        <v>0</v>
      </c>
      <c r="G27" s="459">
        <f>G28</f>
        <v>0</v>
      </c>
    </row>
    <row r="28" spans="1:9" ht="47.25" hidden="1" x14ac:dyDescent="0.25">
      <c r="A28" s="466" t="s">
        <v>133</v>
      </c>
      <c r="B28" s="462" t="s">
        <v>118</v>
      </c>
      <c r="C28" s="462" t="s">
        <v>213</v>
      </c>
      <c r="D28" s="462" t="s">
        <v>992</v>
      </c>
      <c r="E28" s="462" t="s">
        <v>134</v>
      </c>
      <c r="F28" s="459">
        <f>'пр.6.1.ведом.22-23 (2)'!G51</f>
        <v>0</v>
      </c>
      <c r="G28" s="459">
        <f>'пр.6.1.ведом.22-23 (2)'!H51</f>
        <v>0</v>
      </c>
    </row>
    <row r="29" spans="1:9" ht="78.75" x14ac:dyDescent="0.25">
      <c r="A29" s="470" t="s">
        <v>578</v>
      </c>
      <c r="B29" s="7" t="s">
        <v>118</v>
      </c>
      <c r="C29" s="7" t="s">
        <v>215</v>
      </c>
      <c r="D29" s="7"/>
      <c r="E29" s="7"/>
      <c r="F29" s="458">
        <f t="shared" ref="F29:G30" si="2">F30</f>
        <v>5488</v>
      </c>
      <c r="G29" s="458">
        <f t="shared" si="2"/>
        <v>5488</v>
      </c>
    </row>
    <row r="30" spans="1:9" ht="31.5" x14ac:dyDescent="0.25">
      <c r="A30" s="464" t="s">
        <v>917</v>
      </c>
      <c r="B30" s="7" t="s">
        <v>118</v>
      </c>
      <c r="C30" s="7" t="s">
        <v>215</v>
      </c>
      <c r="D30" s="7" t="s">
        <v>858</v>
      </c>
      <c r="E30" s="7"/>
      <c r="F30" s="458">
        <f t="shared" si="2"/>
        <v>5488</v>
      </c>
      <c r="G30" s="458">
        <f t="shared" si="2"/>
        <v>5488</v>
      </c>
    </row>
    <row r="31" spans="1:9" ht="31.5" x14ac:dyDescent="0.25">
      <c r="A31" s="464" t="s">
        <v>986</v>
      </c>
      <c r="B31" s="7" t="s">
        <v>118</v>
      </c>
      <c r="C31" s="7" t="s">
        <v>215</v>
      </c>
      <c r="D31" s="7" t="s">
        <v>987</v>
      </c>
      <c r="E31" s="7"/>
      <c r="F31" s="458">
        <f>F37+F42+F32</f>
        <v>5488</v>
      </c>
      <c r="G31" s="458">
        <f>G37+G42+G32</f>
        <v>5488</v>
      </c>
    </row>
    <row r="32" spans="1:9" ht="47.25" x14ac:dyDescent="0.25">
      <c r="A32" s="285" t="s">
        <v>1374</v>
      </c>
      <c r="B32" s="462" t="s">
        <v>118</v>
      </c>
      <c r="C32" s="462" t="s">
        <v>215</v>
      </c>
      <c r="D32" s="462" t="s">
        <v>1412</v>
      </c>
      <c r="E32" s="465"/>
      <c r="F32" s="459">
        <f>F33+F35</f>
        <v>4247.6000000000004</v>
      </c>
      <c r="G32" s="459">
        <f>G33+G35</f>
        <v>4247.6000000000004</v>
      </c>
      <c r="H32" s="231">
        <f>F32+F37+F109+F114</f>
        <v>7286.5</v>
      </c>
      <c r="I32" s="231">
        <f>G32+G37+G109+G114</f>
        <v>7286.5</v>
      </c>
    </row>
    <row r="33" spans="1:9" ht="94.5" x14ac:dyDescent="0.25">
      <c r="A33" s="466" t="s">
        <v>127</v>
      </c>
      <c r="B33" s="462" t="s">
        <v>118</v>
      </c>
      <c r="C33" s="462" t="s">
        <v>215</v>
      </c>
      <c r="D33" s="462" t="s">
        <v>1412</v>
      </c>
      <c r="E33" s="462" t="s">
        <v>128</v>
      </c>
      <c r="F33" s="459">
        <f>F34</f>
        <v>4154.6000000000004</v>
      </c>
      <c r="G33" s="459">
        <f>G34</f>
        <v>4154.6000000000004</v>
      </c>
    </row>
    <row r="34" spans="1:9" ht="31.5" x14ac:dyDescent="0.25">
      <c r="A34" s="466" t="s">
        <v>129</v>
      </c>
      <c r="B34" s="462" t="s">
        <v>118</v>
      </c>
      <c r="C34" s="462" t="s">
        <v>215</v>
      </c>
      <c r="D34" s="462" t="s">
        <v>1412</v>
      </c>
      <c r="E34" s="462" t="s">
        <v>130</v>
      </c>
      <c r="F34" s="459">
        <f>'пр.6.1.ведом.22-23 (2)'!G1072</f>
        <v>4154.6000000000004</v>
      </c>
      <c r="G34" s="459">
        <f>'пр.6.1.ведом.22-23 (2)'!H1072</f>
        <v>4154.6000000000004</v>
      </c>
    </row>
    <row r="35" spans="1:9" ht="47.25" x14ac:dyDescent="0.25">
      <c r="A35" s="466" t="s">
        <v>198</v>
      </c>
      <c r="B35" s="462" t="s">
        <v>118</v>
      </c>
      <c r="C35" s="462" t="s">
        <v>215</v>
      </c>
      <c r="D35" s="462" t="s">
        <v>1412</v>
      </c>
      <c r="E35" s="462" t="s">
        <v>132</v>
      </c>
      <c r="F35" s="459">
        <f>F36</f>
        <v>93</v>
      </c>
      <c r="G35" s="459">
        <f>G36</f>
        <v>93</v>
      </c>
    </row>
    <row r="36" spans="1:9" ht="47.25" x14ac:dyDescent="0.25">
      <c r="A36" s="466" t="s">
        <v>133</v>
      </c>
      <c r="B36" s="462" t="s">
        <v>118</v>
      </c>
      <c r="C36" s="462" t="s">
        <v>215</v>
      </c>
      <c r="D36" s="462" t="s">
        <v>1412</v>
      </c>
      <c r="E36" s="462" t="s">
        <v>134</v>
      </c>
      <c r="F36" s="459">
        <f>'пр.6.1.ведом.22-23 (2)'!G1074</f>
        <v>93</v>
      </c>
      <c r="G36" s="459">
        <f>'пр.6.1.ведом.22-23 (2)'!H1074</f>
        <v>93</v>
      </c>
    </row>
    <row r="37" spans="1:9" ht="31.5" x14ac:dyDescent="0.25">
      <c r="A37" s="466" t="s">
        <v>990</v>
      </c>
      <c r="B37" s="469" t="s">
        <v>118</v>
      </c>
      <c r="C37" s="469" t="s">
        <v>215</v>
      </c>
      <c r="D37" s="469" t="s">
        <v>991</v>
      </c>
      <c r="E37" s="469"/>
      <c r="F37" s="459">
        <f>F38+F40</f>
        <v>1240.4000000000001</v>
      </c>
      <c r="G37" s="459">
        <f>G38+G40</f>
        <v>1240.4000000000001</v>
      </c>
    </row>
    <row r="38" spans="1:9" ht="94.5" x14ac:dyDescent="0.25">
      <c r="A38" s="29" t="s">
        <v>127</v>
      </c>
      <c r="B38" s="469" t="s">
        <v>118</v>
      </c>
      <c r="C38" s="469" t="s">
        <v>215</v>
      </c>
      <c r="D38" s="469" t="s">
        <v>991</v>
      </c>
      <c r="E38" s="469" t="s">
        <v>128</v>
      </c>
      <c r="F38" s="459">
        <f>F39</f>
        <v>1240.4000000000001</v>
      </c>
      <c r="G38" s="459">
        <f>G39</f>
        <v>1240.4000000000001</v>
      </c>
    </row>
    <row r="39" spans="1:9" ht="35.450000000000003" customHeight="1" x14ac:dyDescent="0.25">
      <c r="A39" s="29" t="s">
        <v>129</v>
      </c>
      <c r="B39" s="469" t="s">
        <v>118</v>
      </c>
      <c r="C39" s="469" t="s">
        <v>215</v>
      </c>
      <c r="D39" s="469" t="s">
        <v>991</v>
      </c>
      <c r="E39" s="469" t="s">
        <v>130</v>
      </c>
      <c r="F39" s="459">
        <f>'пр.6.1.ведом.22-23 (2)'!G1077</f>
        <v>1240.4000000000001</v>
      </c>
      <c r="G39" s="459">
        <f>'пр.6.1.ведом.22-23 (2)'!H1077</f>
        <v>1240.4000000000001</v>
      </c>
    </row>
    <row r="40" spans="1:9" ht="31.5" hidden="1" x14ac:dyDescent="0.25">
      <c r="A40" s="29" t="s">
        <v>131</v>
      </c>
      <c r="B40" s="469" t="s">
        <v>118</v>
      </c>
      <c r="C40" s="469" t="s">
        <v>215</v>
      </c>
      <c r="D40" s="469" t="s">
        <v>991</v>
      </c>
      <c r="E40" s="469" t="s">
        <v>132</v>
      </c>
      <c r="F40" s="459">
        <f>F41</f>
        <v>0</v>
      </c>
      <c r="G40" s="459">
        <f>G41</f>
        <v>0</v>
      </c>
    </row>
    <row r="41" spans="1:9" ht="47.25" hidden="1" x14ac:dyDescent="0.25">
      <c r="A41" s="29" t="s">
        <v>133</v>
      </c>
      <c r="B41" s="469" t="s">
        <v>118</v>
      </c>
      <c r="C41" s="469" t="s">
        <v>215</v>
      </c>
      <c r="D41" s="469" t="s">
        <v>991</v>
      </c>
      <c r="E41" s="469" t="s">
        <v>134</v>
      </c>
      <c r="F41" s="459">
        <f>'пр.6.1.ведом.22-23 (2)'!G1079</f>
        <v>0</v>
      </c>
      <c r="G41" s="459">
        <f>'пр.6.1.ведом.22-23 (2)'!H1079</f>
        <v>0</v>
      </c>
    </row>
    <row r="42" spans="1:9" ht="47.25" hidden="1" x14ac:dyDescent="0.25">
      <c r="A42" s="466" t="s">
        <v>839</v>
      </c>
      <c r="B42" s="469" t="s">
        <v>118</v>
      </c>
      <c r="C42" s="469" t="s">
        <v>215</v>
      </c>
      <c r="D42" s="469" t="s">
        <v>989</v>
      </c>
      <c r="E42" s="469"/>
      <c r="F42" s="459">
        <f>'[1]Пр.4 Рд,пр, ЦС,ВР 21'!F38</f>
        <v>0</v>
      </c>
      <c r="G42" s="459">
        <f t="shared" si="1"/>
        <v>0</v>
      </c>
    </row>
    <row r="43" spans="1:9" ht="94.5" hidden="1" x14ac:dyDescent="0.25">
      <c r="A43" s="466" t="s">
        <v>127</v>
      </c>
      <c r="B43" s="469" t="s">
        <v>118</v>
      </c>
      <c r="C43" s="469" t="s">
        <v>215</v>
      </c>
      <c r="D43" s="469" t="s">
        <v>989</v>
      </c>
      <c r="E43" s="469" t="s">
        <v>128</v>
      </c>
      <c r="F43" s="459">
        <f>'[1]Пр.4 Рд,пр, ЦС,ВР 21'!F39</f>
        <v>0</v>
      </c>
      <c r="G43" s="459">
        <f t="shared" si="1"/>
        <v>0</v>
      </c>
    </row>
    <row r="44" spans="1:9" ht="39.75" hidden="1" customHeight="1" x14ac:dyDescent="0.25">
      <c r="A44" s="466" t="s">
        <v>129</v>
      </c>
      <c r="B44" s="469" t="s">
        <v>118</v>
      </c>
      <c r="C44" s="469" t="s">
        <v>215</v>
      </c>
      <c r="D44" s="469" t="s">
        <v>989</v>
      </c>
      <c r="E44" s="469" t="s">
        <v>130</v>
      </c>
      <c r="F44" s="459">
        <f>'[1]Пр.4 Рд,пр, ЦС,ВР 21'!F40</f>
        <v>0</v>
      </c>
      <c r="G44" s="459">
        <f t="shared" si="1"/>
        <v>0</v>
      </c>
    </row>
    <row r="45" spans="1:9" ht="78.75" x14ac:dyDescent="0.25">
      <c r="A45" s="470" t="s">
        <v>149</v>
      </c>
      <c r="B45" s="7" t="s">
        <v>118</v>
      </c>
      <c r="C45" s="7" t="s">
        <v>150</v>
      </c>
      <c r="D45" s="7"/>
      <c r="E45" s="7"/>
      <c r="F45" s="458">
        <f>F46+F85</f>
        <v>56977.11</v>
      </c>
      <c r="G45" s="458">
        <f>G46+G85</f>
        <v>43788.420000000006</v>
      </c>
      <c r="H45" s="231">
        <f>'пр.6.1.ведом.22-23 (2)'!H490+'пр.6.1.ведом.22-23 (2)'!H52</f>
        <v>43788.42</v>
      </c>
      <c r="I45" s="231">
        <f>H46-F45</f>
        <v>5218.0900000000038</v>
      </c>
    </row>
    <row r="46" spans="1:9" ht="31.5" x14ac:dyDescent="0.25">
      <c r="A46" s="464" t="s">
        <v>917</v>
      </c>
      <c r="B46" s="7" t="s">
        <v>118</v>
      </c>
      <c r="C46" s="7" t="s">
        <v>150</v>
      </c>
      <c r="D46" s="7" t="s">
        <v>858</v>
      </c>
      <c r="E46" s="7"/>
      <c r="F46" s="458">
        <f>F47+F63</f>
        <v>56293.61</v>
      </c>
      <c r="G46" s="458">
        <f>G47+G63</f>
        <v>43104.920000000006</v>
      </c>
      <c r="H46" s="457">
        <f>50028.3+12166.9</f>
        <v>62195.200000000004</v>
      </c>
    </row>
    <row r="47" spans="1:9" ht="15.75" x14ac:dyDescent="0.25">
      <c r="A47" s="464" t="s">
        <v>918</v>
      </c>
      <c r="B47" s="7" t="s">
        <v>118</v>
      </c>
      <c r="C47" s="7" t="s">
        <v>150</v>
      </c>
      <c r="D47" s="7" t="s">
        <v>859</v>
      </c>
      <c r="E47" s="7"/>
      <c r="F47" s="458">
        <f>F48+F57+F60</f>
        <v>52962.71</v>
      </c>
      <c r="G47" s="458">
        <f>G48+G57+G60</f>
        <v>39989.520000000004</v>
      </c>
    </row>
    <row r="48" spans="1:9" ht="31.5" x14ac:dyDescent="0.25">
      <c r="A48" s="29" t="s">
        <v>897</v>
      </c>
      <c r="B48" s="469" t="s">
        <v>118</v>
      </c>
      <c r="C48" s="469" t="s">
        <v>150</v>
      </c>
      <c r="D48" s="469" t="s">
        <v>860</v>
      </c>
      <c r="E48" s="469"/>
      <c r="F48" s="459">
        <f>F49+F51+F53+F55</f>
        <v>48838.31</v>
      </c>
      <c r="G48" s="459">
        <f>G49+G51+G53+G55</f>
        <v>35865.120000000003</v>
      </c>
      <c r="H48" s="231">
        <f>'пр.6.1.ведом.22-23 (2)'!G55+'пр.6.1.ведом.22-23 (2)'!G493</f>
        <v>48838.31</v>
      </c>
    </row>
    <row r="49" spans="1:9" ht="94.5" x14ac:dyDescent="0.25">
      <c r="A49" s="29" t="s">
        <v>127</v>
      </c>
      <c r="B49" s="469" t="s">
        <v>118</v>
      </c>
      <c r="C49" s="469" t="s">
        <v>150</v>
      </c>
      <c r="D49" s="469" t="s">
        <v>860</v>
      </c>
      <c r="E49" s="469" t="s">
        <v>128</v>
      </c>
      <c r="F49" s="459">
        <f>F50</f>
        <v>42632.909999999996</v>
      </c>
      <c r="G49" s="459">
        <f>G50</f>
        <v>29659.72</v>
      </c>
    </row>
    <row r="50" spans="1:9" ht="40.700000000000003" customHeight="1" x14ac:dyDescent="0.25">
      <c r="A50" s="29" t="s">
        <v>129</v>
      </c>
      <c r="B50" s="469" t="s">
        <v>118</v>
      </c>
      <c r="C50" s="469" t="s">
        <v>150</v>
      </c>
      <c r="D50" s="469" t="s">
        <v>860</v>
      </c>
      <c r="E50" s="469" t="s">
        <v>130</v>
      </c>
      <c r="F50" s="459">
        <f>'пр.6.1.ведом.22-23 (2)'!G495+'пр.6.1.ведом.22-23 (2)'!G57</f>
        <v>42632.909999999996</v>
      </c>
      <c r="G50" s="459">
        <f>'пр.6.1.ведом.22-23 (2)'!H495+'пр.6.1.ведом.22-23 (2)'!H57</f>
        <v>29659.72</v>
      </c>
    </row>
    <row r="51" spans="1:9" ht="31.5" x14ac:dyDescent="0.25">
      <c r="A51" s="29" t="s">
        <v>131</v>
      </c>
      <c r="B51" s="469" t="s">
        <v>118</v>
      </c>
      <c r="C51" s="469" t="s">
        <v>150</v>
      </c>
      <c r="D51" s="469" t="s">
        <v>860</v>
      </c>
      <c r="E51" s="469" t="s">
        <v>132</v>
      </c>
      <c r="F51" s="459">
        <f>F52</f>
        <v>5999.4</v>
      </c>
      <c r="G51" s="459">
        <f>G52</f>
        <v>5999.4</v>
      </c>
    </row>
    <row r="52" spans="1:9" ht="47.25" x14ac:dyDescent="0.25">
      <c r="A52" s="29" t="s">
        <v>133</v>
      </c>
      <c r="B52" s="469" t="s">
        <v>118</v>
      </c>
      <c r="C52" s="469" t="s">
        <v>150</v>
      </c>
      <c r="D52" s="469" t="s">
        <v>860</v>
      </c>
      <c r="E52" s="469" t="s">
        <v>134</v>
      </c>
      <c r="F52" s="459">
        <f>'пр.6.1.ведом.22-23 (2)'!G59+'пр.6.1.ведом.22-23 (2)'!G497</f>
        <v>5999.4</v>
      </c>
      <c r="G52" s="459">
        <f>'пр.6.1.ведом.22-23 (2)'!H59+'пр.6.1.ведом.22-23 (2)'!H497</f>
        <v>5999.4</v>
      </c>
    </row>
    <row r="53" spans="1:9" ht="31.5" hidden="1" x14ac:dyDescent="0.25">
      <c r="A53" s="466" t="s">
        <v>248</v>
      </c>
      <c r="B53" s="469" t="s">
        <v>118</v>
      </c>
      <c r="C53" s="469" t="s">
        <v>150</v>
      </c>
      <c r="D53" s="469" t="s">
        <v>860</v>
      </c>
      <c r="E53" s="469" t="s">
        <v>249</v>
      </c>
      <c r="F53" s="459">
        <f>F54</f>
        <v>0</v>
      </c>
      <c r="G53" s="459">
        <f>G54</f>
        <v>0</v>
      </c>
    </row>
    <row r="54" spans="1:9" ht="31.5" hidden="1" x14ac:dyDescent="0.25">
      <c r="A54" s="466" t="s">
        <v>250</v>
      </c>
      <c r="B54" s="469" t="s">
        <v>118</v>
      </c>
      <c r="C54" s="469" t="s">
        <v>150</v>
      </c>
      <c r="D54" s="469" t="s">
        <v>860</v>
      </c>
      <c r="E54" s="469" t="s">
        <v>251</v>
      </c>
      <c r="F54" s="459">
        <f>'пр.6.1.ведом.22-23 (2)'!G61</f>
        <v>0</v>
      </c>
      <c r="G54" s="459">
        <f>'пр.6.1.ведом.22-23 (2)'!H61</f>
        <v>0</v>
      </c>
    </row>
    <row r="55" spans="1:9" ht="15.75" x14ac:dyDescent="0.25">
      <c r="A55" s="29" t="s">
        <v>135</v>
      </c>
      <c r="B55" s="469" t="s">
        <v>118</v>
      </c>
      <c r="C55" s="469" t="s">
        <v>150</v>
      </c>
      <c r="D55" s="469" t="s">
        <v>860</v>
      </c>
      <c r="E55" s="469" t="s">
        <v>145</v>
      </c>
      <c r="F55" s="459">
        <f>F56</f>
        <v>206</v>
      </c>
      <c r="G55" s="459">
        <f>G56</f>
        <v>206</v>
      </c>
    </row>
    <row r="56" spans="1:9" ht="19.5" customHeight="1" x14ac:dyDescent="0.25">
      <c r="A56" s="29" t="s">
        <v>568</v>
      </c>
      <c r="B56" s="469" t="s">
        <v>118</v>
      </c>
      <c r="C56" s="469" t="s">
        <v>150</v>
      </c>
      <c r="D56" s="469" t="s">
        <v>860</v>
      </c>
      <c r="E56" s="469" t="s">
        <v>138</v>
      </c>
      <c r="F56" s="459">
        <f>'пр.6.1.ведом.22-23 (2)'!G63+'пр.6.1.ведом.22-23 (2)'!G499</f>
        <v>206</v>
      </c>
      <c r="G56" s="459">
        <f>'пр.6.1.ведом.22-23 (2)'!H63+'пр.6.1.ведом.22-23 (2)'!H499</f>
        <v>206</v>
      </c>
    </row>
    <row r="57" spans="1:9" ht="31.5" x14ac:dyDescent="0.25">
      <c r="A57" s="466" t="s">
        <v>153</v>
      </c>
      <c r="B57" s="462" t="s">
        <v>118</v>
      </c>
      <c r="C57" s="462" t="s">
        <v>150</v>
      </c>
      <c r="D57" s="469" t="s">
        <v>861</v>
      </c>
      <c r="E57" s="462"/>
      <c r="F57" s="459">
        <f>F58</f>
        <v>2071.4</v>
      </c>
      <c r="G57" s="459">
        <f>G58</f>
        <v>2071.4</v>
      </c>
    </row>
    <row r="58" spans="1:9" ht="94.5" x14ac:dyDescent="0.25">
      <c r="A58" s="466" t="s">
        <v>127</v>
      </c>
      <c r="B58" s="462" t="s">
        <v>118</v>
      </c>
      <c r="C58" s="462" t="s">
        <v>150</v>
      </c>
      <c r="D58" s="469" t="s">
        <v>861</v>
      </c>
      <c r="E58" s="462" t="s">
        <v>128</v>
      </c>
      <c r="F58" s="459">
        <f>F59</f>
        <v>2071.4</v>
      </c>
      <c r="G58" s="459">
        <f>G59</f>
        <v>2071.4</v>
      </c>
    </row>
    <row r="59" spans="1:9" ht="33.75" customHeight="1" x14ac:dyDescent="0.25">
      <c r="A59" s="466" t="s">
        <v>129</v>
      </c>
      <c r="B59" s="462" t="s">
        <v>118</v>
      </c>
      <c r="C59" s="462" t="s">
        <v>150</v>
      </c>
      <c r="D59" s="469" t="s">
        <v>861</v>
      </c>
      <c r="E59" s="462" t="s">
        <v>130</v>
      </c>
      <c r="F59" s="459">
        <f>'пр.6.1.ведом.22-23 (2)'!G66</f>
        <v>2071.4</v>
      </c>
      <c r="G59" s="459">
        <f>'пр.6.1.ведом.22-23 (2)'!H66</f>
        <v>2071.4</v>
      </c>
    </row>
    <row r="60" spans="1:9" ht="47.25" x14ac:dyDescent="0.25">
      <c r="A60" s="466" t="s">
        <v>839</v>
      </c>
      <c r="B60" s="469" t="s">
        <v>118</v>
      </c>
      <c r="C60" s="462" t="s">
        <v>150</v>
      </c>
      <c r="D60" s="469" t="s">
        <v>862</v>
      </c>
      <c r="E60" s="469"/>
      <c r="F60" s="459">
        <f>F61</f>
        <v>2053</v>
      </c>
      <c r="G60" s="459">
        <f>G61</f>
        <v>2053</v>
      </c>
    </row>
    <row r="61" spans="1:9" ht="94.5" x14ac:dyDescent="0.25">
      <c r="A61" s="466" t="s">
        <v>127</v>
      </c>
      <c r="B61" s="469" t="s">
        <v>118</v>
      </c>
      <c r="C61" s="462" t="s">
        <v>150</v>
      </c>
      <c r="D61" s="469" t="s">
        <v>862</v>
      </c>
      <c r="E61" s="469" t="s">
        <v>128</v>
      </c>
      <c r="F61" s="459">
        <f>F62</f>
        <v>2053</v>
      </c>
      <c r="G61" s="459">
        <f>G62</f>
        <v>2053</v>
      </c>
    </row>
    <row r="62" spans="1:9" ht="31.7" customHeight="1" x14ac:dyDescent="0.25">
      <c r="A62" s="466" t="s">
        <v>129</v>
      </c>
      <c r="B62" s="469" t="s">
        <v>118</v>
      </c>
      <c r="C62" s="462" t="s">
        <v>150</v>
      </c>
      <c r="D62" s="469" t="s">
        <v>862</v>
      </c>
      <c r="E62" s="469" t="s">
        <v>130</v>
      </c>
      <c r="F62" s="459">
        <f>'пр.6.1.ведом.22-23 (2)'!G69+'пр.6.1.ведом.22-23 (2)'!G502</f>
        <v>2053</v>
      </c>
      <c r="G62" s="459">
        <f>'пр.6.1.ведом.22-23 (2)'!H69+'пр.6.1.ведом.22-23 (2)'!H502</f>
        <v>2053</v>
      </c>
      <c r="H62" s="231">
        <f>'пр.6.1.ведом.22-23 (2)'!G500+'пр.6.1.ведом.22-23 (2)'!G67</f>
        <v>2053</v>
      </c>
    </row>
    <row r="63" spans="1:9" ht="47.25" x14ac:dyDescent="0.25">
      <c r="A63" s="464" t="s">
        <v>885</v>
      </c>
      <c r="B63" s="7" t="s">
        <v>118</v>
      </c>
      <c r="C63" s="465" t="s">
        <v>150</v>
      </c>
      <c r="D63" s="7" t="s">
        <v>863</v>
      </c>
      <c r="E63" s="7"/>
      <c r="F63" s="458">
        <f>F64+F67+F72+F77+F82</f>
        <v>3330.9</v>
      </c>
      <c r="G63" s="458">
        <f>G64+G67+G72+G77+G82</f>
        <v>3115.4</v>
      </c>
    </row>
    <row r="64" spans="1:9" ht="47.25" hidden="1" x14ac:dyDescent="0.25">
      <c r="A64" s="466" t="s">
        <v>187</v>
      </c>
      <c r="B64" s="469" t="s">
        <v>118</v>
      </c>
      <c r="C64" s="462" t="s">
        <v>150</v>
      </c>
      <c r="D64" s="469" t="s">
        <v>1075</v>
      </c>
      <c r="E64" s="7"/>
      <c r="F64" s="459">
        <f>F65</f>
        <v>0</v>
      </c>
      <c r="G64" s="459">
        <f>G65</f>
        <v>0</v>
      </c>
      <c r="H64" s="231">
        <f>F64+F67+F72+F77+F82+F286+F342+F875</f>
        <v>7245.5</v>
      </c>
      <c r="I64" s="231">
        <f>G64+G67+G72+G77+G82+G286+G342+G875</f>
        <v>6996.6</v>
      </c>
    </row>
    <row r="65" spans="1:7" ht="31.5" hidden="1" x14ac:dyDescent="0.25">
      <c r="A65" s="466" t="s">
        <v>131</v>
      </c>
      <c r="B65" s="469" t="s">
        <v>118</v>
      </c>
      <c r="C65" s="462" t="s">
        <v>150</v>
      </c>
      <c r="D65" s="469" t="s">
        <v>1075</v>
      </c>
      <c r="E65" s="469" t="s">
        <v>132</v>
      </c>
      <c r="F65" s="459">
        <f>F66</f>
        <v>0</v>
      </c>
      <c r="G65" s="459">
        <f>G66</f>
        <v>0</v>
      </c>
    </row>
    <row r="66" spans="1:7" ht="47.25" hidden="1" x14ac:dyDescent="0.25">
      <c r="A66" s="466" t="s">
        <v>133</v>
      </c>
      <c r="B66" s="469" t="s">
        <v>118</v>
      </c>
      <c r="C66" s="462" t="s">
        <v>150</v>
      </c>
      <c r="D66" s="469" t="s">
        <v>1075</v>
      </c>
      <c r="E66" s="469" t="s">
        <v>134</v>
      </c>
      <c r="F66" s="459">
        <f>'пр.6.1.ведом.22-23 (2)'!G73</f>
        <v>0</v>
      </c>
      <c r="G66" s="459">
        <f>'пр.6.1.ведом.22-23 (2)'!H73</f>
        <v>0</v>
      </c>
    </row>
    <row r="67" spans="1:7" ht="47.25" x14ac:dyDescent="0.25">
      <c r="A67" s="45" t="s">
        <v>189</v>
      </c>
      <c r="B67" s="469" t="s">
        <v>118</v>
      </c>
      <c r="C67" s="462" t="s">
        <v>150</v>
      </c>
      <c r="D67" s="469" t="s">
        <v>920</v>
      </c>
      <c r="E67" s="469"/>
      <c r="F67" s="459">
        <f>F68+F70</f>
        <v>563.20000000000005</v>
      </c>
      <c r="G67" s="459">
        <f>G68+G70</f>
        <v>347.7</v>
      </c>
    </row>
    <row r="68" spans="1:7" ht="94.5" x14ac:dyDescent="0.25">
      <c r="A68" s="29" t="s">
        <v>127</v>
      </c>
      <c r="B68" s="469" t="s">
        <v>118</v>
      </c>
      <c r="C68" s="462" t="s">
        <v>150</v>
      </c>
      <c r="D68" s="469" t="s">
        <v>920</v>
      </c>
      <c r="E68" s="469" t="s">
        <v>128</v>
      </c>
      <c r="F68" s="459">
        <f>F69</f>
        <v>563.20000000000005</v>
      </c>
      <c r="G68" s="459">
        <f>G69</f>
        <v>347.7</v>
      </c>
    </row>
    <row r="69" spans="1:7" ht="31.5" x14ac:dyDescent="0.25">
      <c r="A69" s="29" t="s">
        <v>129</v>
      </c>
      <c r="B69" s="469" t="s">
        <v>118</v>
      </c>
      <c r="C69" s="462" t="s">
        <v>150</v>
      </c>
      <c r="D69" s="469" t="s">
        <v>920</v>
      </c>
      <c r="E69" s="469" t="s">
        <v>130</v>
      </c>
      <c r="F69" s="459">
        <f>'пр.6.1.ведом.22-23 (2)'!G76</f>
        <v>563.20000000000005</v>
      </c>
      <c r="G69" s="459">
        <f>'пр.6.1.ведом.22-23 (2)'!H76</f>
        <v>347.7</v>
      </c>
    </row>
    <row r="70" spans="1:7" ht="31.5" hidden="1" x14ac:dyDescent="0.25">
      <c r="A70" s="466" t="s">
        <v>131</v>
      </c>
      <c r="B70" s="469" t="s">
        <v>118</v>
      </c>
      <c r="C70" s="462" t="s">
        <v>150</v>
      </c>
      <c r="D70" s="469" t="s">
        <v>920</v>
      </c>
      <c r="E70" s="469" t="s">
        <v>132</v>
      </c>
      <c r="F70" s="459">
        <f>F71</f>
        <v>0</v>
      </c>
      <c r="G70" s="459">
        <f>G71</f>
        <v>0</v>
      </c>
    </row>
    <row r="71" spans="1:7" ht="47.25" hidden="1" x14ac:dyDescent="0.25">
      <c r="A71" s="466" t="s">
        <v>133</v>
      </c>
      <c r="B71" s="469" t="s">
        <v>118</v>
      </c>
      <c r="C71" s="462" t="s">
        <v>150</v>
      </c>
      <c r="D71" s="469" t="s">
        <v>920</v>
      </c>
      <c r="E71" s="469" t="s">
        <v>134</v>
      </c>
      <c r="F71" s="459">
        <f>'пр.6.1.ведом.22-23 (2)'!G78</f>
        <v>0</v>
      </c>
      <c r="G71" s="459">
        <f>'пр.6.1.ведом.22-23 (2)'!H78</f>
        <v>0</v>
      </c>
    </row>
    <row r="72" spans="1:7" ht="63" x14ac:dyDescent="0.25">
      <c r="A72" s="31" t="s">
        <v>194</v>
      </c>
      <c r="B72" s="469" t="s">
        <v>118</v>
      </c>
      <c r="C72" s="462" t="s">
        <v>150</v>
      </c>
      <c r="D72" s="469" t="s">
        <v>1030</v>
      </c>
      <c r="E72" s="469"/>
      <c r="F72" s="459">
        <f>F73+F75</f>
        <v>1411.1</v>
      </c>
      <c r="G72" s="459">
        <f>G73+G75</f>
        <v>1411.1</v>
      </c>
    </row>
    <row r="73" spans="1:7" ht="94.5" x14ac:dyDescent="0.25">
      <c r="A73" s="29" t="s">
        <v>127</v>
      </c>
      <c r="B73" s="469" t="s">
        <v>118</v>
      </c>
      <c r="C73" s="462" t="s">
        <v>150</v>
      </c>
      <c r="D73" s="469" t="s">
        <v>1030</v>
      </c>
      <c r="E73" s="469" t="s">
        <v>128</v>
      </c>
      <c r="F73" s="459">
        <f>F74</f>
        <v>1372.1</v>
      </c>
      <c r="G73" s="459">
        <f>G74</f>
        <v>1372.1</v>
      </c>
    </row>
    <row r="74" spans="1:7" ht="33" customHeight="1" x14ac:dyDescent="0.25">
      <c r="A74" s="29" t="s">
        <v>129</v>
      </c>
      <c r="B74" s="469" t="s">
        <v>118</v>
      </c>
      <c r="C74" s="462" t="s">
        <v>150</v>
      </c>
      <c r="D74" s="469" t="s">
        <v>1030</v>
      </c>
      <c r="E74" s="469" t="s">
        <v>130</v>
      </c>
      <c r="F74" s="459">
        <f>'пр.6.1.ведом.22-23 (2)'!G81</f>
        <v>1372.1</v>
      </c>
      <c r="G74" s="459">
        <f>'пр.6.1.ведом.22-23 (2)'!H81</f>
        <v>1372.1</v>
      </c>
    </row>
    <row r="75" spans="1:7" ht="31.5" x14ac:dyDescent="0.25">
      <c r="A75" s="466" t="s">
        <v>131</v>
      </c>
      <c r="B75" s="469" t="s">
        <v>118</v>
      </c>
      <c r="C75" s="462" t="s">
        <v>150</v>
      </c>
      <c r="D75" s="469" t="s">
        <v>1030</v>
      </c>
      <c r="E75" s="469" t="s">
        <v>132</v>
      </c>
      <c r="F75" s="459">
        <f>F76</f>
        <v>39</v>
      </c>
      <c r="G75" s="459">
        <f>G76</f>
        <v>39</v>
      </c>
    </row>
    <row r="76" spans="1:7" ht="47.25" x14ac:dyDescent="0.25">
      <c r="A76" s="466" t="s">
        <v>133</v>
      </c>
      <c r="B76" s="469" t="s">
        <v>118</v>
      </c>
      <c r="C76" s="462" t="s">
        <v>150</v>
      </c>
      <c r="D76" s="469" t="s">
        <v>1030</v>
      </c>
      <c r="E76" s="469" t="s">
        <v>134</v>
      </c>
      <c r="F76" s="459">
        <f>'пр.6.1.ведом.22-23 (2)'!G83</f>
        <v>39</v>
      </c>
      <c r="G76" s="459">
        <f>'пр.6.1.ведом.22-23 (2)'!H83</f>
        <v>39</v>
      </c>
    </row>
    <row r="77" spans="1:7" ht="47.25" x14ac:dyDescent="0.25">
      <c r="A77" s="45" t="s">
        <v>196</v>
      </c>
      <c r="B77" s="469" t="s">
        <v>118</v>
      </c>
      <c r="C77" s="462" t="s">
        <v>150</v>
      </c>
      <c r="D77" s="469" t="s">
        <v>921</v>
      </c>
      <c r="E77" s="469"/>
      <c r="F77" s="459">
        <f>F78+F80</f>
        <v>1334.3</v>
      </c>
      <c r="G77" s="459">
        <f>G78+G80</f>
        <v>1334.3</v>
      </c>
    </row>
    <row r="78" spans="1:7" ht="94.5" x14ac:dyDescent="0.25">
      <c r="A78" s="29" t="s">
        <v>127</v>
      </c>
      <c r="B78" s="469" t="s">
        <v>118</v>
      </c>
      <c r="C78" s="462" t="s">
        <v>150</v>
      </c>
      <c r="D78" s="469" t="s">
        <v>921</v>
      </c>
      <c r="E78" s="469" t="s">
        <v>128</v>
      </c>
      <c r="F78" s="459">
        <f>F79</f>
        <v>1300.3</v>
      </c>
      <c r="G78" s="459">
        <f>G79</f>
        <v>1300.3</v>
      </c>
    </row>
    <row r="79" spans="1:7" ht="33.75" customHeight="1" x14ac:dyDescent="0.25">
      <c r="A79" s="29" t="s">
        <v>129</v>
      </c>
      <c r="B79" s="469" t="s">
        <v>118</v>
      </c>
      <c r="C79" s="462" t="s">
        <v>150</v>
      </c>
      <c r="D79" s="469" t="s">
        <v>921</v>
      </c>
      <c r="E79" s="469" t="s">
        <v>130</v>
      </c>
      <c r="F79" s="459">
        <f>'пр.6.1.ведом.22-23 (2)'!G86</f>
        <v>1300.3</v>
      </c>
      <c r="G79" s="459">
        <f>'пр.6.1.ведом.22-23 (2)'!H86</f>
        <v>1300.3</v>
      </c>
    </row>
    <row r="80" spans="1:7" ht="31.5" x14ac:dyDescent="0.25">
      <c r="A80" s="29" t="s">
        <v>131</v>
      </c>
      <c r="B80" s="469" t="s">
        <v>118</v>
      </c>
      <c r="C80" s="462" t="s">
        <v>150</v>
      </c>
      <c r="D80" s="469" t="s">
        <v>921</v>
      </c>
      <c r="E80" s="469" t="s">
        <v>132</v>
      </c>
      <c r="F80" s="459">
        <f>F81</f>
        <v>34</v>
      </c>
      <c r="G80" s="459">
        <f>G81</f>
        <v>34</v>
      </c>
    </row>
    <row r="81" spans="1:7" ht="47.25" x14ac:dyDescent="0.25">
      <c r="A81" s="29" t="s">
        <v>133</v>
      </c>
      <c r="B81" s="469" t="s">
        <v>118</v>
      </c>
      <c r="C81" s="462" t="s">
        <v>150</v>
      </c>
      <c r="D81" s="469" t="s">
        <v>921</v>
      </c>
      <c r="E81" s="469" t="s">
        <v>134</v>
      </c>
      <c r="F81" s="459">
        <f>'пр.6.1.ведом.22-23 (2)'!G88</f>
        <v>34</v>
      </c>
      <c r="G81" s="459">
        <f>'пр.6.1.ведом.22-23 (2)'!H88</f>
        <v>34</v>
      </c>
    </row>
    <row r="82" spans="1:7" ht="94.5" x14ac:dyDescent="0.25">
      <c r="A82" s="31" t="s">
        <v>1174</v>
      </c>
      <c r="B82" s="462" t="s">
        <v>118</v>
      </c>
      <c r="C82" s="462" t="s">
        <v>150</v>
      </c>
      <c r="D82" s="462" t="s">
        <v>1173</v>
      </c>
      <c r="E82" s="462"/>
      <c r="F82" s="467">
        <f>F83</f>
        <v>22.3</v>
      </c>
      <c r="G82" s="467">
        <f>G83</f>
        <v>22.3</v>
      </c>
    </row>
    <row r="83" spans="1:7" ht="94.5" x14ac:dyDescent="0.25">
      <c r="A83" s="466" t="s">
        <v>127</v>
      </c>
      <c r="B83" s="462" t="s">
        <v>118</v>
      </c>
      <c r="C83" s="462" t="s">
        <v>150</v>
      </c>
      <c r="D83" s="462" t="s">
        <v>1173</v>
      </c>
      <c r="E83" s="462" t="s">
        <v>128</v>
      </c>
      <c r="F83" s="467">
        <f>F84</f>
        <v>22.3</v>
      </c>
      <c r="G83" s="467">
        <f>G84</f>
        <v>22.3</v>
      </c>
    </row>
    <row r="84" spans="1:7" ht="38.25" customHeight="1" x14ac:dyDescent="0.25">
      <c r="A84" s="466" t="s">
        <v>129</v>
      </c>
      <c r="B84" s="462" t="s">
        <v>118</v>
      </c>
      <c r="C84" s="462" t="s">
        <v>150</v>
      </c>
      <c r="D84" s="462" t="s">
        <v>1173</v>
      </c>
      <c r="E84" s="462" t="s">
        <v>130</v>
      </c>
      <c r="F84" s="467">
        <f>'пр.6.1.ведом.22-23 (2)'!G506</f>
        <v>22.3</v>
      </c>
      <c r="G84" s="459">
        <f>'пр.6.1.ведом.22-23 (2)'!H506</f>
        <v>22.3</v>
      </c>
    </row>
    <row r="85" spans="1:7" ht="47.25" x14ac:dyDescent="0.25">
      <c r="A85" s="464" t="s">
        <v>1375</v>
      </c>
      <c r="B85" s="465" t="s">
        <v>118</v>
      </c>
      <c r="C85" s="465" t="s">
        <v>150</v>
      </c>
      <c r="D85" s="465" t="s">
        <v>162</v>
      </c>
      <c r="E85" s="465"/>
      <c r="F85" s="458">
        <f>F86+F90+F102</f>
        <v>683.5</v>
      </c>
      <c r="G85" s="458">
        <f>G86+G90+G102</f>
        <v>683.5</v>
      </c>
    </row>
    <row r="86" spans="1:7" ht="78.75" x14ac:dyDescent="0.25">
      <c r="A86" s="299" t="s">
        <v>1350</v>
      </c>
      <c r="B86" s="465" t="s">
        <v>118</v>
      </c>
      <c r="C86" s="465" t="s">
        <v>150</v>
      </c>
      <c r="D86" s="7" t="s">
        <v>849</v>
      </c>
      <c r="E86" s="465"/>
      <c r="F86" s="458">
        <f t="shared" ref="F86:G88" si="3">F87</f>
        <v>606</v>
      </c>
      <c r="G86" s="458">
        <f t="shared" si="3"/>
        <v>606</v>
      </c>
    </row>
    <row r="87" spans="1:7" ht="63" x14ac:dyDescent="0.25">
      <c r="A87" s="29" t="s">
        <v>1314</v>
      </c>
      <c r="B87" s="462" t="s">
        <v>118</v>
      </c>
      <c r="C87" s="462" t="s">
        <v>150</v>
      </c>
      <c r="D87" s="469" t="s">
        <v>841</v>
      </c>
      <c r="E87" s="462"/>
      <c r="F87" s="459">
        <f t="shared" si="3"/>
        <v>606</v>
      </c>
      <c r="G87" s="459">
        <f t="shared" si="3"/>
        <v>606</v>
      </c>
    </row>
    <row r="88" spans="1:7" ht="31.5" x14ac:dyDescent="0.25">
      <c r="A88" s="466" t="s">
        <v>131</v>
      </c>
      <c r="B88" s="462" t="s">
        <v>118</v>
      </c>
      <c r="C88" s="462" t="s">
        <v>150</v>
      </c>
      <c r="D88" s="469" t="s">
        <v>841</v>
      </c>
      <c r="E88" s="462" t="s">
        <v>132</v>
      </c>
      <c r="F88" s="459">
        <f t="shared" si="3"/>
        <v>606</v>
      </c>
      <c r="G88" s="459">
        <f t="shared" si="3"/>
        <v>606</v>
      </c>
    </row>
    <row r="89" spans="1:7" ht="47.25" x14ac:dyDescent="0.25">
      <c r="A89" s="466" t="s">
        <v>133</v>
      </c>
      <c r="B89" s="462" t="s">
        <v>118</v>
      </c>
      <c r="C89" s="462" t="s">
        <v>150</v>
      </c>
      <c r="D89" s="469" t="s">
        <v>841</v>
      </c>
      <c r="E89" s="462" t="s">
        <v>134</v>
      </c>
      <c r="F89" s="459">
        <f>'пр.6.1.ведом.22-23 (2)'!G93</f>
        <v>606</v>
      </c>
      <c r="G89" s="459">
        <f>'пр.6.1.ведом.22-23 (2)'!H93</f>
        <v>606</v>
      </c>
    </row>
    <row r="90" spans="1:7" ht="78.75" x14ac:dyDescent="0.25">
      <c r="A90" s="219" t="s">
        <v>843</v>
      </c>
      <c r="B90" s="465" t="s">
        <v>118</v>
      </c>
      <c r="C90" s="465" t="s">
        <v>150</v>
      </c>
      <c r="D90" s="7" t="s">
        <v>850</v>
      </c>
      <c r="E90" s="465"/>
      <c r="F90" s="458">
        <f>F91+F96+F99</f>
        <v>77</v>
      </c>
      <c r="G90" s="458">
        <f>G91+G96+G99</f>
        <v>77</v>
      </c>
    </row>
    <row r="91" spans="1:7" ht="63" x14ac:dyDescent="0.25">
      <c r="A91" s="174" t="s">
        <v>165</v>
      </c>
      <c r="B91" s="462" t="s">
        <v>118</v>
      </c>
      <c r="C91" s="462" t="s">
        <v>150</v>
      </c>
      <c r="D91" s="469" t="s">
        <v>842</v>
      </c>
      <c r="E91" s="462"/>
      <c r="F91" s="459">
        <f>F92+F94</f>
        <v>77</v>
      </c>
      <c r="G91" s="459">
        <f>G92+G94</f>
        <v>77</v>
      </c>
    </row>
    <row r="92" spans="1:7" ht="94.5" x14ac:dyDescent="0.25">
      <c r="A92" s="466" t="s">
        <v>127</v>
      </c>
      <c r="B92" s="462" t="s">
        <v>118</v>
      </c>
      <c r="C92" s="462" t="s">
        <v>150</v>
      </c>
      <c r="D92" s="469" t="s">
        <v>842</v>
      </c>
      <c r="E92" s="462" t="s">
        <v>128</v>
      </c>
      <c r="F92" s="459">
        <f>F93</f>
        <v>37</v>
      </c>
      <c r="G92" s="459">
        <f>G93</f>
        <v>37</v>
      </c>
    </row>
    <row r="93" spans="1:7" ht="31.5" x14ac:dyDescent="0.25">
      <c r="A93" s="466" t="s">
        <v>129</v>
      </c>
      <c r="B93" s="462" t="s">
        <v>118</v>
      </c>
      <c r="C93" s="462" t="s">
        <v>150</v>
      </c>
      <c r="D93" s="469" t="s">
        <v>842</v>
      </c>
      <c r="E93" s="462" t="s">
        <v>130</v>
      </c>
      <c r="F93" s="459">
        <f>'пр.6.1.ведом.22-23 (2)'!G97</f>
        <v>37</v>
      </c>
      <c r="G93" s="459">
        <f>'пр.6.1.ведом.22-23 (2)'!H97</f>
        <v>37</v>
      </c>
    </row>
    <row r="94" spans="1:7" ht="31.5" x14ac:dyDescent="0.25">
      <c r="A94" s="466" t="s">
        <v>131</v>
      </c>
      <c r="B94" s="462" t="s">
        <v>118</v>
      </c>
      <c r="C94" s="462" t="s">
        <v>150</v>
      </c>
      <c r="D94" s="469" t="s">
        <v>842</v>
      </c>
      <c r="E94" s="462" t="s">
        <v>132</v>
      </c>
      <c r="F94" s="459">
        <f>F95</f>
        <v>40</v>
      </c>
      <c r="G94" s="459">
        <f>G95</f>
        <v>40</v>
      </c>
    </row>
    <row r="95" spans="1:7" ht="47.25" x14ac:dyDescent="0.25">
      <c r="A95" s="466" t="s">
        <v>133</v>
      </c>
      <c r="B95" s="462" t="s">
        <v>118</v>
      </c>
      <c r="C95" s="462" t="s">
        <v>150</v>
      </c>
      <c r="D95" s="469" t="s">
        <v>842</v>
      </c>
      <c r="E95" s="462" t="s">
        <v>134</v>
      </c>
      <c r="F95" s="459">
        <f>'пр.6.1.ведом.22-23 (2)'!G99</f>
        <v>40</v>
      </c>
      <c r="G95" s="459">
        <f>'пр.6.1.ведом.22-23 (2)'!H99</f>
        <v>40</v>
      </c>
    </row>
    <row r="96" spans="1:7" ht="47.25" hidden="1" x14ac:dyDescent="0.25">
      <c r="A96" s="31" t="s">
        <v>1098</v>
      </c>
      <c r="B96" s="462" t="s">
        <v>118</v>
      </c>
      <c r="C96" s="462" t="s">
        <v>150</v>
      </c>
      <c r="D96" s="469" t="s">
        <v>993</v>
      </c>
      <c r="E96" s="462"/>
      <c r="F96" s="467">
        <f>F97</f>
        <v>0</v>
      </c>
      <c r="G96" s="467">
        <f>G97</f>
        <v>0</v>
      </c>
    </row>
    <row r="97" spans="1:8" ht="31.5" hidden="1" x14ac:dyDescent="0.25">
      <c r="A97" s="466" t="s">
        <v>131</v>
      </c>
      <c r="B97" s="462" t="s">
        <v>118</v>
      </c>
      <c r="C97" s="462" t="s">
        <v>150</v>
      </c>
      <c r="D97" s="469" t="s">
        <v>993</v>
      </c>
      <c r="E97" s="462" t="s">
        <v>132</v>
      </c>
      <c r="F97" s="467">
        <f>F98</f>
        <v>0</v>
      </c>
      <c r="G97" s="467">
        <f>G98</f>
        <v>0</v>
      </c>
    </row>
    <row r="98" spans="1:8" ht="47.25" hidden="1" x14ac:dyDescent="0.25">
      <c r="A98" s="466" t="s">
        <v>133</v>
      </c>
      <c r="B98" s="462" t="s">
        <v>118</v>
      </c>
      <c r="C98" s="462" t="s">
        <v>150</v>
      </c>
      <c r="D98" s="469" t="s">
        <v>696</v>
      </c>
      <c r="E98" s="462" t="s">
        <v>134</v>
      </c>
      <c r="F98" s="467">
        <f>'пр.6.1.ведом.22-23 (2)'!G102</f>
        <v>0</v>
      </c>
      <c r="G98" s="467">
        <f>'пр.6.1.ведом.22-23 (2)'!H102</f>
        <v>0</v>
      </c>
    </row>
    <row r="99" spans="1:8" ht="63" hidden="1" x14ac:dyDescent="0.25">
      <c r="A99" s="31" t="s">
        <v>695</v>
      </c>
      <c r="B99" s="462" t="s">
        <v>118</v>
      </c>
      <c r="C99" s="462" t="s">
        <v>150</v>
      </c>
      <c r="D99" s="462" t="s">
        <v>992</v>
      </c>
      <c r="E99" s="462"/>
      <c r="F99" s="467">
        <f>F100</f>
        <v>0</v>
      </c>
      <c r="G99" s="467">
        <f>G100</f>
        <v>0</v>
      </c>
    </row>
    <row r="100" spans="1:8" ht="31.5" hidden="1" x14ac:dyDescent="0.25">
      <c r="A100" s="466" t="s">
        <v>131</v>
      </c>
      <c r="B100" s="462" t="s">
        <v>118</v>
      </c>
      <c r="C100" s="462" t="s">
        <v>150</v>
      </c>
      <c r="D100" s="462" t="s">
        <v>992</v>
      </c>
      <c r="E100" s="462" t="s">
        <v>132</v>
      </c>
      <c r="F100" s="467">
        <f>F101</f>
        <v>0</v>
      </c>
      <c r="G100" s="467">
        <f>G101</f>
        <v>0</v>
      </c>
    </row>
    <row r="101" spans="1:8" ht="47.25" hidden="1" x14ac:dyDescent="0.25">
      <c r="A101" s="466" t="s">
        <v>133</v>
      </c>
      <c r="B101" s="462" t="s">
        <v>118</v>
      </c>
      <c r="C101" s="462" t="s">
        <v>150</v>
      </c>
      <c r="D101" s="462" t="s">
        <v>992</v>
      </c>
      <c r="E101" s="462" t="s">
        <v>134</v>
      </c>
      <c r="F101" s="467">
        <f>'пр.6.1.ведом.22-23 (2)'!G105</f>
        <v>0</v>
      </c>
      <c r="G101" s="467">
        <f>'пр.6.1.ведом.22-23 (2)'!H105</f>
        <v>0</v>
      </c>
    </row>
    <row r="102" spans="1:8" ht="62.45" customHeight="1" x14ac:dyDescent="0.25">
      <c r="A102" s="220" t="s">
        <v>1003</v>
      </c>
      <c r="B102" s="465" t="s">
        <v>118</v>
      </c>
      <c r="C102" s="465" t="s">
        <v>150</v>
      </c>
      <c r="D102" s="7" t="s">
        <v>851</v>
      </c>
      <c r="E102" s="465"/>
      <c r="F102" s="458">
        <f t="shared" ref="F102:G104" si="4">F103</f>
        <v>0.5</v>
      </c>
      <c r="G102" s="458">
        <f t="shared" si="4"/>
        <v>0.5</v>
      </c>
    </row>
    <row r="103" spans="1:8" ht="47.25" x14ac:dyDescent="0.25">
      <c r="A103" s="33" t="s">
        <v>191</v>
      </c>
      <c r="B103" s="462" t="s">
        <v>118</v>
      </c>
      <c r="C103" s="462" t="s">
        <v>150</v>
      </c>
      <c r="D103" s="469" t="s">
        <v>844</v>
      </c>
      <c r="E103" s="462"/>
      <c r="F103" s="459">
        <f t="shared" si="4"/>
        <v>0.5</v>
      </c>
      <c r="G103" s="459">
        <f t="shared" si="4"/>
        <v>0.5</v>
      </c>
    </row>
    <row r="104" spans="1:8" ht="31.5" x14ac:dyDescent="0.25">
      <c r="A104" s="466" t="s">
        <v>131</v>
      </c>
      <c r="B104" s="462" t="s">
        <v>118</v>
      </c>
      <c r="C104" s="462" t="s">
        <v>150</v>
      </c>
      <c r="D104" s="469" t="s">
        <v>844</v>
      </c>
      <c r="E104" s="462" t="s">
        <v>132</v>
      </c>
      <c r="F104" s="459">
        <f t="shared" si="4"/>
        <v>0.5</v>
      </c>
      <c r="G104" s="459">
        <f t="shared" si="4"/>
        <v>0.5</v>
      </c>
    </row>
    <row r="105" spans="1:8" ht="47.25" x14ac:dyDescent="0.25">
      <c r="A105" s="466" t="s">
        <v>133</v>
      </c>
      <c r="B105" s="462" t="s">
        <v>118</v>
      </c>
      <c r="C105" s="462" t="s">
        <v>150</v>
      </c>
      <c r="D105" s="469" t="s">
        <v>844</v>
      </c>
      <c r="E105" s="462" t="s">
        <v>134</v>
      </c>
      <c r="F105" s="459">
        <f>'пр.6.1.ведом.22-23 (2)'!G109</f>
        <v>0.5</v>
      </c>
      <c r="G105" s="459">
        <f>'пр.6.1.ведом.22-23 (2)'!H109</f>
        <v>0.5</v>
      </c>
    </row>
    <row r="106" spans="1:8" ht="63" x14ac:dyDescent="0.25">
      <c r="A106" s="470" t="s">
        <v>119</v>
      </c>
      <c r="B106" s="7" t="s">
        <v>118</v>
      </c>
      <c r="C106" s="7" t="s">
        <v>120</v>
      </c>
      <c r="D106" s="7"/>
      <c r="E106" s="7"/>
      <c r="F106" s="458">
        <f t="shared" ref="F106:G106" si="5">F107</f>
        <v>16636.7</v>
      </c>
      <c r="G106" s="458">
        <f t="shared" si="5"/>
        <v>16636.7</v>
      </c>
      <c r="H106" s="231">
        <f>'пр.6.1.ведом.22-23 (2)'!H113+'пр.6.1.ведом.22-23 (2)'!H12+'пр.6.1.ведом.22-23 (2)'!H1083</f>
        <v>16636.7</v>
      </c>
    </row>
    <row r="107" spans="1:8" ht="31.5" x14ac:dyDescent="0.25">
      <c r="A107" s="464" t="s">
        <v>917</v>
      </c>
      <c r="B107" s="7" t="s">
        <v>118</v>
      </c>
      <c r="C107" s="7" t="s">
        <v>120</v>
      </c>
      <c r="D107" s="7" t="s">
        <v>858</v>
      </c>
      <c r="E107" s="7"/>
      <c r="F107" s="458">
        <f>F117+F108</f>
        <v>16636.7</v>
      </c>
      <c r="G107" s="458">
        <f>G117+G108</f>
        <v>16636.7</v>
      </c>
    </row>
    <row r="108" spans="1:8" ht="31.5" x14ac:dyDescent="0.25">
      <c r="A108" s="464" t="s">
        <v>986</v>
      </c>
      <c r="B108" s="7" t="s">
        <v>118</v>
      </c>
      <c r="C108" s="7" t="s">
        <v>120</v>
      </c>
      <c r="D108" s="7" t="s">
        <v>987</v>
      </c>
      <c r="E108" s="7"/>
      <c r="F108" s="458">
        <f>F109+F114</f>
        <v>1798.5</v>
      </c>
      <c r="G108" s="458">
        <f>G109+G114</f>
        <v>1798.5</v>
      </c>
    </row>
    <row r="109" spans="1:8" ht="31.5" x14ac:dyDescent="0.25">
      <c r="A109" s="466" t="s">
        <v>897</v>
      </c>
      <c r="B109" s="462" t="s">
        <v>118</v>
      </c>
      <c r="C109" s="462" t="s">
        <v>120</v>
      </c>
      <c r="D109" s="462" t="s">
        <v>991</v>
      </c>
      <c r="E109" s="462"/>
      <c r="F109" s="459">
        <f>F110+F112</f>
        <v>1752.5</v>
      </c>
      <c r="G109" s="459">
        <f>G110+G112</f>
        <v>1752.5</v>
      </c>
    </row>
    <row r="110" spans="1:8" ht="94.5" x14ac:dyDescent="0.25">
      <c r="A110" s="466" t="s">
        <v>127</v>
      </c>
      <c r="B110" s="462" t="s">
        <v>118</v>
      </c>
      <c r="C110" s="462" t="s">
        <v>120</v>
      </c>
      <c r="D110" s="462" t="s">
        <v>991</v>
      </c>
      <c r="E110" s="462" t="s">
        <v>128</v>
      </c>
      <c r="F110" s="459">
        <f>F111</f>
        <v>1734.5</v>
      </c>
      <c r="G110" s="459">
        <f>G111</f>
        <v>1734.5</v>
      </c>
    </row>
    <row r="111" spans="1:8" ht="31.5" x14ac:dyDescent="0.25">
      <c r="A111" s="466" t="s">
        <v>129</v>
      </c>
      <c r="B111" s="462" t="s">
        <v>118</v>
      </c>
      <c r="C111" s="462" t="s">
        <v>120</v>
      </c>
      <c r="D111" s="462" t="s">
        <v>991</v>
      </c>
      <c r="E111" s="462" t="s">
        <v>130</v>
      </c>
      <c r="F111" s="459">
        <f>'пр.6.1.ведом.22-23 (2)'!G1088</f>
        <v>1734.5</v>
      </c>
      <c r="G111" s="459">
        <f>'пр.6.1.ведом.22-23 (2)'!H1088</f>
        <v>1734.5</v>
      </c>
    </row>
    <row r="112" spans="1:8" ht="47.25" x14ac:dyDescent="0.25">
      <c r="A112" s="466" t="s">
        <v>198</v>
      </c>
      <c r="B112" s="462" t="s">
        <v>118</v>
      </c>
      <c r="C112" s="462" t="s">
        <v>120</v>
      </c>
      <c r="D112" s="462" t="s">
        <v>991</v>
      </c>
      <c r="E112" s="462" t="s">
        <v>132</v>
      </c>
      <c r="F112" s="459">
        <f>F113</f>
        <v>18</v>
      </c>
      <c r="G112" s="459">
        <f>G113</f>
        <v>18</v>
      </c>
    </row>
    <row r="113" spans="1:7" ht="47.25" x14ac:dyDescent="0.25">
      <c r="A113" s="466" t="s">
        <v>133</v>
      </c>
      <c r="B113" s="462" t="s">
        <v>118</v>
      </c>
      <c r="C113" s="462" t="s">
        <v>120</v>
      </c>
      <c r="D113" s="462" t="s">
        <v>991</v>
      </c>
      <c r="E113" s="462" t="s">
        <v>134</v>
      </c>
      <c r="F113" s="459">
        <f>'пр.6.1.ведом.22-23 (2)'!G1090</f>
        <v>18</v>
      </c>
      <c r="G113" s="459">
        <f>'пр.6.1.ведом.22-23 (2)'!H1090</f>
        <v>18</v>
      </c>
    </row>
    <row r="114" spans="1:7" ht="47.25" x14ac:dyDescent="0.25">
      <c r="A114" s="466" t="s">
        <v>839</v>
      </c>
      <c r="B114" s="462" t="s">
        <v>118</v>
      </c>
      <c r="C114" s="462" t="s">
        <v>120</v>
      </c>
      <c r="D114" s="462" t="s">
        <v>989</v>
      </c>
      <c r="E114" s="462"/>
      <c r="F114" s="459">
        <f>F115</f>
        <v>46</v>
      </c>
      <c r="G114" s="459">
        <f>G115</f>
        <v>46</v>
      </c>
    </row>
    <row r="115" spans="1:7" ht="94.5" x14ac:dyDescent="0.25">
      <c r="A115" s="466" t="s">
        <v>127</v>
      </c>
      <c r="B115" s="462" t="s">
        <v>118</v>
      </c>
      <c r="C115" s="462" t="s">
        <v>120</v>
      </c>
      <c r="D115" s="462" t="s">
        <v>989</v>
      </c>
      <c r="E115" s="462" t="s">
        <v>128</v>
      </c>
      <c r="F115" s="459">
        <f>F116</f>
        <v>46</v>
      </c>
      <c r="G115" s="459">
        <f>G116</f>
        <v>46</v>
      </c>
    </row>
    <row r="116" spans="1:7" ht="31.5" x14ac:dyDescent="0.25">
      <c r="A116" s="466" t="s">
        <v>129</v>
      </c>
      <c r="B116" s="462" t="s">
        <v>118</v>
      </c>
      <c r="C116" s="462" t="s">
        <v>120</v>
      </c>
      <c r="D116" s="462" t="s">
        <v>989</v>
      </c>
      <c r="E116" s="462" t="s">
        <v>130</v>
      </c>
      <c r="F116" s="459">
        <f>'пр.6.1.ведом.22-23 (2)'!G1093</f>
        <v>46</v>
      </c>
      <c r="G116" s="459">
        <f>'пр.6.1.ведом.22-23 (2)'!H1093</f>
        <v>46</v>
      </c>
    </row>
    <row r="117" spans="1:7" ht="15.75" x14ac:dyDescent="0.25">
      <c r="A117" s="464" t="s">
        <v>918</v>
      </c>
      <c r="B117" s="7" t="s">
        <v>118</v>
      </c>
      <c r="C117" s="7" t="s">
        <v>120</v>
      </c>
      <c r="D117" s="7" t="s">
        <v>859</v>
      </c>
      <c r="E117" s="7"/>
      <c r="F117" s="458">
        <f>F118+F125</f>
        <v>14838.2</v>
      </c>
      <c r="G117" s="458">
        <f>G118+G125</f>
        <v>14838.2</v>
      </c>
    </row>
    <row r="118" spans="1:7" ht="31.5" x14ac:dyDescent="0.25">
      <c r="A118" s="29" t="s">
        <v>897</v>
      </c>
      <c r="B118" s="469" t="s">
        <v>118</v>
      </c>
      <c r="C118" s="469" t="s">
        <v>120</v>
      </c>
      <c r="D118" s="469" t="s">
        <v>860</v>
      </c>
      <c r="E118" s="469"/>
      <c r="F118" s="459">
        <f>F119+F121+F123</f>
        <v>14372.2</v>
      </c>
      <c r="G118" s="459">
        <f>G119+G121+G123</f>
        <v>14372.2</v>
      </c>
    </row>
    <row r="119" spans="1:7" ht="94.5" x14ac:dyDescent="0.25">
      <c r="A119" s="29" t="s">
        <v>127</v>
      </c>
      <c r="B119" s="469" t="s">
        <v>118</v>
      </c>
      <c r="C119" s="469" t="s">
        <v>120</v>
      </c>
      <c r="D119" s="469" t="s">
        <v>860</v>
      </c>
      <c r="E119" s="469" t="s">
        <v>128</v>
      </c>
      <c r="F119" s="459">
        <f>F120</f>
        <v>13367.2</v>
      </c>
      <c r="G119" s="459">
        <f>G120</f>
        <v>13367.2</v>
      </c>
    </row>
    <row r="120" spans="1:7" ht="31.5" x14ac:dyDescent="0.25">
      <c r="A120" s="29" t="s">
        <v>129</v>
      </c>
      <c r="B120" s="469" t="s">
        <v>118</v>
      </c>
      <c r="C120" s="469" t="s">
        <v>120</v>
      </c>
      <c r="D120" s="469" t="s">
        <v>860</v>
      </c>
      <c r="E120" s="469" t="s">
        <v>130</v>
      </c>
      <c r="F120" s="459">
        <f>'пр.6.1.ведом.22-23 (2)'!G118+'пр.6.1.ведом.22-23 (2)'!G17</f>
        <v>13367.2</v>
      </c>
      <c r="G120" s="459">
        <f>'пр.6.1.ведом.22-23 (2)'!H118+'пр.6.1.ведом.22-23 (2)'!H17</f>
        <v>13367.2</v>
      </c>
    </row>
    <row r="121" spans="1:7" ht="31.5" x14ac:dyDescent="0.25">
      <c r="A121" s="29" t="s">
        <v>131</v>
      </c>
      <c r="B121" s="469" t="s">
        <v>118</v>
      </c>
      <c r="C121" s="469" t="s">
        <v>120</v>
      </c>
      <c r="D121" s="469" t="s">
        <v>860</v>
      </c>
      <c r="E121" s="469" t="s">
        <v>132</v>
      </c>
      <c r="F121" s="459">
        <f>F122</f>
        <v>977</v>
      </c>
      <c r="G121" s="459">
        <f>G122</f>
        <v>977</v>
      </c>
    </row>
    <row r="122" spans="1:7" ht="47.25" x14ac:dyDescent="0.25">
      <c r="A122" s="29" t="s">
        <v>133</v>
      </c>
      <c r="B122" s="469" t="s">
        <v>118</v>
      </c>
      <c r="C122" s="469" t="s">
        <v>120</v>
      </c>
      <c r="D122" s="469" t="s">
        <v>860</v>
      </c>
      <c r="E122" s="469" t="s">
        <v>134</v>
      </c>
      <c r="F122" s="459">
        <f>'пр.6.1.ведом.22-23 (2)'!G19</f>
        <v>977</v>
      </c>
      <c r="G122" s="459">
        <f>'пр.6.1.ведом.22-23 (2)'!H19</f>
        <v>977</v>
      </c>
    </row>
    <row r="123" spans="1:7" ht="15.75" x14ac:dyDescent="0.25">
      <c r="A123" s="29" t="s">
        <v>135</v>
      </c>
      <c r="B123" s="469" t="s">
        <v>118</v>
      </c>
      <c r="C123" s="469" t="s">
        <v>120</v>
      </c>
      <c r="D123" s="469" t="s">
        <v>860</v>
      </c>
      <c r="E123" s="469" t="s">
        <v>145</v>
      </c>
      <c r="F123" s="459">
        <f>F124</f>
        <v>28</v>
      </c>
      <c r="G123" s="459">
        <f>G124</f>
        <v>28</v>
      </c>
    </row>
    <row r="124" spans="1:7" ht="15.75" x14ac:dyDescent="0.25">
      <c r="A124" s="29" t="s">
        <v>568</v>
      </c>
      <c r="B124" s="469" t="s">
        <v>118</v>
      </c>
      <c r="C124" s="469" t="s">
        <v>120</v>
      </c>
      <c r="D124" s="469" t="s">
        <v>860</v>
      </c>
      <c r="E124" s="469" t="s">
        <v>138</v>
      </c>
      <c r="F124" s="459">
        <f>'пр.6.1.ведом.22-23 (2)'!G21</f>
        <v>28</v>
      </c>
      <c r="G124" s="459">
        <f>'пр.6.1.ведом.22-23 (2)'!H21</f>
        <v>28</v>
      </c>
    </row>
    <row r="125" spans="1:7" ht="47.25" x14ac:dyDescent="0.25">
      <c r="A125" s="466" t="s">
        <v>839</v>
      </c>
      <c r="B125" s="462" t="s">
        <v>118</v>
      </c>
      <c r="C125" s="462" t="s">
        <v>120</v>
      </c>
      <c r="D125" s="462" t="s">
        <v>862</v>
      </c>
      <c r="E125" s="462"/>
      <c r="F125" s="459">
        <f>F126</f>
        <v>466</v>
      </c>
      <c r="G125" s="459">
        <f>G126</f>
        <v>466</v>
      </c>
    </row>
    <row r="126" spans="1:7" ht="94.5" x14ac:dyDescent="0.25">
      <c r="A126" s="466" t="s">
        <v>127</v>
      </c>
      <c r="B126" s="462" t="s">
        <v>118</v>
      </c>
      <c r="C126" s="462" t="s">
        <v>120</v>
      </c>
      <c r="D126" s="462" t="s">
        <v>862</v>
      </c>
      <c r="E126" s="462" t="s">
        <v>128</v>
      </c>
      <c r="F126" s="459">
        <f>F127</f>
        <v>466</v>
      </c>
      <c r="G126" s="459">
        <f>G127</f>
        <v>466</v>
      </c>
    </row>
    <row r="127" spans="1:7" ht="31.5" x14ac:dyDescent="0.25">
      <c r="A127" s="466" t="s">
        <v>129</v>
      </c>
      <c r="B127" s="462" t="s">
        <v>118</v>
      </c>
      <c r="C127" s="462" t="s">
        <v>120</v>
      </c>
      <c r="D127" s="462" t="s">
        <v>862</v>
      </c>
      <c r="E127" s="462" t="s">
        <v>130</v>
      </c>
      <c r="F127" s="459">
        <f>'пр.6.1.ведом.22-23 (2)'!G24+'пр.6.1.ведом.22-23 (2)'!G121</f>
        <v>466</v>
      </c>
      <c r="G127" s="459">
        <f>'пр.6.1.ведом.22-23 (2)'!H24+'пр.6.1.ведом.22-23 (2)'!H121</f>
        <v>466</v>
      </c>
    </row>
    <row r="128" spans="1:7" ht="15.75" hidden="1" customHeight="1" x14ac:dyDescent="0.25">
      <c r="A128" s="464" t="s">
        <v>1152</v>
      </c>
      <c r="B128" s="465" t="s">
        <v>118</v>
      </c>
      <c r="C128" s="465" t="s">
        <v>264</v>
      </c>
      <c r="D128" s="465"/>
      <c r="E128" s="462"/>
      <c r="F128" s="463">
        <f t="shared" ref="F128:G130" si="6">F129</f>
        <v>0</v>
      </c>
      <c r="G128" s="463">
        <f t="shared" si="6"/>
        <v>0</v>
      </c>
    </row>
    <row r="129" spans="1:8" ht="15.75" hidden="1" customHeight="1" x14ac:dyDescent="0.25">
      <c r="A129" s="464" t="s">
        <v>141</v>
      </c>
      <c r="B129" s="465" t="s">
        <v>118</v>
      </c>
      <c r="C129" s="465" t="s">
        <v>264</v>
      </c>
      <c r="D129" s="465" t="s">
        <v>866</v>
      </c>
      <c r="E129" s="462"/>
      <c r="F129" s="463">
        <f t="shared" si="6"/>
        <v>0</v>
      </c>
      <c r="G129" s="463">
        <f t="shared" si="6"/>
        <v>0</v>
      </c>
    </row>
    <row r="130" spans="1:8" ht="31.7" hidden="1" customHeight="1" x14ac:dyDescent="0.25">
      <c r="A130" s="464" t="s">
        <v>870</v>
      </c>
      <c r="B130" s="465" t="s">
        <v>118</v>
      </c>
      <c r="C130" s="465" t="s">
        <v>264</v>
      </c>
      <c r="D130" s="465" t="s">
        <v>865</v>
      </c>
      <c r="E130" s="462"/>
      <c r="F130" s="463">
        <f t="shared" si="6"/>
        <v>0</v>
      </c>
      <c r="G130" s="463">
        <f t="shared" si="6"/>
        <v>0</v>
      </c>
    </row>
    <row r="131" spans="1:8" ht="31.7" hidden="1" customHeight="1" x14ac:dyDescent="0.25">
      <c r="A131" s="45" t="s">
        <v>199</v>
      </c>
      <c r="B131" s="462" t="s">
        <v>118</v>
      </c>
      <c r="C131" s="462" t="s">
        <v>264</v>
      </c>
      <c r="D131" s="462" t="s">
        <v>1151</v>
      </c>
      <c r="E131" s="462"/>
      <c r="F131" s="467">
        <f>F132+F134</f>
        <v>0</v>
      </c>
      <c r="G131" s="467">
        <f>G132+G134</f>
        <v>0</v>
      </c>
    </row>
    <row r="132" spans="1:8" ht="94.7" hidden="1" customHeight="1" x14ac:dyDescent="0.25">
      <c r="A132" s="466" t="s">
        <v>127</v>
      </c>
      <c r="B132" s="462" t="s">
        <v>118</v>
      </c>
      <c r="C132" s="462" t="s">
        <v>264</v>
      </c>
      <c r="D132" s="462" t="s">
        <v>1151</v>
      </c>
      <c r="E132" s="462" t="s">
        <v>128</v>
      </c>
      <c r="F132" s="467">
        <f>F133</f>
        <v>0</v>
      </c>
      <c r="G132" s="467">
        <f>G133</f>
        <v>0</v>
      </c>
    </row>
    <row r="133" spans="1:8" ht="47.25" hidden="1" customHeight="1" x14ac:dyDescent="0.25">
      <c r="A133" s="466" t="s">
        <v>129</v>
      </c>
      <c r="B133" s="462" t="s">
        <v>118</v>
      </c>
      <c r="C133" s="462" t="s">
        <v>264</v>
      </c>
      <c r="D133" s="462" t="s">
        <v>1151</v>
      </c>
      <c r="E133" s="462" t="s">
        <v>130</v>
      </c>
      <c r="F133" s="467">
        <f>'пр.6.1.ведом.22-23 (2)'!G127</f>
        <v>0</v>
      </c>
      <c r="G133" s="467">
        <f>'пр.6.1.ведом.22-23 (2)'!H127</f>
        <v>0</v>
      </c>
    </row>
    <row r="134" spans="1:8" ht="47.25" hidden="1" customHeight="1" x14ac:dyDescent="0.25">
      <c r="A134" s="466" t="s">
        <v>198</v>
      </c>
      <c r="B134" s="462" t="s">
        <v>118</v>
      </c>
      <c r="C134" s="462" t="s">
        <v>264</v>
      </c>
      <c r="D134" s="462" t="s">
        <v>1151</v>
      </c>
      <c r="E134" s="462" t="s">
        <v>132</v>
      </c>
      <c r="F134" s="467">
        <f>F135</f>
        <v>0</v>
      </c>
      <c r="G134" s="467">
        <f>G135</f>
        <v>0</v>
      </c>
    </row>
    <row r="135" spans="1:8" ht="47.25" hidden="1" customHeight="1" x14ac:dyDescent="0.25">
      <c r="A135" s="466" t="s">
        <v>133</v>
      </c>
      <c r="B135" s="462" t="s">
        <v>118</v>
      </c>
      <c r="C135" s="462" t="s">
        <v>264</v>
      </c>
      <c r="D135" s="462" t="s">
        <v>1151</v>
      </c>
      <c r="E135" s="462" t="s">
        <v>134</v>
      </c>
      <c r="F135" s="467">
        <f>'пр.6.1.ведом.22-23 (2)'!G129</f>
        <v>0</v>
      </c>
      <c r="G135" s="467">
        <f>'пр.6.1.ведом.22-23 (2)'!H129</f>
        <v>0</v>
      </c>
    </row>
    <row r="136" spans="1:8" ht="15.75" x14ac:dyDescent="0.25">
      <c r="A136" s="470" t="s">
        <v>139</v>
      </c>
      <c r="B136" s="7" t="s">
        <v>118</v>
      </c>
      <c r="C136" s="7" t="s">
        <v>140</v>
      </c>
      <c r="D136" s="7"/>
      <c r="E136" s="7"/>
      <c r="F136" s="458">
        <f>F137+F168+F182+F199+F208+F213+F218+F177</f>
        <v>52818.200000000004</v>
      </c>
      <c r="G136" s="458">
        <f>G137+G168+G182+G199+G208+G213+G218+G177</f>
        <v>53161.200000000004</v>
      </c>
    </row>
    <row r="137" spans="1:8" ht="15.75" x14ac:dyDescent="0.25">
      <c r="A137" s="464" t="s">
        <v>141</v>
      </c>
      <c r="B137" s="465" t="s">
        <v>118</v>
      </c>
      <c r="C137" s="465" t="s">
        <v>140</v>
      </c>
      <c r="D137" s="465" t="s">
        <v>866</v>
      </c>
      <c r="E137" s="465"/>
      <c r="F137" s="458">
        <f>F138+F149+F159</f>
        <v>52313.200000000004</v>
      </c>
      <c r="G137" s="458">
        <f>G138+G149+G159</f>
        <v>52313.200000000004</v>
      </c>
    </row>
    <row r="138" spans="1:8" ht="15.75" x14ac:dyDescent="0.25">
      <c r="A138" s="464" t="s">
        <v>954</v>
      </c>
      <c r="B138" s="465" t="s">
        <v>118</v>
      </c>
      <c r="C138" s="465" t="s">
        <v>140</v>
      </c>
      <c r="D138" s="465" t="s">
        <v>953</v>
      </c>
      <c r="E138" s="465"/>
      <c r="F138" s="380">
        <f>F142+F139</f>
        <v>41282.100000000006</v>
      </c>
      <c r="G138" s="380">
        <f>G142+G139</f>
        <v>41282.100000000006</v>
      </c>
    </row>
    <row r="139" spans="1:8" ht="47.25" x14ac:dyDescent="0.25">
      <c r="A139" s="466" t="s">
        <v>839</v>
      </c>
      <c r="B139" s="462" t="s">
        <v>118</v>
      </c>
      <c r="C139" s="462" t="s">
        <v>140</v>
      </c>
      <c r="D139" s="462" t="s">
        <v>956</v>
      </c>
      <c r="E139" s="462"/>
      <c r="F139" s="459">
        <f>F140</f>
        <v>1072</v>
      </c>
      <c r="G139" s="459">
        <f>G140</f>
        <v>1072</v>
      </c>
      <c r="H139" s="231">
        <f>F139+F142</f>
        <v>41282.100000000006</v>
      </c>
    </row>
    <row r="140" spans="1:8" ht="94.5" x14ac:dyDescent="0.25">
      <c r="A140" s="466" t="s">
        <v>127</v>
      </c>
      <c r="B140" s="462" t="s">
        <v>118</v>
      </c>
      <c r="C140" s="462" t="s">
        <v>140</v>
      </c>
      <c r="D140" s="462" t="s">
        <v>956</v>
      </c>
      <c r="E140" s="462" t="s">
        <v>128</v>
      </c>
      <c r="F140" s="459">
        <f>F141</f>
        <v>1072</v>
      </c>
      <c r="G140" s="459">
        <f>G141</f>
        <v>1072</v>
      </c>
    </row>
    <row r="141" spans="1:8" ht="31.5" x14ac:dyDescent="0.25">
      <c r="A141" s="466" t="s">
        <v>129</v>
      </c>
      <c r="B141" s="462" t="s">
        <v>118</v>
      </c>
      <c r="C141" s="462" t="s">
        <v>140</v>
      </c>
      <c r="D141" s="462" t="s">
        <v>956</v>
      </c>
      <c r="E141" s="462" t="s">
        <v>209</v>
      </c>
      <c r="F141" s="459">
        <f>'пр.6.1.ведом.22-23 (2)'!G838</f>
        <v>1072</v>
      </c>
      <c r="G141" s="459">
        <f>'пр.6.1.ведом.22-23 (2)'!H838</f>
        <v>1072</v>
      </c>
    </row>
    <row r="142" spans="1:8" ht="31.5" x14ac:dyDescent="0.25">
      <c r="A142" s="466" t="s">
        <v>801</v>
      </c>
      <c r="B142" s="462" t="s">
        <v>118</v>
      </c>
      <c r="C142" s="462" t="s">
        <v>140</v>
      </c>
      <c r="D142" s="462" t="s">
        <v>955</v>
      </c>
      <c r="E142" s="462"/>
      <c r="F142" s="459">
        <f>F143+F145+F147</f>
        <v>40210.100000000006</v>
      </c>
      <c r="G142" s="459">
        <f>G143+G145+G147</f>
        <v>40210.100000000006</v>
      </c>
    </row>
    <row r="143" spans="1:8" ht="94.5" x14ac:dyDescent="0.25">
      <c r="A143" s="466" t="s">
        <v>127</v>
      </c>
      <c r="B143" s="462" t="s">
        <v>118</v>
      </c>
      <c r="C143" s="462" t="s">
        <v>140</v>
      </c>
      <c r="D143" s="462" t="s">
        <v>955</v>
      </c>
      <c r="E143" s="462" t="s">
        <v>128</v>
      </c>
      <c r="F143" s="459">
        <f>F144</f>
        <v>32825.800000000003</v>
      </c>
      <c r="G143" s="459">
        <f>G144</f>
        <v>32825.800000000003</v>
      </c>
    </row>
    <row r="144" spans="1:8" ht="31.5" x14ac:dyDescent="0.25">
      <c r="A144" s="46" t="s">
        <v>342</v>
      </c>
      <c r="B144" s="462" t="s">
        <v>118</v>
      </c>
      <c r="C144" s="462" t="s">
        <v>140</v>
      </c>
      <c r="D144" s="462" t="s">
        <v>955</v>
      </c>
      <c r="E144" s="462" t="s">
        <v>209</v>
      </c>
      <c r="F144" s="459">
        <f>'пр.6.1.ведом.22-23 (2)'!G841</f>
        <v>32825.800000000003</v>
      </c>
      <c r="G144" s="459">
        <f>'пр.6.1.ведом.22-23 (2)'!H841</f>
        <v>32825.800000000003</v>
      </c>
    </row>
    <row r="145" spans="1:8" ht="31.5" x14ac:dyDescent="0.25">
      <c r="A145" s="466" t="s">
        <v>131</v>
      </c>
      <c r="B145" s="462" t="s">
        <v>118</v>
      </c>
      <c r="C145" s="462" t="s">
        <v>140</v>
      </c>
      <c r="D145" s="462" t="s">
        <v>955</v>
      </c>
      <c r="E145" s="462" t="s">
        <v>132</v>
      </c>
      <c r="F145" s="459">
        <f>F146</f>
        <v>6963.3</v>
      </c>
      <c r="G145" s="459">
        <f>G146</f>
        <v>6963.3</v>
      </c>
    </row>
    <row r="146" spans="1:8" ht="47.25" x14ac:dyDescent="0.25">
      <c r="A146" s="466" t="s">
        <v>133</v>
      </c>
      <c r="B146" s="462" t="s">
        <v>118</v>
      </c>
      <c r="C146" s="462" t="s">
        <v>140</v>
      </c>
      <c r="D146" s="462" t="s">
        <v>955</v>
      </c>
      <c r="E146" s="462" t="s">
        <v>134</v>
      </c>
      <c r="F146" s="459">
        <f>'пр.6.1.ведом.22-23 (2)'!G843</f>
        <v>6963.3</v>
      </c>
      <c r="G146" s="459">
        <f>'пр.6.1.ведом.22-23 (2)'!H843</f>
        <v>6963.3</v>
      </c>
    </row>
    <row r="147" spans="1:8" ht="15.75" x14ac:dyDescent="0.25">
      <c r="A147" s="466" t="s">
        <v>135</v>
      </c>
      <c r="B147" s="462" t="s">
        <v>118</v>
      </c>
      <c r="C147" s="462" t="s">
        <v>140</v>
      </c>
      <c r="D147" s="462" t="s">
        <v>955</v>
      </c>
      <c r="E147" s="462" t="s">
        <v>145</v>
      </c>
      <c r="F147" s="459">
        <f>F148</f>
        <v>421</v>
      </c>
      <c r="G147" s="459">
        <f>G148</f>
        <v>421</v>
      </c>
    </row>
    <row r="148" spans="1:8" ht="15.75" x14ac:dyDescent="0.25">
      <c r="A148" s="466" t="s">
        <v>704</v>
      </c>
      <c r="B148" s="462" t="s">
        <v>118</v>
      </c>
      <c r="C148" s="462" t="s">
        <v>140</v>
      </c>
      <c r="D148" s="462" t="s">
        <v>955</v>
      </c>
      <c r="E148" s="462" t="s">
        <v>138</v>
      </c>
      <c r="F148" s="459">
        <f>'пр.6.1.ведом.22-23 (2)'!G845</f>
        <v>421</v>
      </c>
      <c r="G148" s="459">
        <f>'пр.6.1.ведом.22-23 (2)'!H845</f>
        <v>421</v>
      </c>
    </row>
    <row r="149" spans="1:8" ht="31.5" x14ac:dyDescent="0.25">
      <c r="A149" s="464" t="s">
        <v>870</v>
      </c>
      <c r="B149" s="465" t="s">
        <v>118</v>
      </c>
      <c r="C149" s="465" t="s">
        <v>140</v>
      </c>
      <c r="D149" s="465" t="s">
        <v>865</v>
      </c>
      <c r="E149" s="465"/>
      <c r="F149" s="458">
        <f>F150+F156</f>
        <v>5202.1000000000004</v>
      </c>
      <c r="G149" s="458">
        <f>G150+G156</f>
        <v>5202.1000000000004</v>
      </c>
    </row>
    <row r="150" spans="1:8" ht="47.25" x14ac:dyDescent="0.25">
      <c r="A150" s="466" t="s">
        <v>388</v>
      </c>
      <c r="B150" s="462" t="s">
        <v>118</v>
      </c>
      <c r="C150" s="462" t="s">
        <v>140</v>
      </c>
      <c r="D150" s="462" t="s">
        <v>1011</v>
      </c>
      <c r="E150" s="462"/>
      <c r="F150" s="459">
        <f>F151</f>
        <v>5202.1000000000004</v>
      </c>
      <c r="G150" s="459">
        <f>G151</f>
        <v>5202.1000000000004</v>
      </c>
    </row>
    <row r="151" spans="1:8" ht="31.5" x14ac:dyDescent="0.25">
      <c r="A151" s="466" t="s">
        <v>131</v>
      </c>
      <c r="B151" s="462" t="s">
        <v>118</v>
      </c>
      <c r="C151" s="462" t="s">
        <v>140</v>
      </c>
      <c r="D151" s="462" t="s">
        <v>1011</v>
      </c>
      <c r="E151" s="462" t="s">
        <v>132</v>
      </c>
      <c r="F151" s="459">
        <f>F152</f>
        <v>5202.1000000000004</v>
      </c>
      <c r="G151" s="459">
        <f>G152</f>
        <v>5202.1000000000004</v>
      </c>
    </row>
    <row r="152" spans="1:8" ht="47.25" x14ac:dyDescent="0.25">
      <c r="A152" s="466" t="s">
        <v>133</v>
      </c>
      <c r="B152" s="462" t="s">
        <v>118</v>
      </c>
      <c r="C152" s="462" t="s">
        <v>140</v>
      </c>
      <c r="D152" s="462" t="s">
        <v>1011</v>
      </c>
      <c r="E152" s="462" t="s">
        <v>134</v>
      </c>
      <c r="F152" s="459">
        <f>'пр.6.1.ведом.22-23 (2)'!G512</f>
        <v>5202.1000000000004</v>
      </c>
      <c r="G152" s="459">
        <f>'пр.6.1.ведом.22-23 (2)'!H512</f>
        <v>5202.1000000000004</v>
      </c>
    </row>
    <row r="153" spans="1:8" ht="47.25" hidden="1" x14ac:dyDescent="0.25">
      <c r="A153" s="466" t="s">
        <v>931</v>
      </c>
      <c r="B153" s="462" t="s">
        <v>118</v>
      </c>
      <c r="C153" s="462" t="s">
        <v>140</v>
      </c>
      <c r="D153" s="462" t="s">
        <v>1012</v>
      </c>
      <c r="E153" s="462"/>
      <c r="F153" s="459">
        <f>'[1]Пр.4 Рд,пр, ЦС,ВР 21'!F155</f>
        <v>0</v>
      </c>
      <c r="G153" s="459">
        <f t="shared" ref="G153:G202" si="7">F153</f>
        <v>0</v>
      </c>
    </row>
    <row r="154" spans="1:8" ht="31.5" hidden="1" x14ac:dyDescent="0.25">
      <c r="A154" s="466" t="s">
        <v>131</v>
      </c>
      <c r="B154" s="462" t="s">
        <v>118</v>
      </c>
      <c r="C154" s="462" t="s">
        <v>140</v>
      </c>
      <c r="D154" s="462" t="s">
        <v>1012</v>
      </c>
      <c r="E154" s="462" t="s">
        <v>132</v>
      </c>
      <c r="F154" s="459">
        <f>'[1]Пр.4 Рд,пр, ЦС,ВР 21'!F156</f>
        <v>0</v>
      </c>
      <c r="G154" s="459">
        <f t="shared" si="7"/>
        <v>0</v>
      </c>
    </row>
    <row r="155" spans="1:8" ht="47.25" hidden="1" x14ac:dyDescent="0.25">
      <c r="A155" s="466" t="s">
        <v>133</v>
      </c>
      <c r="B155" s="462" t="s">
        <v>118</v>
      </c>
      <c r="C155" s="462" t="s">
        <v>140</v>
      </c>
      <c r="D155" s="462" t="s">
        <v>1012</v>
      </c>
      <c r="E155" s="462" t="s">
        <v>134</v>
      </c>
      <c r="F155" s="459">
        <f>'[1]Пр.4 Рд,пр, ЦС,ВР 21'!F157</f>
        <v>0</v>
      </c>
      <c r="G155" s="459">
        <f t="shared" si="7"/>
        <v>0</v>
      </c>
    </row>
    <row r="156" spans="1:8" ht="15.75" hidden="1" x14ac:dyDescent="0.25">
      <c r="A156" s="466" t="s">
        <v>1142</v>
      </c>
      <c r="B156" s="462" t="s">
        <v>118</v>
      </c>
      <c r="C156" s="462" t="s">
        <v>140</v>
      </c>
      <c r="D156" s="462" t="s">
        <v>1143</v>
      </c>
      <c r="E156" s="462"/>
      <c r="F156" s="467">
        <f>F157</f>
        <v>0</v>
      </c>
      <c r="G156" s="467">
        <f>G157</f>
        <v>0</v>
      </c>
    </row>
    <row r="157" spans="1:8" ht="15.75" hidden="1" x14ac:dyDescent="0.25">
      <c r="A157" s="466" t="s">
        <v>135</v>
      </c>
      <c r="B157" s="462" t="s">
        <v>118</v>
      </c>
      <c r="C157" s="462" t="s">
        <v>140</v>
      </c>
      <c r="D157" s="462" t="s">
        <v>1143</v>
      </c>
      <c r="E157" s="462" t="s">
        <v>145</v>
      </c>
      <c r="F157" s="467">
        <f>F158</f>
        <v>0</v>
      </c>
      <c r="G157" s="467">
        <f>G158</f>
        <v>0</v>
      </c>
    </row>
    <row r="158" spans="1:8" ht="15.75" hidden="1" x14ac:dyDescent="0.25">
      <c r="A158" s="466" t="s">
        <v>1142</v>
      </c>
      <c r="B158" s="462" t="s">
        <v>118</v>
      </c>
      <c r="C158" s="462" t="s">
        <v>140</v>
      </c>
      <c r="D158" s="462" t="s">
        <v>1143</v>
      </c>
      <c r="E158" s="462" t="s">
        <v>1144</v>
      </c>
      <c r="F158" s="467">
        <f>'пр.6.1.ведом.22-23 (2)'!G30</f>
        <v>0</v>
      </c>
      <c r="G158" s="467">
        <f>'пр.6.1.ведом.22-23 (2)'!H30</f>
        <v>0</v>
      </c>
    </row>
    <row r="159" spans="1:8" ht="31.5" x14ac:dyDescent="0.25">
      <c r="A159" s="464" t="s">
        <v>922</v>
      </c>
      <c r="B159" s="465" t="s">
        <v>118</v>
      </c>
      <c r="C159" s="465" t="s">
        <v>140</v>
      </c>
      <c r="D159" s="465" t="s">
        <v>867</v>
      </c>
      <c r="E159" s="465"/>
      <c r="F159" s="458">
        <f>F160+F165</f>
        <v>5829</v>
      </c>
      <c r="G159" s="458">
        <f>G160+G165</f>
        <v>5829</v>
      </c>
    </row>
    <row r="160" spans="1:8" ht="31.5" x14ac:dyDescent="0.25">
      <c r="A160" s="466" t="s">
        <v>928</v>
      </c>
      <c r="B160" s="462" t="s">
        <v>118</v>
      </c>
      <c r="C160" s="462" t="s">
        <v>140</v>
      </c>
      <c r="D160" s="462" t="s">
        <v>868</v>
      </c>
      <c r="E160" s="462"/>
      <c r="F160" s="459">
        <f>F161+F163</f>
        <v>5701</v>
      </c>
      <c r="G160" s="459">
        <f>G161+G163</f>
        <v>5701</v>
      </c>
      <c r="H160" s="231">
        <f>F160+F165</f>
        <v>5829</v>
      </c>
    </row>
    <row r="161" spans="1:7" ht="94.5" x14ac:dyDescent="0.25">
      <c r="A161" s="466" t="s">
        <v>127</v>
      </c>
      <c r="B161" s="462" t="s">
        <v>118</v>
      </c>
      <c r="C161" s="462" t="s">
        <v>140</v>
      </c>
      <c r="D161" s="462" t="s">
        <v>868</v>
      </c>
      <c r="E161" s="462" t="s">
        <v>128</v>
      </c>
      <c r="F161" s="459">
        <f>F162</f>
        <v>4501</v>
      </c>
      <c r="G161" s="459">
        <f>G162</f>
        <v>4501</v>
      </c>
    </row>
    <row r="162" spans="1:7" ht="31.5" x14ac:dyDescent="0.25">
      <c r="A162" s="466" t="s">
        <v>208</v>
      </c>
      <c r="B162" s="462" t="s">
        <v>118</v>
      </c>
      <c r="C162" s="462" t="s">
        <v>140</v>
      </c>
      <c r="D162" s="462" t="s">
        <v>868</v>
      </c>
      <c r="E162" s="462" t="s">
        <v>209</v>
      </c>
      <c r="F162" s="459">
        <f>'пр.6.1.ведом.22-23 (2)'!G135</f>
        <v>4501</v>
      </c>
      <c r="G162" s="459">
        <f>'пр.6.1.ведом.22-23 (2)'!H135</f>
        <v>4501</v>
      </c>
    </row>
    <row r="163" spans="1:7" ht="47.25" x14ac:dyDescent="0.25">
      <c r="A163" s="466" t="s">
        <v>198</v>
      </c>
      <c r="B163" s="462" t="s">
        <v>118</v>
      </c>
      <c r="C163" s="462" t="s">
        <v>140</v>
      </c>
      <c r="D163" s="462" t="s">
        <v>868</v>
      </c>
      <c r="E163" s="462" t="s">
        <v>132</v>
      </c>
      <c r="F163" s="459">
        <f>F164</f>
        <v>1200</v>
      </c>
      <c r="G163" s="459">
        <f>G164</f>
        <v>1200</v>
      </c>
    </row>
    <row r="164" spans="1:7" ht="47.25" x14ac:dyDescent="0.25">
      <c r="A164" s="466" t="s">
        <v>133</v>
      </c>
      <c r="B164" s="462" t="s">
        <v>118</v>
      </c>
      <c r="C164" s="462" t="s">
        <v>140</v>
      </c>
      <c r="D164" s="462" t="s">
        <v>868</v>
      </c>
      <c r="E164" s="462" t="s">
        <v>134</v>
      </c>
      <c r="F164" s="459">
        <f>'пр.6.1.ведом.22-23 (2)'!G137</f>
        <v>1200</v>
      </c>
      <c r="G164" s="459">
        <f>'пр.6.1.ведом.22-23 (2)'!H137</f>
        <v>1200</v>
      </c>
    </row>
    <row r="165" spans="1:7" ht="47.25" x14ac:dyDescent="0.25">
      <c r="A165" s="466" t="s">
        <v>839</v>
      </c>
      <c r="B165" s="462" t="s">
        <v>118</v>
      </c>
      <c r="C165" s="462" t="s">
        <v>140</v>
      </c>
      <c r="D165" s="462" t="s">
        <v>869</v>
      </c>
      <c r="E165" s="462"/>
      <c r="F165" s="459">
        <f>F166</f>
        <v>128</v>
      </c>
      <c r="G165" s="459">
        <f>G166</f>
        <v>128</v>
      </c>
    </row>
    <row r="166" spans="1:7" ht="94.5" x14ac:dyDescent="0.25">
      <c r="A166" s="466" t="s">
        <v>127</v>
      </c>
      <c r="B166" s="462" t="s">
        <v>118</v>
      </c>
      <c r="C166" s="462" t="s">
        <v>140</v>
      </c>
      <c r="D166" s="462" t="s">
        <v>869</v>
      </c>
      <c r="E166" s="462" t="s">
        <v>128</v>
      </c>
      <c r="F166" s="459">
        <f>F167</f>
        <v>128</v>
      </c>
      <c r="G166" s="459">
        <f>G167</f>
        <v>128</v>
      </c>
    </row>
    <row r="167" spans="1:7" ht="31.5" x14ac:dyDescent="0.25">
      <c r="A167" s="466" t="s">
        <v>208</v>
      </c>
      <c r="B167" s="462" t="s">
        <v>118</v>
      </c>
      <c r="C167" s="462" t="s">
        <v>140</v>
      </c>
      <c r="D167" s="462" t="s">
        <v>869</v>
      </c>
      <c r="E167" s="462" t="s">
        <v>209</v>
      </c>
      <c r="F167" s="459">
        <f>'пр.6.1.ведом.22-23 (2)'!G140</f>
        <v>128</v>
      </c>
      <c r="G167" s="459">
        <f>'пр.6.1.ведом.22-23 (2)'!H140</f>
        <v>128</v>
      </c>
    </row>
    <row r="168" spans="1:7" ht="47.25" x14ac:dyDescent="0.25">
      <c r="A168" s="464" t="s">
        <v>1383</v>
      </c>
      <c r="B168" s="7" t="s">
        <v>118</v>
      </c>
      <c r="C168" s="7" t="s">
        <v>140</v>
      </c>
      <c r="D168" s="7" t="s">
        <v>344</v>
      </c>
      <c r="E168" s="7"/>
      <c r="F168" s="458">
        <f t="shared" ref="F168:G172" si="8">F169</f>
        <v>200</v>
      </c>
      <c r="G168" s="458">
        <f t="shared" si="8"/>
        <v>500</v>
      </c>
    </row>
    <row r="169" spans="1:7" ht="94.5" x14ac:dyDescent="0.25">
      <c r="A169" s="470" t="s">
        <v>1390</v>
      </c>
      <c r="B169" s="7" t="s">
        <v>118</v>
      </c>
      <c r="C169" s="7" t="s">
        <v>140</v>
      </c>
      <c r="D169" s="7" t="s">
        <v>359</v>
      </c>
      <c r="E169" s="7"/>
      <c r="F169" s="458">
        <f t="shared" si="8"/>
        <v>200</v>
      </c>
      <c r="G169" s="458">
        <f t="shared" si="8"/>
        <v>500</v>
      </c>
    </row>
    <row r="170" spans="1:7" ht="63" x14ac:dyDescent="0.25">
      <c r="A170" s="247" t="s">
        <v>1047</v>
      </c>
      <c r="B170" s="7" t="s">
        <v>118</v>
      </c>
      <c r="C170" s="7" t="s">
        <v>140</v>
      </c>
      <c r="D170" s="7" t="s">
        <v>909</v>
      </c>
      <c r="E170" s="7"/>
      <c r="F170" s="458">
        <f t="shared" si="8"/>
        <v>200</v>
      </c>
      <c r="G170" s="458">
        <f t="shared" si="8"/>
        <v>500</v>
      </c>
    </row>
    <row r="171" spans="1:7" ht="31.5" x14ac:dyDescent="0.25">
      <c r="A171" s="98" t="s">
        <v>1099</v>
      </c>
      <c r="B171" s="469" t="s">
        <v>118</v>
      </c>
      <c r="C171" s="469" t="s">
        <v>140</v>
      </c>
      <c r="D171" s="469" t="s">
        <v>1203</v>
      </c>
      <c r="E171" s="469"/>
      <c r="F171" s="459">
        <f t="shared" si="8"/>
        <v>200</v>
      </c>
      <c r="G171" s="459">
        <f t="shared" si="8"/>
        <v>500</v>
      </c>
    </row>
    <row r="172" spans="1:7" ht="31.5" x14ac:dyDescent="0.25">
      <c r="A172" s="29" t="s">
        <v>131</v>
      </c>
      <c r="B172" s="469" t="s">
        <v>118</v>
      </c>
      <c r="C172" s="469" t="s">
        <v>140</v>
      </c>
      <c r="D172" s="469" t="s">
        <v>1203</v>
      </c>
      <c r="E172" s="469" t="s">
        <v>132</v>
      </c>
      <c r="F172" s="459">
        <f t="shared" si="8"/>
        <v>200</v>
      </c>
      <c r="G172" s="459">
        <f t="shared" si="8"/>
        <v>500</v>
      </c>
    </row>
    <row r="173" spans="1:7" ht="47.25" x14ac:dyDescent="0.25">
      <c r="A173" s="29" t="s">
        <v>133</v>
      </c>
      <c r="B173" s="469" t="s">
        <v>118</v>
      </c>
      <c r="C173" s="469" t="s">
        <v>140</v>
      </c>
      <c r="D173" s="469" t="s">
        <v>1203</v>
      </c>
      <c r="E173" s="469" t="s">
        <v>134</v>
      </c>
      <c r="F173" s="459">
        <f>'пр.6.1.ведом.22-23 (2)'!G250</f>
        <v>200</v>
      </c>
      <c r="G173" s="459">
        <f>'пр.6.1.ведом.22-23 (2)'!H250</f>
        <v>500</v>
      </c>
    </row>
    <row r="174" spans="1:7" ht="47.25" hidden="1" x14ac:dyDescent="0.25">
      <c r="A174" s="35" t="s">
        <v>886</v>
      </c>
      <c r="B174" s="462" t="s">
        <v>118</v>
      </c>
      <c r="C174" s="462" t="s">
        <v>140</v>
      </c>
      <c r="D174" s="462" t="s">
        <v>1302</v>
      </c>
      <c r="E174" s="465"/>
      <c r="F174" s="459" t="e">
        <f>'[1]Пр.4 Рд,пр, ЦС,ВР 21'!#REF!</f>
        <v>#REF!</v>
      </c>
      <c r="G174" s="459" t="e">
        <f t="shared" si="7"/>
        <v>#REF!</v>
      </c>
    </row>
    <row r="175" spans="1:7" ht="31.5" hidden="1" x14ac:dyDescent="0.25">
      <c r="A175" s="466" t="s">
        <v>131</v>
      </c>
      <c r="B175" s="462" t="s">
        <v>118</v>
      </c>
      <c r="C175" s="462" t="s">
        <v>140</v>
      </c>
      <c r="D175" s="462" t="s">
        <v>1302</v>
      </c>
      <c r="E175" s="462" t="s">
        <v>132</v>
      </c>
      <c r="F175" s="459" t="e">
        <f>'[1]Пр.4 Рд,пр, ЦС,ВР 21'!#REF!</f>
        <v>#REF!</v>
      </c>
      <c r="G175" s="459" t="e">
        <f t="shared" si="7"/>
        <v>#REF!</v>
      </c>
    </row>
    <row r="176" spans="1:7" ht="47.25" hidden="1" x14ac:dyDescent="0.25">
      <c r="A176" s="466" t="s">
        <v>133</v>
      </c>
      <c r="B176" s="462" t="s">
        <v>118</v>
      </c>
      <c r="C176" s="462" t="s">
        <v>140</v>
      </c>
      <c r="D176" s="462" t="s">
        <v>1302</v>
      </c>
      <c r="E176" s="462" t="s">
        <v>134</v>
      </c>
      <c r="F176" s="459" t="e">
        <f>'[1]Пр.4 Рд,пр, ЦС,ВР 21'!#REF!</f>
        <v>#REF!</v>
      </c>
      <c r="G176" s="459" t="e">
        <f t="shared" si="7"/>
        <v>#REF!</v>
      </c>
    </row>
    <row r="177" spans="1:7" ht="63" x14ac:dyDescent="0.25">
      <c r="A177" s="34" t="s">
        <v>1225</v>
      </c>
      <c r="B177" s="465" t="s">
        <v>118</v>
      </c>
      <c r="C177" s="465" t="s">
        <v>140</v>
      </c>
      <c r="D177" s="465" t="s">
        <v>324</v>
      </c>
      <c r="E177" s="465"/>
      <c r="F177" s="463">
        <f>F179</f>
        <v>12</v>
      </c>
      <c r="G177" s="463">
        <f>G179</f>
        <v>40</v>
      </c>
    </row>
    <row r="178" spans="1:7" ht="63" x14ac:dyDescent="0.25">
      <c r="A178" s="34" t="s">
        <v>1025</v>
      </c>
      <c r="B178" s="465" t="s">
        <v>118</v>
      </c>
      <c r="C178" s="465" t="s">
        <v>140</v>
      </c>
      <c r="D178" s="465" t="s">
        <v>934</v>
      </c>
      <c r="E178" s="465"/>
      <c r="F178" s="463">
        <f>F181</f>
        <v>12</v>
      </c>
      <c r="G178" s="463">
        <f>G181</f>
        <v>40</v>
      </c>
    </row>
    <row r="179" spans="1:7" ht="47.25" x14ac:dyDescent="0.25">
      <c r="A179" s="31" t="s">
        <v>1083</v>
      </c>
      <c r="B179" s="462" t="s">
        <v>118</v>
      </c>
      <c r="C179" s="462" t="s">
        <v>140</v>
      </c>
      <c r="D179" s="462" t="s">
        <v>1026</v>
      </c>
      <c r="E179" s="462"/>
      <c r="F179" s="467">
        <f>F180</f>
        <v>12</v>
      </c>
      <c r="G179" s="467">
        <f>G180</f>
        <v>40</v>
      </c>
    </row>
    <row r="180" spans="1:7" ht="31.5" x14ac:dyDescent="0.25">
      <c r="A180" s="466" t="s">
        <v>131</v>
      </c>
      <c r="B180" s="462" t="s">
        <v>118</v>
      </c>
      <c r="C180" s="462" t="s">
        <v>140</v>
      </c>
      <c r="D180" s="462" t="s">
        <v>1026</v>
      </c>
      <c r="E180" s="462" t="s">
        <v>132</v>
      </c>
      <c r="F180" s="467">
        <f>F181</f>
        <v>12</v>
      </c>
      <c r="G180" s="467">
        <f>G181</f>
        <v>40</v>
      </c>
    </row>
    <row r="181" spans="1:7" ht="47.25" x14ac:dyDescent="0.25">
      <c r="A181" s="466" t="s">
        <v>133</v>
      </c>
      <c r="B181" s="462" t="s">
        <v>118</v>
      </c>
      <c r="C181" s="462" t="s">
        <v>140</v>
      </c>
      <c r="D181" s="462" t="s">
        <v>1026</v>
      </c>
      <c r="E181" s="462" t="s">
        <v>134</v>
      </c>
      <c r="F181" s="467">
        <f>'пр.6.1.ведом.22-23 (2)'!G145</f>
        <v>12</v>
      </c>
      <c r="G181" s="467">
        <f>'пр.6.1.ведом.22-23 (2)'!H145</f>
        <v>40</v>
      </c>
    </row>
    <row r="182" spans="1:7" ht="47.25" x14ac:dyDescent="0.25">
      <c r="A182" s="464" t="s">
        <v>1366</v>
      </c>
      <c r="B182" s="465" t="s">
        <v>118</v>
      </c>
      <c r="C182" s="465" t="s">
        <v>140</v>
      </c>
      <c r="D182" s="465" t="s">
        <v>335</v>
      </c>
      <c r="E182" s="465"/>
      <c r="F182" s="59">
        <f>F183</f>
        <v>120</v>
      </c>
      <c r="G182" s="59">
        <f>G183</f>
        <v>120</v>
      </c>
    </row>
    <row r="183" spans="1:7" ht="45" customHeight="1" x14ac:dyDescent="0.25">
      <c r="A183" s="464" t="s">
        <v>1052</v>
      </c>
      <c r="B183" s="465" t="s">
        <v>118</v>
      </c>
      <c r="C183" s="465" t="s">
        <v>140</v>
      </c>
      <c r="D183" s="465" t="s">
        <v>1053</v>
      </c>
      <c r="E183" s="465"/>
      <c r="F183" s="59">
        <f>F184+F187+F190+F193+F196</f>
        <v>120</v>
      </c>
      <c r="G183" s="59">
        <f>G184+G187+G190+G193+G196</f>
        <v>120</v>
      </c>
    </row>
    <row r="184" spans="1:7" ht="31.5" x14ac:dyDescent="0.25">
      <c r="A184" s="97" t="s">
        <v>336</v>
      </c>
      <c r="B184" s="462" t="s">
        <v>118</v>
      </c>
      <c r="C184" s="462" t="s">
        <v>140</v>
      </c>
      <c r="D184" s="462" t="s">
        <v>1054</v>
      </c>
      <c r="E184" s="462"/>
      <c r="F184" s="459">
        <f>F185</f>
        <v>100</v>
      </c>
      <c r="G184" s="459">
        <f>G185</f>
        <v>100</v>
      </c>
    </row>
    <row r="185" spans="1:7" ht="31.5" x14ac:dyDescent="0.25">
      <c r="A185" s="466" t="s">
        <v>131</v>
      </c>
      <c r="B185" s="462" t="s">
        <v>118</v>
      </c>
      <c r="C185" s="462" t="s">
        <v>140</v>
      </c>
      <c r="D185" s="462" t="s">
        <v>1054</v>
      </c>
      <c r="E185" s="462" t="s">
        <v>132</v>
      </c>
      <c r="F185" s="459">
        <f>F186</f>
        <v>100</v>
      </c>
      <c r="G185" s="459">
        <f>G186</f>
        <v>100</v>
      </c>
    </row>
    <row r="186" spans="1:7" ht="47.25" x14ac:dyDescent="0.25">
      <c r="A186" s="466" t="s">
        <v>133</v>
      </c>
      <c r="B186" s="462" t="s">
        <v>118</v>
      </c>
      <c r="C186" s="462" t="s">
        <v>140</v>
      </c>
      <c r="D186" s="462" t="s">
        <v>1054</v>
      </c>
      <c r="E186" s="462" t="s">
        <v>134</v>
      </c>
      <c r="F186" s="459">
        <f>'пр.6.1.ведом.22-23 (2)'!G763+'пр.6.1.ведом.22-23 (2)'!G544+'пр.6.1.ведом.22-23 (2)'!G255</f>
        <v>100</v>
      </c>
      <c r="G186" s="459">
        <f>'пр.6.1.ведом.22-23 (2)'!H763+'пр.6.1.ведом.22-23 (2)'!H544+'пр.6.1.ведом.22-23 (2)'!H255</f>
        <v>100</v>
      </c>
    </row>
    <row r="187" spans="1:7" ht="31.5" x14ac:dyDescent="0.25">
      <c r="A187" s="466" t="s">
        <v>338</v>
      </c>
      <c r="B187" s="462" t="s">
        <v>118</v>
      </c>
      <c r="C187" s="462" t="s">
        <v>140</v>
      </c>
      <c r="D187" s="462" t="s">
        <v>1055</v>
      </c>
      <c r="E187" s="462"/>
      <c r="F187" s="459">
        <f>F188</f>
        <v>20</v>
      </c>
      <c r="G187" s="459">
        <f>G188</f>
        <v>20</v>
      </c>
    </row>
    <row r="188" spans="1:7" ht="31.5" x14ac:dyDescent="0.25">
      <c r="A188" s="466" t="s">
        <v>131</v>
      </c>
      <c r="B188" s="462" t="s">
        <v>118</v>
      </c>
      <c r="C188" s="462" t="s">
        <v>140</v>
      </c>
      <c r="D188" s="462" t="s">
        <v>1055</v>
      </c>
      <c r="E188" s="462" t="s">
        <v>132</v>
      </c>
      <c r="F188" s="459">
        <f>F189</f>
        <v>20</v>
      </c>
      <c r="G188" s="459">
        <f>G189</f>
        <v>20</v>
      </c>
    </row>
    <row r="189" spans="1:7" ht="47.25" x14ac:dyDescent="0.25">
      <c r="A189" s="466" t="s">
        <v>133</v>
      </c>
      <c r="B189" s="462" t="s">
        <v>118</v>
      </c>
      <c r="C189" s="462" t="s">
        <v>140</v>
      </c>
      <c r="D189" s="462" t="s">
        <v>1055</v>
      </c>
      <c r="E189" s="462" t="s">
        <v>134</v>
      </c>
      <c r="F189" s="459">
        <f>'пр.6.1.ведом.22-23 (2)'!G264</f>
        <v>20</v>
      </c>
      <c r="G189" s="459">
        <f>'пр.6.1.ведом.22-23 (2)'!H264</f>
        <v>20</v>
      </c>
    </row>
    <row r="190" spans="1:7" ht="63" hidden="1" x14ac:dyDescent="0.25">
      <c r="A190" s="31" t="s">
        <v>771</v>
      </c>
      <c r="B190" s="462" t="s">
        <v>118</v>
      </c>
      <c r="C190" s="462" t="s">
        <v>140</v>
      </c>
      <c r="D190" s="462" t="s">
        <v>1056</v>
      </c>
      <c r="E190" s="462"/>
      <c r="F190" s="459">
        <f>F191</f>
        <v>0</v>
      </c>
      <c r="G190" s="459">
        <f>G191</f>
        <v>0</v>
      </c>
    </row>
    <row r="191" spans="1:7" ht="31.5" hidden="1" x14ac:dyDescent="0.25">
      <c r="A191" s="466" t="s">
        <v>131</v>
      </c>
      <c r="B191" s="462" t="s">
        <v>118</v>
      </c>
      <c r="C191" s="462" t="s">
        <v>140</v>
      </c>
      <c r="D191" s="462" t="s">
        <v>1056</v>
      </c>
      <c r="E191" s="462" t="s">
        <v>132</v>
      </c>
      <c r="F191" s="459">
        <f>F192</f>
        <v>0</v>
      </c>
      <c r="G191" s="459">
        <f>G192</f>
        <v>0</v>
      </c>
    </row>
    <row r="192" spans="1:7" ht="47.25" hidden="1" x14ac:dyDescent="0.25">
      <c r="A192" s="466" t="s">
        <v>133</v>
      </c>
      <c r="B192" s="462" t="s">
        <v>118</v>
      </c>
      <c r="C192" s="462" t="s">
        <v>140</v>
      </c>
      <c r="D192" s="462" t="s">
        <v>1056</v>
      </c>
      <c r="E192" s="462" t="s">
        <v>134</v>
      </c>
      <c r="F192" s="459">
        <f>'пр.6.1.ведом.22-23 (2)'!G258</f>
        <v>0</v>
      </c>
      <c r="G192" s="459">
        <f>'пр.6.1.ведом.22-23 (2)'!H258</f>
        <v>0</v>
      </c>
    </row>
    <row r="193" spans="1:7" ht="31.5" hidden="1" x14ac:dyDescent="0.25">
      <c r="A193" s="466" t="s">
        <v>994</v>
      </c>
      <c r="B193" s="462" t="s">
        <v>118</v>
      </c>
      <c r="C193" s="462" t="s">
        <v>140</v>
      </c>
      <c r="D193" s="462" t="s">
        <v>1057</v>
      </c>
      <c r="E193" s="462"/>
      <c r="F193" s="459">
        <f>F194</f>
        <v>0</v>
      </c>
      <c r="G193" s="459">
        <f>G194</f>
        <v>0</v>
      </c>
    </row>
    <row r="194" spans="1:7" ht="31.5" hidden="1" x14ac:dyDescent="0.25">
      <c r="A194" s="466" t="s">
        <v>131</v>
      </c>
      <c r="B194" s="462" t="s">
        <v>118</v>
      </c>
      <c r="C194" s="462" t="s">
        <v>140</v>
      </c>
      <c r="D194" s="462" t="s">
        <v>1057</v>
      </c>
      <c r="E194" s="462" t="s">
        <v>132</v>
      </c>
      <c r="F194" s="459">
        <f>F195</f>
        <v>0</v>
      </c>
      <c r="G194" s="459">
        <f>G195</f>
        <v>0</v>
      </c>
    </row>
    <row r="195" spans="1:7" ht="47.25" hidden="1" x14ac:dyDescent="0.25">
      <c r="A195" s="466" t="s">
        <v>133</v>
      </c>
      <c r="B195" s="462" t="s">
        <v>118</v>
      </c>
      <c r="C195" s="462" t="s">
        <v>140</v>
      </c>
      <c r="D195" s="462" t="s">
        <v>1057</v>
      </c>
      <c r="E195" s="462" t="s">
        <v>134</v>
      </c>
      <c r="F195" s="459">
        <f>'пр.6.1.ведом.22-23 (2)'!G261</f>
        <v>0</v>
      </c>
      <c r="G195" s="459">
        <f>'пр.6.1.ведом.22-23 (2)'!H261</f>
        <v>0</v>
      </c>
    </row>
    <row r="196" spans="1:7" ht="31.5" hidden="1" x14ac:dyDescent="0.25">
      <c r="A196" s="31" t="s">
        <v>772</v>
      </c>
      <c r="B196" s="462" t="s">
        <v>118</v>
      </c>
      <c r="C196" s="462" t="s">
        <v>140</v>
      </c>
      <c r="D196" s="462" t="s">
        <v>1058</v>
      </c>
      <c r="E196" s="462"/>
      <c r="F196" s="459">
        <f>F197</f>
        <v>0</v>
      </c>
      <c r="G196" s="459">
        <f>G197</f>
        <v>0</v>
      </c>
    </row>
    <row r="197" spans="1:7" ht="31.5" hidden="1" x14ac:dyDescent="0.25">
      <c r="A197" s="466" t="s">
        <v>131</v>
      </c>
      <c r="B197" s="462" t="s">
        <v>118</v>
      </c>
      <c r="C197" s="462" t="s">
        <v>140</v>
      </c>
      <c r="D197" s="462" t="s">
        <v>1058</v>
      </c>
      <c r="E197" s="462" t="s">
        <v>132</v>
      </c>
      <c r="F197" s="459">
        <f>F198</f>
        <v>0</v>
      </c>
      <c r="G197" s="459">
        <f>G198</f>
        <v>0</v>
      </c>
    </row>
    <row r="198" spans="1:7" ht="47.25" hidden="1" x14ac:dyDescent="0.25">
      <c r="A198" s="466" t="s">
        <v>133</v>
      </c>
      <c r="B198" s="462" t="s">
        <v>118</v>
      </c>
      <c r="C198" s="462" t="s">
        <v>140</v>
      </c>
      <c r="D198" s="462" t="s">
        <v>1058</v>
      </c>
      <c r="E198" s="462" t="s">
        <v>134</v>
      </c>
      <c r="F198" s="459">
        <f>'пр.6.1.ведом.22-23 (2)'!G267</f>
        <v>0</v>
      </c>
      <c r="G198" s="459">
        <f>'пр.6.1.ведом.22-23 (2)'!H267</f>
        <v>0</v>
      </c>
    </row>
    <row r="199" spans="1:7" ht="57.2" customHeight="1" x14ac:dyDescent="0.25">
      <c r="A199" s="470" t="s">
        <v>1363</v>
      </c>
      <c r="B199" s="8" t="s">
        <v>118</v>
      </c>
      <c r="C199" s="8" t="s">
        <v>140</v>
      </c>
      <c r="D199" s="465" t="s">
        <v>705</v>
      </c>
      <c r="E199" s="474"/>
      <c r="F199" s="59">
        <f>F200+F204</f>
        <v>48</v>
      </c>
      <c r="G199" s="59">
        <f>G200+G204</f>
        <v>48</v>
      </c>
    </row>
    <row r="200" spans="1:7" ht="47.25" x14ac:dyDescent="0.25">
      <c r="A200" s="210" t="s">
        <v>846</v>
      </c>
      <c r="B200" s="465" t="s">
        <v>118</v>
      </c>
      <c r="C200" s="465" t="s">
        <v>140</v>
      </c>
      <c r="D200" s="465" t="s">
        <v>852</v>
      </c>
      <c r="E200" s="465"/>
      <c r="F200" s="59">
        <f>F201</f>
        <v>33</v>
      </c>
      <c r="G200" s="59">
        <f>G201</f>
        <v>33</v>
      </c>
    </row>
    <row r="201" spans="1:7" ht="47.25" x14ac:dyDescent="0.25">
      <c r="A201" s="98" t="s">
        <v>776</v>
      </c>
      <c r="B201" s="462" t="s">
        <v>118</v>
      </c>
      <c r="C201" s="462" t="s">
        <v>140</v>
      </c>
      <c r="D201" s="462" t="s">
        <v>847</v>
      </c>
      <c r="E201" s="462"/>
      <c r="F201" s="459">
        <f>F202</f>
        <v>33</v>
      </c>
      <c r="G201" s="459">
        <f>G202</f>
        <v>33</v>
      </c>
    </row>
    <row r="202" spans="1:7" ht="36.75" customHeight="1" x14ac:dyDescent="0.25">
      <c r="A202" s="466" t="s">
        <v>131</v>
      </c>
      <c r="B202" s="462" t="s">
        <v>118</v>
      </c>
      <c r="C202" s="462" t="s">
        <v>140</v>
      </c>
      <c r="D202" s="462" t="s">
        <v>847</v>
      </c>
      <c r="E202" s="462" t="s">
        <v>132</v>
      </c>
      <c r="F202" s="459">
        <f>F203</f>
        <v>33</v>
      </c>
      <c r="G202" s="459">
        <f t="shared" si="7"/>
        <v>33</v>
      </c>
    </row>
    <row r="203" spans="1:7" ht="47.25" x14ac:dyDescent="0.25">
      <c r="A203" s="466" t="s">
        <v>133</v>
      </c>
      <c r="B203" s="462" t="s">
        <v>118</v>
      </c>
      <c r="C203" s="462" t="s">
        <v>140</v>
      </c>
      <c r="D203" s="462" t="s">
        <v>847</v>
      </c>
      <c r="E203" s="462" t="s">
        <v>134</v>
      </c>
      <c r="F203" s="459">
        <f>'пр.6.1.ведом.22-23 (2)'!G150+'пр.6.1.ведом.22-23 (2)'!G272</f>
        <v>33</v>
      </c>
      <c r="G203" s="459">
        <f>'пр.6.1.ведом.22-23 (2)'!H150+'пр.6.1.ведом.22-23 (2)'!H272</f>
        <v>33</v>
      </c>
    </row>
    <row r="204" spans="1:7" ht="47.25" x14ac:dyDescent="0.25">
      <c r="A204" s="473" t="s">
        <v>1023</v>
      </c>
      <c r="B204" s="465" t="s">
        <v>118</v>
      </c>
      <c r="C204" s="465" t="s">
        <v>140</v>
      </c>
      <c r="D204" s="465" t="s">
        <v>853</v>
      </c>
      <c r="E204" s="474"/>
      <c r="F204" s="59">
        <f t="shared" ref="F204:G206" si="9">F205</f>
        <v>15</v>
      </c>
      <c r="G204" s="59">
        <f t="shared" si="9"/>
        <v>15</v>
      </c>
    </row>
    <row r="205" spans="1:7" ht="31.5" x14ac:dyDescent="0.25">
      <c r="A205" s="98" t="s">
        <v>777</v>
      </c>
      <c r="B205" s="462" t="s">
        <v>118</v>
      </c>
      <c r="C205" s="462" t="s">
        <v>140</v>
      </c>
      <c r="D205" s="462" t="s">
        <v>848</v>
      </c>
      <c r="E205" s="468"/>
      <c r="F205" s="459">
        <f t="shared" si="9"/>
        <v>15</v>
      </c>
      <c r="G205" s="459">
        <f t="shared" si="9"/>
        <v>15</v>
      </c>
    </row>
    <row r="206" spans="1:7" ht="31.5" x14ac:dyDescent="0.25">
      <c r="A206" s="466" t="s">
        <v>131</v>
      </c>
      <c r="B206" s="462" t="s">
        <v>118</v>
      </c>
      <c r="C206" s="462" t="s">
        <v>140</v>
      </c>
      <c r="D206" s="462" t="s">
        <v>848</v>
      </c>
      <c r="E206" s="468" t="s">
        <v>132</v>
      </c>
      <c r="F206" s="459">
        <f t="shared" si="9"/>
        <v>15</v>
      </c>
      <c r="G206" s="459">
        <f t="shared" si="9"/>
        <v>15</v>
      </c>
    </row>
    <row r="207" spans="1:7" ht="47.25" x14ac:dyDescent="0.25">
      <c r="A207" s="466" t="s">
        <v>133</v>
      </c>
      <c r="B207" s="462" t="s">
        <v>118</v>
      </c>
      <c r="C207" s="462" t="s">
        <v>140</v>
      </c>
      <c r="D207" s="462" t="s">
        <v>848</v>
      </c>
      <c r="E207" s="468" t="s">
        <v>134</v>
      </c>
      <c r="F207" s="459">
        <f>'пр.6.1.ведом.22-23 (2)'!G154</f>
        <v>15</v>
      </c>
      <c r="G207" s="459">
        <f>'пр.6.1.ведом.22-23 (2)'!H154</f>
        <v>15</v>
      </c>
    </row>
    <row r="208" spans="1:7" ht="63" hidden="1" x14ac:dyDescent="0.25">
      <c r="A208" s="216" t="s">
        <v>1391</v>
      </c>
      <c r="B208" s="465" t="s">
        <v>118</v>
      </c>
      <c r="C208" s="465" t="s">
        <v>140</v>
      </c>
      <c r="D208" s="465" t="s">
        <v>782</v>
      </c>
      <c r="E208" s="474"/>
      <c r="F208" s="59">
        <f>F210</f>
        <v>0</v>
      </c>
      <c r="G208" s="59">
        <f>G210</f>
        <v>0</v>
      </c>
    </row>
    <row r="209" spans="1:7" ht="31.5" hidden="1" x14ac:dyDescent="0.25">
      <c r="A209" s="464" t="s">
        <v>930</v>
      </c>
      <c r="B209" s="465" t="s">
        <v>118</v>
      </c>
      <c r="C209" s="465" t="s">
        <v>140</v>
      </c>
      <c r="D209" s="465" t="s">
        <v>1020</v>
      </c>
      <c r="E209" s="474"/>
      <c r="F209" s="59">
        <f t="shared" ref="F209:G211" si="10">F210</f>
        <v>0</v>
      </c>
      <c r="G209" s="59">
        <f t="shared" si="10"/>
        <v>0</v>
      </c>
    </row>
    <row r="210" spans="1:7" ht="31.5" hidden="1" x14ac:dyDescent="0.25">
      <c r="A210" s="182" t="s">
        <v>790</v>
      </c>
      <c r="B210" s="462" t="s">
        <v>118</v>
      </c>
      <c r="C210" s="462" t="s">
        <v>140</v>
      </c>
      <c r="D210" s="462" t="s">
        <v>1021</v>
      </c>
      <c r="E210" s="468"/>
      <c r="F210" s="459">
        <f t="shared" si="10"/>
        <v>0</v>
      </c>
      <c r="G210" s="459">
        <f t="shared" si="10"/>
        <v>0</v>
      </c>
    </row>
    <row r="211" spans="1:7" ht="31.5" hidden="1" x14ac:dyDescent="0.25">
      <c r="A211" s="182" t="s">
        <v>131</v>
      </c>
      <c r="B211" s="462" t="s">
        <v>118</v>
      </c>
      <c r="C211" s="462" t="s">
        <v>140</v>
      </c>
      <c r="D211" s="462" t="s">
        <v>1021</v>
      </c>
      <c r="E211" s="468" t="s">
        <v>132</v>
      </c>
      <c r="F211" s="459">
        <f t="shared" si="10"/>
        <v>0</v>
      </c>
      <c r="G211" s="459">
        <f t="shared" si="10"/>
        <v>0</v>
      </c>
    </row>
    <row r="212" spans="1:7" ht="47.25" hidden="1" x14ac:dyDescent="0.25">
      <c r="A212" s="182" t="s">
        <v>133</v>
      </c>
      <c r="B212" s="462" t="s">
        <v>118</v>
      </c>
      <c r="C212" s="462" t="s">
        <v>140</v>
      </c>
      <c r="D212" s="462" t="s">
        <v>1021</v>
      </c>
      <c r="E212" s="468" t="s">
        <v>134</v>
      </c>
      <c r="F212" s="459">
        <f>'пр.6.1.ведом.22-23 (2)'!G520</f>
        <v>0</v>
      </c>
      <c r="G212" s="459">
        <f>'пр.6.1.ведом.22-23 (2)'!H520</f>
        <v>0</v>
      </c>
    </row>
    <row r="213" spans="1:7" ht="78.75" x14ac:dyDescent="0.25">
      <c r="A213" s="470" t="s">
        <v>1353</v>
      </c>
      <c r="B213" s="8" t="s">
        <v>118</v>
      </c>
      <c r="C213" s="8" t="s">
        <v>140</v>
      </c>
      <c r="D213" s="536" t="s">
        <v>817</v>
      </c>
      <c r="E213" s="8"/>
      <c r="F213" s="59">
        <f t="shared" ref="F213:F216" si="11">F214</f>
        <v>45</v>
      </c>
      <c r="G213" s="59">
        <f>G214</f>
        <v>50</v>
      </c>
    </row>
    <row r="214" spans="1:7" ht="47.25" x14ac:dyDescent="0.25">
      <c r="A214" s="212" t="s">
        <v>854</v>
      </c>
      <c r="B214" s="8" t="s">
        <v>118</v>
      </c>
      <c r="C214" s="8" t="s">
        <v>140</v>
      </c>
      <c r="D214" s="194" t="s">
        <v>1078</v>
      </c>
      <c r="E214" s="8"/>
      <c r="F214" s="59">
        <f t="shared" si="11"/>
        <v>45</v>
      </c>
      <c r="G214" s="59">
        <f>G215</f>
        <v>50</v>
      </c>
    </row>
    <row r="215" spans="1:7" ht="31.5" x14ac:dyDescent="0.25">
      <c r="A215" s="97" t="s">
        <v>171</v>
      </c>
      <c r="B215" s="9" t="s">
        <v>118</v>
      </c>
      <c r="C215" s="9" t="s">
        <v>140</v>
      </c>
      <c r="D215" s="5" t="s">
        <v>855</v>
      </c>
      <c r="E215" s="9"/>
      <c r="F215" s="459">
        <f t="shared" si="11"/>
        <v>45</v>
      </c>
      <c r="G215" s="459">
        <f>G216</f>
        <v>50</v>
      </c>
    </row>
    <row r="216" spans="1:7" ht="31.5" x14ac:dyDescent="0.25">
      <c r="A216" s="466" t="s">
        <v>131</v>
      </c>
      <c r="B216" s="9" t="s">
        <v>118</v>
      </c>
      <c r="C216" s="9" t="s">
        <v>140</v>
      </c>
      <c r="D216" s="5" t="s">
        <v>855</v>
      </c>
      <c r="E216" s="9" t="s">
        <v>132</v>
      </c>
      <c r="F216" s="459">
        <f t="shared" si="11"/>
        <v>45</v>
      </c>
      <c r="G216" s="459">
        <f>G217</f>
        <v>50</v>
      </c>
    </row>
    <row r="217" spans="1:7" ht="47.25" x14ac:dyDescent="0.25">
      <c r="A217" s="466" t="s">
        <v>133</v>
      </c>
      <c r="B217" s="9" t="s">
        <v>118</v>
      </c>
      <c r="C217" s="9" t="s">
        <v>140</v>
      </c>
      <c r="D217" s="5" t="s">
        <v>855</v>
      </c>
      <c r="E217" s="9" t="s">
        <v>134</v>
      </c>
      <c r="F217" s="459">
        <f>'пр.6.1.ведом.22-23 (2)'!G159</f>
        <v>45</v>
      </c>
      <c r="G217" s="459">
        <f>'пр.6.1.ведом.22-23 (2)'!H159</f>
        <v>50</v>
      </c>
    </row>
    <row r="218" spans="1:7" ht="62.45" customHeight="1" x14ac:dyDescent="0.25">
      <c r="A218" s="470" t="s">
        <v>1354</v>
      </c>
      <c r="B218" s="8" t="s">
        <v>118</v>
      </c>
      <c r="C218" s="8" t="s">
        <v>140</v>
      </c>
      <c r="D218" s="194" t="s">
        <v>818</v>
      </c>
      <c r="E218" s="8"/>
      <c r="F218" s="458">
        <f>F219</f>
        <v>80</v>
      </c>
      <c r="G218" s="458">
        <f>G219</f>
        <v>90</v>
      </c>
    </row>
    <row r="219" spans="1:7" ht="31.5" x14ac:dyDescent="0.25">
      <c r="A219" s="58" t="s">
        <v>856</v>
      </c>
      <c r="B219" s="8" t="s">
        <v>118</v>
      </c>
      <c r="C219" s="8" t="s">
        <v>140</v>
      </c>
      <c r="D219" s="194" t="s">
        <v>864</v>
      </c>
      <c r="E219" s="8"/>
      <c r="F219" s="458">
        <f t="shared" ref="F219:G219" si="12">F220</f>
        <v>80</v>
      </c>
      <c r="G219" s="458">
        <f t="shared" si="12"/>
        <v>90</v>
      </c>
    </row>
    <row r="220" spans="1:7" ht="31.5" x14ac:dyDescent="0.25">
      <c r="A220" s="45" t="s">
        <v>822</v>
      </c>
      <c r="B220" s="9" t="s">
        <v>118</v>
      </c>
      <c r="C220" s="9" t="s">
        <v>140</v>
      </c>
      <c r="D220" s="5" t="s">
        <v>857</v>
      </c>
      <c r="E220" s="9"/>
      <c r="F220" s="459">
        <f>F221</f>
        <v>80</v>
      </c>
      <c r="G220" s="459">
        <f>G221</f>
        <v>90</v>
      </c>
    </row>
    <row r="221" spans="1:7" ht="31.5" x14ac:dyDescent="0.25">
      <c r="A221" s="466" t="s">
        <v>131</v>
      </c>
      <c r="B221" s="9" t="s">
        <v>118</v>
      </c>
      <c r="C221" s="9" t="s">
        <v>140</v>
      </c>
      <c r="D221" s="5" t="s">
        <v>857</v>
      </c>
      <c r="E221" s="9" t="s">
        <v>132</v>
      </c>
      <c r="F221" s="459">
        <f>F222</f>
        <v>80</v>
      </c>
      <c r="G221" s="459">
        <f>G222</f>
        <v>90</v>
      </c>
    </row>
    <row r="222" spans="1:7" ht="47.25" x14ac:dyDescent="0.25">
      <c r="A222" s="466" t="s">
        <v>133</v>
      </c>
      <c r="B222" s="9" t="s">
        <v>118</v>
      </c>
      <c r="C222" s="9" t="s">
        <v>140</v>
      </c>
      <c r="D222" s="5" t="s">
        <v>857</v>
      </c>
      <c r="E222" s="9" t="s">
        <v>134</v>
      </c>
      <c r="F222" s="459">
        <f>'пр.6.1.ведом.22-23 (2)'!G164</f>
        <v>80</v>
      </c>
      <c r="G222" s="459">
        <f>'пр.6.1.ведом.22-23 (2)'!H164</f>
        <v>90</v>
      </c>
    </row>
    <row r="223" spans="1:7" ht="15.75" hidden="1" x14ac:dyDescent="0.25">
      <c r="A223" s="464" t="s">
        <v>212</v>
      </c>
      <c r="B223" s="465" t="s">
        <v>213</v>
      </c>
      <c r="C223" s="465"/>
      <c r="D223" s="465"/>
      <c r="E223" s="465"/>
      <c r="F223" s="458">
        <f t="shared" ref="F223:G226" si="13">F224</f>
        <v>0</v>
      </c>
      <c r="G223" s="458">
        <f t="shared" si="13"/>
        <v>0</v>
      </c>
    </row>
    <row r="224" spans="1:7" ht="31.5" hidden="1" x14ac:dyDescent="0.25">
      <c r="A224" s="464" t="s">
        <v>218</v>
      </c>
      <c r="B224" s="465" t="s">
        <v>213</v>
      </c>
      <c r="C224" s="465" t="s">
        <v>219</v>
      </c>
      <c r="D224" s="465"/>
      <c r="E224" s="465"/>
      <c r="F224" s="458">
        <f t="shared" si="13"/>
        <v>0</v>
      </c>
      <c r="G224" s="458">
        <f t="shared" si="13"/>
        <v>0</v>
      </c>
    </row>
    <row r="225" spans="1:7" ht="15.75" hidden="1" x14ac:dyDescent="0.25">
      <c r="A225" s="464" t="s">
        <v>141</v>
      </c>
      <c r="B225" s="465" t="s">
        <v>213</v>
      </c>
      <c r="C225" s="465" t="s">
        <v>219</v>
      </c>
      <c r="D225" s="465" t="s">
        <v>866</v>
      </c>
      <c r="E225" s="465"/>
      <c r="F225" s="458">
        <f t="shared" si="13"/>
        <v>0</v>
      </c>
      <c r="G225" s="458">
        <f t="shared" si="13"/>
        <v>0</v>
      </c>
    </row>
    <row r="226" spans="1:7" ht="31.5" hidden="1" x14ac:dyDescent="0.25">
      <c r="A226" s="464" t="s">
        <v>870</v>
      </c>
      <c r="B226" s="465" t="s">
        <v>213</v>
      </c>
      <c r="C226" s="465" t="s">
        <v>219</v>
      </c>
      <c r="D226" s="465" t="s">
        <v>865</v>
      </c>
      <c r="E226" s="465"/>
      <c r="F226" s="458">
        <f t="shared" si="13"/>
        <v>0</v>
      </c>
      <c r="G226" s="458">
        <f t="shared" si="13"/>
        <v>0</v>
      </c>
    </row>
    <row r="227" spans="1:7" ht="16.350000000000001" hidden="1" customHeight="1" x14ac:dyDescent="0.25">
      <c r="A227" s="466" t="s">
        <v>220</v>
      </c>
      <c r="B227" s="462" t="s">
        <v>213</v>
      </c>
      <c r="C227" s="462" t="s">
        <v>219</v>
      </c>
      <c r="D227" s="462" t="s">
        <v>871</v>
      </c>
      <c r="E227" s="462"/>
      <c r="F227" s="459">
        <f>'[1]Пр.4 Рд,пр, ЦС,ВР 21'!F218</f>
        <v>0</v>
      </c>
      <c r="G227" s="459">
        <f t="shared" ref="G227:G282" si="14">F227</f>
        <v>0</v>
      </c>
    </row>
    <row r="228" spans="1:7" ht="47.25" hidden="1" x14ac:dyDescent="0.25">
      <c r="A228" s="466" t="s">
        <v>198</v>
      </c>
      <c r="B228" s="462" t="s">
        <v>213</v>
      </c>
      <c r="C228" s="462" t="s">
        <v>219</v>
      </c>
      <c r="D228" s="462" t="s">
        <v>871</v>
      </c>
      <c r="E228" s="462" t="s">
        <v>132</v>
      </c>
      <c r="F228" s="459">
        <f>'[1]Пр.4 Рд,пр, ЦС,ВР 21'!F219</f>
        <v>0</v>
      </c>
      <c r="G228" s="459">
        <f t="shared" si="14"/>
        <v>0</v>
      </c>
    </row>
    <row r="229" spans="1:7" ht="47.25" hidden="1" x14ac:dyDescent="0.25">
      <c r="A229" s="466" t="s">
        <v>133</v>
      </c>
      <c r="B229" s="462" t="s">
        <v>213</v>
      </c>
      <c r="C229" s="462" t="s">
        <v>219</v>
      </c>
      <c r="D229" s="462" t="s">
        <v>871</v>
      </c>
      <c r="E229" s="462" t="s">
        <v>134</v>
      </c>
      <c r="F229" s="459">
        <f>'[1]Пр.4 Рд,пр, ЦС,ВР 21'!F220</f>
        <v>0</v>
      </c>
      <c r="G229" s="459">
        <f t="shared" si="14"/>
        <v>0</v>
      </c>
    </row>
    <row r="230" spans="1:7" ht="31.5" x14ac:dyDescent="0.25">
      <c r="A230" s="464" t="s">
        <v>222</v>
      </c>
      <c r="B230" s="465" t="s">
        <v>215</v>
      </c>
      <c r="C230" s="465"/>
      <c r="D230" s="465"/>
      <c r="E230" s="465"/>
      <c r="F230" s="458">
        <f t="shared" ref="F230:G231" si="15">F231</f>
        <v>8197.1</v>
      </c>
      <c r="G230" s="458">
        <f t="shared" si="15"/>
        <v>8197.1</v>
      </c>
    </row>
    <row r="231" spans="1:7" ht="63" x14ac:dyDescent="0.25">
      <c r="A231" s="464" t="s">
        <v>1356</v>
      </c>
      <c r="B231" s="465" t="s">
        <v>215</v>
      </c>
      <c r="C231" s="465" t="s">
        <v>244</v>
      </c>
      <c r="D231" s="462"/>
      <c r="E231" s="462"/>
      <c r="F231" s="458">
        <f t="shared" si="15"/>
        <v>8197.1</v>
      </c>
      <c r="G231" s="458">
        <f t="shared" si="15"/>
        <v>8197.1</v>
      </c>
    </row>
    <row r="232" spans="1:7" ht="15.75" x14ac:dyDescent="0.25">
      <c r="A232" s="464" t="s">
        <v>141</v>
      </c>
      <c r="B232" s="465" t="s">
        <v>215</v>
      </c>
      <c r="C232" s="465" t="s">
        <v>244</v>
      </c>
      <c r="D232" s="465" t="s">
        <v>866</v>
      </c>
      <c r="E232" s="465"/>
      <c r="F232" s="458">
        <f>F233+F240</f>
        <v>8197.1</v>
      </c>
      <c r="G232" s="458">
        <f>G233+G240</f>
        <v>8197.1</v>
      </c>
    </row>
    <row r="233" spans="1:7" ht="31.5" x14ac:dyDescent="0.25">
      <c r="A233" s="464" t="s">
        <v>870</v>
      </c>
      <c r="B233" s="465" t="s">
        <v>215</v>
      </c>
      <c r="C233" s="465" t="s">
        <v>244</v>
      </c>
      <c r="D233" s="465" t="s">
        <v>865</v>
      </c>
      <c r="E233" s="465"/>
      <c r="F233" s="458">
        <f>F234+F237</f>
        <v>2089</v>
      </c>
      <c r="G233" s="458">
        <f>G234+G237</f>
        <v>2089</v>
      </c>
    </row>
    <row r="234" spans="1:7" ht="47.25" x14ac:dyDescent="0.25">
      <c r="A234" s="466" t="s">
        <v>224</v>
      </c>
      <c r="B234" s="462" t="s">
        <v>215</v>
      </c>
      <c r="C234" s="462" t="s">
        <v>244</v>
      </c>
      <c r="D234" s="462" t="s">
        <v>875</v>
      </c>
      <c r="E234" s="462"/>
      <c r="F234" s="459">
        <f>F235</f>
        <v>1785</v>
      </c>
      <c r="G234" s="459">
        <f>G235</f>
        <v>1785</v>
      </c>
    </row>
    <row r="235" spans="1:7" ht="35.450000000000003" customHeight="1" x14ac:dyDescent="0.25">
      <c r="A235" s="466" t="s">
        <v>198</v>
      </c>
      <c r="B235" s="462" t="s">
        <v>215</v>
      </c>
      <c r="C235" s="462" t="s">
        <v>244</v>
      </c>
      <c r="D235" s="462" t="s">
        <v>875</v>
      </c>
      <c r="E235" s="462" t="s">
        <v>132</v>
      </c>
      <c r="F235" s="459">
        <f>F236</f>
        <v>1785</v>
      </c>
      <c r="G235" s="459">
        <f>G236</f>
        <v>1785</v>
      </c>
    </row>
    <row r="236" spans="1:7" ht="47.25" x14ac:dyDescent="0.25">
      <c r="A236" s="466" t="s">
        <v>133</v>
      </c>
      <c r="B236" s="462" t="s">
        <v>215</v>
      </c>
      <c r="C236" s="462" t="s">
        <v>244</v>
      </c>
      <c r="D236" s="462" t="s">
        <v>875</v>
      </c>
      <c r="E236" s="462" t="s">
        <v>134</v>
      </c>
      <c r="F236" s="459">
        <f>'пр.6.1.ведом.22-23 (2)'!G178</f>
        <v>1785</v>
      </c>
      <c r="G236" s="459">
        <f>'пр.6.1.ведом.22-23 (2)'!H178</f>
        <v>1785</v>
      </c>
    </row>
    <row r="237" spans="1:7" ht="15.75" x14ac:dyDescent="0.25">
      <c r="A237" s="466" t="s">
        <v>230</v>
      </c>
      <c r="B237" s="462" t="s">
        <v>215</v>
      </c>
      <c r="C237" s="462" t="s">
        <v>244</v>
      </c>
      <c r="D237" s="462" t="s">
        <v>876</v>
      </c>
      <c r="E237" s="462"/>
      <c r="F237" s="459">
        <f>F238</f>
        <v>304</v>
      </c>
      <c r="G237" s="459">
        <f>G238</f>
        <v>304</v>
      </c>
    </row>
    <row r="238" spans="1:7" ht="47.25" x14ac:dyDescent="0.25">
      <c r="A238" s="466" t="s">
        <v>198</v>
      </c>
      <c r="B238" s="462" t="s">
        <v>215</v>
      </c>
      <c r="C238" s="462" t="s">
        <v>244</v>
      </c>
      <c r="D238" s="462" t="s">
        <v>876</v>
      </c>
      <c r="E238" s="462" t="s">
        <v>132</v>
      </c>
      <c r="F238" s="459">
        <f>F239</f>
        <v>304</v>
      </c>
      <c r="G238" s="459">
        <f>G239</f>
        <v>304</v>
      </c>
    </row>
    <row r="239" spans="1:7" ht="47.25" x14ac:dyDescent="0.25">
      <c r="A239" s="466" t="s">
        <v>133</v>
      </c>
      <c r="B239" s="462" t="s">
        <v>215</v>
      </c>
      <c r="C239" s="462" t="s">
        <v>244</v>
      </c>
      <c r="D239" s="462" t="s">
        <v>876</v>
      </c>
      <c r="E239" s="462" t="s">
        <v>134</v>
      </c>
      <c r="F239" s="459">
        <f>'пр.6.1.ведом.22-23 (2)'!G181+'пр.6.1.ведом.22-23 (2)'!G852</f>
        <v>304</v>
      </c>
      <c r="G239" s="459">
        <f>'пр.6.1.ведом.22-23 (2)'!H181+'пр.6.1.ведом.22-23 (2)'!H852</f>
        <v>304</v>
      </c>
    </row>
    <row r="240" spans="1:7" ht="47.25" x14ac:dyDescent="0.25">
      <c r="A240" s="464" t="s">
        <v>923</v>
      </c>
      <c r="B240" s="465" t="s">
        <v>215</v>
      </c>
      <c r="C240" s="465" t="s">
        <v>244</v>
      </c>
      <c r="D240" s="465" t="s">
        <v>872</v>
      </c>
      <c r="E240" s="465"/>
      <c r="F240" s="458">
        <f>F241+F246</f>
        <v>6108.1</v>
      </c>
      <c r="G240" s="458">
        <f>G241+G246</f>
        <v>6108.1</v>
      </c>
    </row>
    <row r="241" spans="1:9" ht="31.5" x14ac:dyDescent="0.25">
      <c r="A241" s="466" t="s">
        <v>927</v>
      </c>
      <c r="B241" s="462" t="s">
        <v>215</v>
      </c>
      <c r="C241" s="462" t="s">
        <v>244</v>
      </c>
      <c r="D241" s="462" t="s">
        <v>873</v>
      </c>
      <c r="E241" s="462"/>
      <c r="F241" s="459">
        <f>F242+F244</f>
        <v>5856.1</v>
      </c>
      <c r="G241" s="459">
        <f>G242+G244</f>
        <v>5856.1</v>
      </c>
    </row>
    <row r="242" spans="1:9" ht="94.5" x14ac:dyDescent="0.25">
      <c r="A242" s="466" t="s">
        <v>127</v>
      </c>
      <c r="B242" s="462" t="s">
        <v>215</v>
      </c>
      <c r="C242" s="462" t="s">
        <v>244</v>
      </c>
      <c r="D242" s="462" t="s">
        <v>873</v>
      </c>
      <c r="E242" s="462" t="s">
        <v>128</v>
      </c>
      <c r="F242" s="459">
        <f>F243</f>
        <v>5693.1</v>
      </c>
      <c r="G242" s="459">
        <f>G243</f>
        <v>5693.1</v>
      </c>
    </row>
    <row r="243" spans="1:9" ht="31.5" x14ac:dyDescent="0.25">
      <c r="A243" s="466" t="s">
        <v>208</v>
      </c>
      <c r="B243" s="462" t="s">
        <v>215</v>
      </c>
      <c r="C243" s="462" t="s">
        <v>244</v>
      </c>
      <c r="D243" s="462" t="s">
        <v>873</v>
      </c>
      <c r="E243" s="462" t="s">
        <v>209</v>
      </c>
      <c r="F243" s="459">
        <f>'пр.6.1.ведом.22-23 (2)'!G185</f>
        <v>5693.1</v>
      </c>
      <c r="G243" s="459">
        <f>'пр.6.1.ведом.22-23 (2)'!H185</f>
        <v>5693.1</v>
      </c>
    </row>
    <row r="244" spans="1:9" ht="47.25" x14ac:dyDescent="0.25">
      <c r="A244" s="466" t="s">
        <v>198</v>
      </c>
      <c r="B244" s="462" t="s">
        <v>215</v>
      </c>
      <c r="C244" s="462" t="s">
        <v>244</v>
      </c>
      <c r="D244" s="462" t="s">
        <v>873</v>
      </c>
      <c r="E244" s="462" t="s">
        <v>132</v>
      </c>
      <c r="F244" s="459">
        <f>F245</f>
        <v>163</v>
      </c>
      <c r="G244" s="459">
        <f>G245</f>
        <v>163</v>
      </c>
    </row>
    <row r="245" spans="1:9" ht="47.25" x14ac:dyDescent="0.25">
      <c r="A245" s="466" t="s">
        <v>133</v>
      </c>
      <c r="B245" s="462" t="s">
        <v>215</v>
      </c>
      <c r="C245" s="462" t="s">
        <v>244</v>
      </c>
      <c r="D245" s="462" t="s">
        <v>873</v>
      </c>
      <c r="E245" s="462" t="s">
        <v>134</v>
      </c>
      <c r="F245" s="459">
        <f>'пр.6.1.ведом.22-23 (2)'!G187</f>
        <v>163</v>
      </c>
      <c r="G245" s="459">
        <f>'пр.6.1.ведом.22-23 (2)'!H187</f>
        <v>163</v>
      </c>
    </row>
    <row r="246" spans="1:9" ht="47.25" x14ac:dyDescent="0.25">
      <c r="A246" s="466" t="s">
        <v>839</v>
      </c>
      <c r="B246" s="462" t="s">
        <v>215</v>
      </c>
      <c r="C246" s="462" t="s">
        <v>244</v>
      </c>
      <c r="D246" s="462" t="s">
        <v>874</v>
      </c>
      <c r="E246" s="462"/>
      <c r="F246" s="459">
        <f>F247</f>
        <v>252</v>
      </c>
      <c r="G246" s="459">
        <f>G247</f>
        <v>252</v>
      </c>
    </row>
    <row r="247" spans="1:9" ht="94.5" x14ac:dyDescent="0.25">
      <c r="A247" s="466" t="s">
        <v>127</v>
      </c>
      <c r="B247" s="462" t="s">
        <v>215</v>
      </c>
      <c r="C247" s="462" t="s">
        <v>244</v>
      </c>
      <c r="D247" s="462" t="s">
        <v>874</v>
      </c>
      <c r="E247" s="462" t="s">
        <v>128</v>
      </c>
      <c r="F247" s="459">
        <f>F248</f>
        <v>252</v>
      </c>
      <c r="G247" s="459">
        <f>G248</f>
        <v>252</v>
      </c>
    </row>
    <row r="248" spans="1:9" ht="31.7" customHeight="1" x14ac:dyDescent="0.25">
      <c r="A248" s="466" t="s">
        <v>129</v>
      </c>
      <c r="B248" s="462" t="s">
        <v>215</v>
      </c>
      <c r="C248" s="462" t="s">
        <v>244</v>
      </c>
      <c r="D248" s="462" t="s">
        <v>874</v>
      </c>
      <c r="E248" s="462" t="s">
        <v>130</v>
      </c>
      <c r="F248" s="459">
        <f>'пр.6.1.ведом.22-23 (2)'!G190</f>
        <v>252</v>
      </c>
      <c r="G248" s="459">
        <f>'пр.6.1.ведом.22-23 (2)'!H190</f>
        <v>252</v>
      </c>
    </row>
    <row r="249" spans="1:9" ht="15.75" x14ac:dyDescent="0.25">
      <c r="A249" s="464" t="s">
        <v>232</v>
      </c>
      <c r="B249" s="465" t="s">
        <v>150</v>
      </c>
      <c r="C249" s="465"/>
      <c r="D249" s="465"/>
      <c r="E249" s="462"/>
      <c r="F249" s="458">
        <f t="shared" ref="F249" si="16">F263+F269+F283+F250</f>
        <v>6525.2</v>
      </c>
      <c r="G249" s="458">
        <f>G263+G269+G283+G250</f>
        <v>6535.8</v>
      </c>
    </row>
    <row r="250" spans="1:9" ht="15.75" x14ac:dyDescent="0.25">
      <c r="A250" s="464" t="s">
        <v>233</v>
      </c>
      <c r="B250" s="465" t="s">
        <v>150</v>
      </c>
      <c r="C250" s="465" t="s">
        <v>234</v>
      </c>
      <c r="D250" s="465"/>
      <c r="E250" s="462"/>
      <c r="F250" s="458">
        <f>F251</f>
        <v>274</v>
      </c>
      <c r="G250" s="458">
        <f>G251</f>
        <v>274</v>
      </c>
      <c r="H250" s="22"/>
      <c r="I250" s="22"/>
    </row>
    <row r="251" spans="1:9" ht="47.25" x14ac:dyDescent="0.25">
      <c r="A251" s="34" t="s">
        <v>1392</v>
      </c>
      <c r="B251" s="465" t="s">
        <v>150</v>
      </c>
      <c r="C251" s="465" t="s">
        <v>234</v>
      </c>
      <c r="D251" s="194" t="s">
        <v>182</v>
      </c>
      <c r="E251" s="474"/>
      <c r="F251" s="458">
        <f>F252+F259</f>
        <v>274</v>
      </c>
      <c r="G251" s="458">
        <f>G252+G259</f>
        <v>274</v>
      </c>
    </row>
    <row r="252" spans="1:9" ht="47.25" x14ac:dyDescent="0.25">
      <c r="A252" s="34" t="s">
        <v>1006</v>
      </c>
      <c r="B252" s="465" t="s">
        <v>150</v>
      </c>
      <c r="C252" s="465" t="s">
        <v>234</v>
      </c>
      <c r="D252" s="248" t="s">
        <v>877</v>
      </c>
      <c r="E252" s="474"/>
      <c r="F252" s="458">
        <f>F253+F256</f>
        <v>274</v>
      </c>
      <c r="G252" s="458">
        <f>G253+G256</f>
        <v>274</v>
      </c>
    </row>
    <row r="253" spans="1:9" ht="31.5" x14ac:dyDescent="0.25">
      <c r="A253" s="466" t="s">
        <v>235</v>
      </c>
      <c r="B253" s="462" t="s">
        <v>150</v>
      </c>
      <c r="C253" s="462" t="s">
        <v>234</v>
      </c>
      <c r="D253" s="462" t="s">
        <v>898</v>
      </c>
      <c r="E253" s="468"/>
      <c r="F253" s="459">
        <f>F254</f>
        <v>274</v>
      </c>
      <c r="G253" s="459">
        <f>G254</f>
        <v>274</v>
      </c>
    </row>
    <row r="254" spans="1:9" ht="15.75" x14ac:dyDescent="0.25">
      <c r="A254" s="29" t="s">
        <v>135</v>
      </c>
      <c r="B254" s="462" t="s">
        <v>150</v>
      </c>
      <c r="C254" s="462" t="s">
        <v>234</v>
      </c>
      <c r="D254" s="462" t="s">
        <v>898</v>
      </c>
      <c r="E254" s="468" t="s">
        <v>145</v>
      </c>
      <c r="F254" s="459">
        <f>F255</f>
        <v>274</v>
      </c>
      <c r="G254" s="459">
        <f>G255</f>
        <v>274</v>
      </c>
    </row>
    <row r="255" spans="1:9" ht="63" x14ac:dyDescent="0.25">
      <c r="A255" s="29" t="s">
        <v>184</v>
      </c>
      <c r="B255" s="462" t="s">
        <v>150</v>
      </c>
      <c r="C255" s="462" t="s">
        <v>234</v>
      </c>
      <c r="D255" s="462" t="s">
        <v>898</v>
      </c>
      <c r="E255" s="468" t="s">
        <v>160</v>
      </c>
      <c r="F255" s="459">
        <f>'пр.6.1.ведом.22-23 (2)'!G197</f>
        <v>274</v>
      </c>
      <c r="G255" s="459">
        <f>'пр.6.1.ведом.22-23 (2)'!H197</f>
        <v>274</v>
      </c>
    </row>
    <row r="256" spans="1:9" ht="31.5" hidden="1" x14ac:dyDescent="0.25">
      <c r="A256" s="466" t="s">
        <v>235</v>
      </c>
      <c r="B256" s="462" t="s">
        <v>150</v>
      </c>
      <c r="C256" s="462" t="s">
        <v>234</v>
      </c>
      <c r="D256" s="462" t="s">
        <v>880</v>
      </c>
      <c r="E256" s="462"/>
      <c r="F256" s="459">
        <f>F257</f>
        <v>0</v>
      </c>
      <c r="G256" s="459">
        <f>G257</f>
        <v>0</v>
      </c>
    </row>
    <row r="257" spans="1:7" ht="15.75" hidden="1" x14ac:dyDescent="0.25">
      <c r="A257" s="466" t="s">
        <v>135</v>
      </c>
      <c r="B257" s="462" t="s">
        <v>150</v>
      </c>
      <c r="C257" s="462" t="s">
        <v>234</v>
      </c>
      <c r="D257" s="462" t="s">
        <v>880</v>
      </c>
      <c r="E257" s="462" t="s">
        <v>145</v>
      </c>
      <c r="F257" s="459">
        <f>F258</f>
        <v>0</v>
      </c>
      <c r="G257" s="459">
        <f>G258</f>
        <v>0</v>
      </c>
    </row>
    <row r="258" spans="1:7" ht="63" hidden="1" x14ac:dyDescent="0.25">
      <c r="A258" s="466" t="s">
        <v>184</v>
      </c>
      <c r="B258" s="462" t="s">
        <v>150</v>
      </c>
      <c r="C258" s="462" t="s">
        <v>234</v>
      </c>
      <c r="D258" s="462" t="s">
        <v>880</v>
      </c>
      <c r="E258" s="462" t="s">
        <v>160</v>
      </c>
      <c r="F258" s="459">
        <f>'пр.6.1.ведом.22-23 (2)'!G200</f>
        <v>0</v>
      </c>
      <c r="G258" s="459">
        <f>'пр.6.1.ведом.22-23 (2)'!H200</f>
        <v>0</v>
      </c>
    </row>
    <row r="259" spans="1:7" ht="47.25" hidden="1" x14ac:dyDescent="0.25">
      <c r="A259" s="213" t="s">
        <v>1007</v>
      </c>
      <c r="B259" s="465" t="s">
        <v>150</v>
      </c>
      <c r="C259" s="465" t="s">
        <v>234</v>
      </c>
      <c r="D259" s="194" t="s">
        <v>879</v>
      </c>
      <c r="E259" s="474"/>
      <c r="F259" s="458">
        <f t="shared" ref="F259:G261" si="17">F260</f>
        <v>0</v>
      </c>
      <c r="G259" s="458">
        <f t="shared" si="17"/>
        <v>0</v>
      </c>
    </row>
    <row r="260" spans="1:7" ht="15.75" hidden="1" x14ac:dyDescent="0.25">
      <c r="A260" s="466" t="s">
        <v>878</v>
      </c>
      <c r="B260" s="462" t="s">
        <v>150</v>
      </c>
      <c r="C260" s="462" t="s">
        <v>234</v>
      </c>
      <c r="D260" s="5" t="s">
        <v>899</v>
      </c>
      <c r="E260" s="468"/>
      <c r="F260" s="459">
        <f t="shared" si="17"/>
        <v>0</v>
      </c>
      <c r="G260" s="459">
        <f t="shared" si="17"/>
        <v>0</v>
      </c>
    </row>
    <row r="261" spans="1:7" ht="15.75" hidden="1" x14ac:dyDescent="0.25">
      <c r="A261" s="29" t="s">
        <v>135</v>
      </c>
      <c r="B261" s="462" t="s">
        <v>150</v>
      </c>
      <c r="C261" s="462" t="s">
        <v>234</v>
      </c>
      <c r="D261" s="5" t="s">
        <v>899</v>
      </c>
      <c r="E261" s="468" t="s">
        <v>145</v>
      </c>
      <c r="F261" s="459">
        <f t="shared" si="17"/>
        <v>0</v>
      </c>
      <c r="G261" s="459">
        <f t="shared" si="17"/>
        <v>0</v>
      </c>
    </row>
    <row r="262" spans="1:7" ht="63" hidden="1" x14ac:dyDescent="0.25">
      <c r="A262" s="29" t="s">
        <v>184</v>
      </c>
      <c r="B262" s="462" t="s">
        <v>150</v>
      </c>
      <c r="C262" s="462" t="s">
        <v>234</v>
      </c>
      <c r="D262" s="5" t="s">
        <v>899</v>
      </c>
      <c r="E262" s="468" t="s">
        <v>160</v>
      </c>
      <c r="F262" s="459">
        <f>'пр.6.1.ведом.22-23 (2)'!G204</f>
        <v>0</v>
      </c>
      <c r="G262" s="459">
        <f>'пр.6.1.ведом.22-23 (2)'!H204</f>
        <v>0</v>
      </c>
    </row>
    <row r="263" spans="1:7" ht="15.75" x14ac:dyDescent="0.25">
      <c r="A263" s="464" t="s">
        <v>505</v>
      </c>
      <c r="B263" s="465" t="s">
        <v>150</v>
      </c>
      <c r="C263" s="465" t="s">
        <v>299</v>
      </c>
      <c r="D263" s="465"/>
      <c r="E263" s="465"/>
      <c r="F263" s="458">
        <f t="shared" ref="F263:G265" si="18">F264</f>
        <v>3258</v>
      </c>
      <c r="G263" s="458">
        <f t="shared" si="18"/>
        <v>3258</v>
      </c>
    </row>
    <row r="264" spans="1:7" ht="15.75" x14ac:dyDescent="0.25">
      <c r="A264" s="464" t="s">
        <v>141</v>
      </c>
      <c r="B264" s="465" t="s">
        <v>150</v>
      </c>
      <c r="C264" s="465" t="s">
        <v>299</v>
      </c>
      <c r="D264" s="465" t="s">
        <v>866</v>
      </c>
      <c r="E264" s="465"/>
      <c r="F264" s="458">
        <f t="shared" si="18"/>
        <v>3258</v>
      </c>
      <c r="G264" s="458">
        <f t="shared" si="18"/>
        <v>3258</v>
      </c>
    </row>
    <row r="265" spans="1:7" ht="31.5" x14ac:dyDescent="0.25">
      <c r="A265" s="464" t="s">
        <v>870</v>
      </c>
      <c r="B265" s="465" t="s">
        <v>150</v>
      </c>
      <c r="C265" s="465" t="s">
        <v>299</v>
      </c>
      <c r="D265" s="465" t="s">
        <v>865</v>
      </c>
      <c r="E265" s="465"/>
      <c r="F265" s="458">
        <f t="shared" si="18"/>
        <v>3258</v>
      </c>
      <c r="G265" s="458">
        <f t="shared" si="18"/>
        <v>3258</v>
      </c>
    </row>
    <row r="266" spans="1:7" ht="31.5" x14ac:dyDescent="0.25">
      <c r="A266" s="466" t="s">
        <v>506</v>
      </c>
      <c r="B266" s="462" t="s">
        <v>150</v>
      </c>
      <c r="C266" s="462" t="s">
        <v>299</v>
      </c>
      <c r="D266" s="462" t="s">
        <v>957</v>
      </c>
      <c r="E266" s="462"/>
      <c r="F266" s="459">
        <f>F267</f>
        <v>3258</v>
      </c>
      <c r="G266" s="459">
        <f>G267</f>
        <v>3258</v>
      </c>
    </row>
    <row r="267" spans="1:7" ht="31.5" x14ac:dyDescent="0.25">
      <c r="A267" s="466" t="s">
        <v>131</v>
      </c>
      <c r="B267" s="462" t="s">
        <v>150</v>
      </c>
      <c r="C267" s="462" t="s">
        <v>299</v>
      </c>
      <c r="D267" s="462" t="s">
        <v>957</v>
      </c>
      <c r="E267" s="462" t="s">
        <v>132</v>
      </c>
      <c r="F267" s="459">
        <f>F268</f>
        <v>3258</v>
      </c>
      <c r="G267" s="459">
        <f>G268</f>
        <v>3258</v>
      </c>
    </row>
    <row r="268" spans="1:7" ht="47.25" x14ac:dyDescent="0.25">
      <c r="A268" s="466" t="s">
        <v>133</v>
      </c>
      <c r="B268" s="462" t="s">
        <v>150</v>
      </c>
      <c r="C268" s="462" t="s">
        <v>299</v>
      </c>
      <c r="D268" s="462" t="s">
        <v>957</v>
      </c>
      <c r="E268" s="462" t="s">
        <v>134</v>
      </c>
      <c r="F268" s="459">
        <f>'пр.6.1.ведом.22-23 (2)'!G859</f>
        <v>3258</v>
      </c>
      <c r="G268" s="459">
        <f>'пр.6.1.ведом.22-23 (2)'!H859</f>
        <v>3258</v>
      </c>
    </row>
    <row r="269" spans="1:7" ht="15.75" x14ac:dyDescent="0.25">
      <c r="A269" s="464" t="s">
        <v>508</v>
      </c>
      <c r="B269" s="465" t="s">
        <v>150</v>
      </c>
      <c r="C269" s="465" t="s">
        <v>219</v>
      </c>
      <c r="D269" s="462"/>
      <c r="E269" s="465"/>
      <c r="F269" s="458">
        <f t="shared" ref="F269:G269" si="19">F270</f>
        <v>2319</v>
      </c>
      <c r="G269" s="458">
        <f t="shared" si="19"/>
        <v>2319</v>
      </c>
    </row>
    <row r="270" spans="1:7" ht="47.25" x14ac:dyDescent="0.25">
      <c r="A270" s="34" t="s">
        <v>1381</v>
      </c>
      <c r="B270" s="465" t="s">
        <v>150</v>
      </c>
      <c r="C270" s="465" t="s">
        <v>219</v>
      </c>
      <c r="D270" s="465" t="s">
        <v>510</v>
      </c>
      <c r="E270" s="465"/>
      <c r="F270" s="59">
        <f>F271+F275</f>
        <v>2319</v>
      </c>
      <c r="G270" s="59">
        <f>G271+G275</f>
        <v>2319</v>
      </c>
    </row>
    <row r="271" spans="1:7" ht="31.5" hidden="1" x14ac:dyDescent="0.25">
      <c r="A271" s="34" t="s">
        <v>999</v>
      </c>
      <c r="B271" s="465" t="s">
        <v>150</v>
      </c>
      <c r="C271" s="465" t="s">
        <v>219</v>
      </c>
      <c r="D271" s="7" t="s">
        <v>958</v>
      </c>
      <c r="E271" s="465"/>
      <c r="F271" s="59">
        <f t="shared" ref="F271:G273" si="20">F272</f>
        <v>0</v>
      </c>
      <c r="G271" s="59">
        <f t="shared" si="20"/>
        <v>0</v>
      </c>
    </row>
    <row r="272" spans="1:7" ht="15.75" hidden="1" x14ac:dyDescent="0.25">
      <c r="A272" s="29" t="s">
        <v>1001</v>
      </c>
      <c r="B272" s="462" t="s">
        <v>150</v>
      </c>
      <c r="C272" s="462" t="s">
        <v>219</v>
      </c>
      <c r="D272" s="469" t="s">
        <v>1000</v>
      </c>
      <c r="E272" s="462"/>
      <c r="F272" s="459">
        <f t="shared" si="20"/>
        <v>0</v>
      </c>
      <c r="G272" s="459">
        <f t="shared" si="20"/>
        <v>0</v>
      </c>
    </row>
    <row r="273" spans="1:7" ht="31.5" hidden="1" x14ac:dyDescent="0.25">
      <c r="A273" s="466" t="s">
        <v>131</v>
      </c>
      <c r="B273" s="462" t="s">
        <v>150</v>
      </c>
      <c r="C273" s="462" t="s">
        <v>219</v>
      </c>
      <c r="D273" s="469" t="s">
        <v>1000</v>
      </c>
      <c r="E273" s="462" t="s">
        <v>132</v>
      </c>
      <c r="F273" s="459">
        <f t="shared" si="20"/>
        <v>0</v>
      </c>
      <c r="G273" s="459">
        <f t="shared" si="20"/>
        <v>0</v>
      </c>
    </row>
    <row r="274" spans="1:7" ht="47.25" hidden="1" x14ac:dyDescent="0.25">
      <c r="A274" s="466" t="s">
        <v>133</v>
      </c>
      <c r="B274" s="462" t="s">
        <v>150</v>
      </c>
      <c r="C274" s="462" t="s">
        <v>219</v>
      </c>
      <c r="D274" s="469" t="s">
        <v>1000</v>
      </c>
      <c r="E274" s="462" t="s">
        <v>134</v>
      </c>
      <c r="F274" s="459">
        <f>'пр.6.1.ведом.22-23 (2)'!G865</f>
        <v>0</v>
      </c>
      <c r="G274" s="459">
        <f>'пр.6.1.ведом.22-23 (2)'!H865</f>
        <v>0</v>
      </c>
    </row>
    <row r="275" spans="1:7" ht="47.25" x14ac:dyDescent="0.25">
      <c r="A275" s="34" t="s">
        <v>1063</v>
      </c>
      <c r="B275" s="465" t="s">
        <v>150</v>
      </c>
      <c r="C275" s="465" t="s">
        <v>219</v>
      </c>
      <c r="D275" s="465" t="s">
        <v>959</v>
      </c>
      <c r="E275" s="465"/>
      <c r="F275" s="380">
        <f t="shared" ref="F275:G279" si="21">F276</f>
        <v>2319</v>
      </c>
      <c r="G275" s="380">
        <f t="shared" si="21"/>
        <v>2319</v>
      </c>
    </row>
    <row r="276" spans="1:7" ht="15.75" x14ac:dyDescent="0.25">
      <c r="A276" s="29" t="s">
        <v>511</v>
      </c>
      <c r="B276" s="462" t="s">
        <v>150</v>
      </c>
      <c r="C276" s="462" t="s">
        <v>219</v>
      </c>
      <c r="D276" s="469" t="s">
        <v>1002</v>
      </c>
      <c r="E276" s="462"/>
      <c r="F276" s="459">
        <f>F279+F277</f>
        <v>2319</v>
      </c>
      <c r="G276" s="459">
        <f>G279+G277</f>
        <v>2319</v>
      </c>
    </row>
    <row r="277" spans="1:7" ht="94.5" x14ac:dyDescent="0.25">
      <c r="A277" s="466" t="s">
        <v>127</v>
      </c>
      <c r="B277" s="462" t="s">
        <v>150</v>
      </c>
      <c r="C277" s="462" t="s">
        <v>219</v>
      </c>
      <c r="D277" s="469" t="s">
        <v>1002</v>
      </c>
      <c r="E277" s="462" t="s">
        <v>128</v>
      </c>
      <c r="F277" s="467">
        <f>F278</f>
        <v>1807</v>
      </c>
      <c r="G277" s="467">
        <f>G278</f>
        <v>1807</v>
      </c>
    </row>
    <row r="278" spans="1:7" ht="31.5" x14ac:dyDescent="0.25">
      <c r="A278" s="466" t="s">
        <v>342</v>
      </c>
      <c r="B278" s="462" t="s">
        <v>150</v>
      </c>
      <c r="C278" s="462" t="s">
        <v>219</v>
      </c>
      <c r="D278" s="469" t="s">
        <v>1002</v>
      </c>
      <c r="E278" s="462" t="s">
        <v>209</v>
      </c>
      <c r="F278" s="467">
        <f>'пр.6.1.ведом.22-23 (2)'!G869</f>
        <v>1807</v>
      </c>
      <c r="G278" s="467">
        <f>'пр.6.1.ведом.22-23 (2)'!H869</f>
        <v>1807</v>
      </c>
    </row>
    <row r="279" spans="1:7" ht="31.5" x14ac:dyDescent="0.25">
      <c r="A279" s="466" t="s">
        <v>131</v>
      </c>
      <c r="B279" s="462" t="s">
        <v>150</v>
      </c>
      <c r="C279" s="462" t="s">
        <v>219</v>
      </c>
      <c r="D279" s="469" t="s">
        <v>1002</v>
      </c>
      <c r="E279" s="462" t="s">
        <v>132</v>
      </c>
      <c r="F279" s="459">
        <f t="shared" si="21"/>
        <v>512</v>
      </c>
      <c r="G279" s="459">
        <f t="shared" si="21"/>
        <v>512</v>
      </c>
    </row>
    <row r="280" spans="1:7" ht="47.25" x14ac:dyDescent="0.25">
      <c r="A280" s="466" t="s">
        <v>133</v>
      </c>
      <c r="B280" s="462" t="s">
        <v>150</v>
      </c>
      <c r="C280" s="462" t="s">
        <v>219</v>
      </c>
      <c r="D280" s="469" t="s">
        <v>1002</v>
      </c>
      <c r="E280" s="462" t="s">
        <v>134</v>
      </c>
      <c r="F280" s="459">
        <f>'пр.6.1.ведом.22-23 (2)'!G871</f>
        <v>512</v>
      </c>
      <c r="G280" s="459">
        <f>'пр.6.1.ведом.22-23 (2)'!H871</f>
        <v>512</v>
      </c>
    </row>
    <row r="281" spans="1:7" ht="15.75" x14ac:dyDescent="0.25">
      <c r="A281" s="466" t="s">
        <v>135</v>
      </c>
      <c r="B281" s="462" t="s">
        <v>150</v>
      </c>
      <c r="C281" s="462" t="s">
        <v>219</v>
      </c>
      <c r="D281" s="469" t="s">
        <v>1002</v>
      </c>
      <c r="E281" s="462" t="s">
        <v>145</v>
      </c>
      <c r="F281" s="459">
        <f>'[1]Пр.4 Рд,пр, ЦС,ВР 21'!F269</f>
        <v>0</v>
      </c>
      <c r="G281" s="459">
        <f t="shared" si="14"/>
        <v>0</v>
      </c>
    </row>
    <row r="282" spans="1:7" ht="15.75" x14ac:dyDescent="0.25">
      <c r="A282" s="466" t="s">
        <v>568</v>
      </c>
      <c r="B282" s="462" t="s">
        <v>150</v>
      </c>
      <c r="C282" s="462" t="s">
        <v>219</v>
      </c>
      <c r="D282" s="469" t="s">
        <v>1002</v>
      </c>
      <c r="E282" s="462" t="s">
        <v>138</v>
      </c>
      <c r="F282" s="459">
        <f>'[1]Пр.4 Рд,пр, ЦС,ВР 21'!F270</f>
        <v>0</v>
      </c>
      <c r="G282" s="459">
        <f t="shared" si="14"/>
        <v>0</v>
      </c>
    </row>
    <row r="283" spans="1:7" ht="31.5" x14ac:dyDescent="0.25">
      <c r="A283" s="464" t="s">
        <v>237</v>
      </c>
      <c r="B283" s="465" t="s">
        <v>150</v>
      </c>
      <c r="C283" s="465" t="s">
        <v>238</v>
      </c>
      <c r="D283" s="465"/>
      <c r="E283" s="465"/>
      <c r="F283" s="59">
        <f>F284+F291+F309</f>
        <v>674.2</v>
      </c>
      <c r="G283" s="59">
        <f>G284+G291+G309</f>
        <v>684.8</v>
      </c>
    </row>
    <row r="284" spans="1:7" ht="31.5" x14ac:dyDescent="0.25">
      <c r="A284" s="464" t="s">
        <v>917</v>
      </c>
      <c r="B284" s="465" t="s">
        <v>150</v>
      </c>
      <c r="C284" s="465" t="s">
        <v>238</v>
      </c>
      <c r="D284" s="465" t="s">
        <v>858</v>
      </c>
      <c r="E284" s="465"/>
      <c r="F284" s="59">
        <f>F285</f>
        <v>264.2</v>
      </c>
      <c r="G284" s="59">
        <f>G285</f>
        <v>274.8</v>
      </c>
    </row>
    <row r="285" spans="1:7" ht="47.25" x14ac:dyDescent="0.25">
      <c r="A285" s="464" t="s">
        <v>885</v>
      </c>
      <c r="B285" s="465" t="s">
        <v>150</v>
      </c>
      <c r="C285" s="465" t="s">
        <v>238</v>
      </c>
      <c r="D285" s="465" t="s">
        <v>863</v>
      </c>
      <c r="E285" s="465"/>
      <c r="F285" s="59">
        <f>F286</f>
        <v>264.2</v>
      </c>
      <c r="G285" s="59">
        <f>G286</f>
        <v>274.8</v>
      </c>
    </row>
    <row r="286" spans="1:7" ht="63" x14ac:dyDescent="0.25">
      <c r="A286" s="31" t="s">
        <v>241</v>
      </c>
      <c r="B286" s="462" t="s">
        <v>150</v>
      </c>
      <c r="C286" s="462" t="s">
        <v>238</v>
      </c>
      <c r="D286" s="462" t="s">
        <v>924</v>
      </c>
      <c r="E286" s="462"/>
      <c r="F286" s="459">
        <f>F287+F289</f>
        <v>264.2</v>
      </c>
      <c r="G286" s="459">
        <f>G287+G289</f>
        <v>274.8</v>
      </c>
    </row>
    <row r="287" spans="1:7" ht="94.5" x14ac:dyDescent="0.25">
      <c r="A287" s="466" t="s">
        <v>127</v>
      </c>
      <c r="B287" s="462" t="s">
        <v>150</v>
      </c>
      <c r="C287" s="462" t="s">
        <v>238</v>
      </c>
      <c r="D287" s="462" t="s">
        <v>924</v>
      </c>
      <c r="E287" s="462" t="s">
        <v>128</v>
      </c>
      <c r="F287" s="459">
        <f>F288</f>
        <v>205.8</v>
      </c>
      <c r="G287" s="459">
        <f>G288</f>
        <v>205.8</v>
      </c>
    </row>
    <row r="288" spans="1:7" ht="31.5" x14ac:dyDescent="0.25">
      <c r="A288" s="466" t="s">
        <v>129</v>
      </c>
      <c r="B288" s="462" t="s">
        <v>150</v>
      </c>
      <c r="C288" s="462" t="s">
        <v>238</v>
      </c>
      <c r="D288" s="462" t="s">
        <v>924</v>
      </c>
      <c r="E288" s="462" t="s">
        <v>130</v>
      </c>
      <c r="F288" s="459">
        <f>'пр.6.1.ведом.22-23 (2)'!G210</f>
        <v>205.8</v>
      </c>
      <c r="G288" s="459">
        <f>'пр.6.1.ведом.22-23 (2)'!H210</f>
        <v>205.8</v>
      </c>
    </row>
    <row r="289" spans="1:7" ht="31.5" x14ac:dyDescent="0.25">
      <c r="A289" s="466" t="s">
        <v>131</v>
      </c>
      <c r="B289" s="462" t="s">
        <v>150</v>
      </c>
      <c r="C289" s="462" t="s">
        <v>238</v>
      </c>
      <c r="D289" s="462" t="s">
        <v>924</v>
      </c>
      <c r="E289" s="462" t="s">
        <v>132</v>
      </c>
      <c r="F289" s="459">
        <f>F290</f>
        <v>58.4</v>
      </c>
      <c r="G289" s="459">
        <f>G290</f>
        <v>69</v>
      </c>
    </row>
    <row r="290" spans="1:7" ht="47.25" x14ac:dyDescent="0.25">
      <c r="A290" s="466" t="s">
        <v>133</v>
      </c>
      <c r="B290" s="462" t="s">
        <v>150</v>
      </c>
      <c r="C290" s="462" t="s">
        <v>238</v>
      </c>
      <c r="D290" s="462" t="s">
        <v>924</v>
      </c>
      <c r="E290" s="462" t="s">
        <v>134</v>
      </c>
      <c r="F290" s="459">
        <f>'пр.6.1.ведом.22-23 (2)'!G212</f>
        <v>58.4</v>
      </c>
      <c r="G290" s="459">
        <f>'пр.6.1.ведом.22-23 (2)'!H212</f>
        <v>69</v>
      </c>
    </row>
    <row r="291" spans="1:7" ht="47.25" x14ac:dyDescent="0.25">
      <c r="A291" s="464" t="s">
        <v>1383</v>
      </c>
      <c r="B291" s="465" t="s">
        <v>150</v>
      </c>
      <c r="C291" s="465" t="s">
        <v>238</v>
      </c>
      <c r="D291" s="465" t="s">
        <v>344</v>
      </c>
      <c r="E291" s="474"/>
      <c r="F291" s="59">
        <f>F292</f>
        <v>260</v>
      </c>
      <c r="G291" s="59">
        <f>G292</f>
        <v>260</v>
      </c>
    </row>
    <row r="292" spans="1:7" ht="63" x14ac:dyDescent="0.25">
      <c r="A292" s="464" t="s">
        <v>367</v>
      </c>
      <c r="B292" s="465" t="s">
        <v>150</v>
      </c>
      <c r="C292" s="465" t="s">
        <v>238</v>
      </c>
      <c r="D292" s="465" t="s">
        <v>356</v>
      </c>
      <c r="E292" s="465"/>
      <c r="F292" s="59">
        <f>F293+F297+F301+F305</f>
        <v>260</v>
      </c>
      <c r="G292" s="59">
        <f>G293+G297+G301+G305</f>
        <v>260</v>
      </c>
    </row>
    <row r="293" spans="1:7" ht="47.25" hidden="1" x14ac:dyDescent="0.25">
      <c r="A293" s="214" t="s">
        <v>1045</v>
      </c>
      <c r="B293" s="465" t="s">
        <v>150</v>
      </c>
      <c r="C293" s="465" t="s">
        <v>238</v>
      </c>
      <c r="D293" s="465" t="s">
        <v>907</v>
      </c>
      <c r="E293" s="465"/>
      <c r="F293" s="59">
        <f>F294</f>
        <v>0</v>
      </c>
      <c r="G293" s="59">
        <f>G294</f>
        <v>0</v>
      </c>
    </row>
    <row r="294" spans="1:7" ht="63" hidden="1" x14ac:dyDescent="0.25">
      <c r="A294" s="466" t="s">
        <v>375</v>
      </c>
      <c r="B294" s="462" t="s">
        <v>150</v>
      </c>
      <c r="C294" s="462" t="s">
        <v>238</v>
      </c>
      <c r="D294" s="462" t="s">
        <v>1323</v>
      </c>
      <c r="E294" s="462"/>
      <c r="F294" s="459">
        <f>'[1]Пр.4 Рд,пр, ЦС,ВР 21'!F282</f>
        <v>0</v>
      </c>
      <c r="G294" s="459">
        <f t="shared" ref="G294:G341" si="22">F294</f>
        <v>0</v>
      </c>
    </row>
    <row r="295" spans="1:7" ht="31.5" hidden="1" x14ac:dyDescent="0.25">
      <c r="A295" s="466" t="s">
        <v>248</v>
      </c>
      <c r="B295" s="462" t="s">
        <v>150</v>
      </c>
      <c r="C295" s="462" t="s">
        <v>238</v>
      </c>
      <c r="D295" s="462" t="s">
        <v>1323</v>
      </c>
      <c r="E295" s="462" t="s">
        <v>249</v>
      </c>
      <c r="F295" s="459">
        <f>'[1]Пр.4 Рд,пр, ЦС,ВР 21'!F283</f>
        <v>0</v>
      </c>
      <c r="G295" s="459">
        <f t="shared" si="22"/>
        <v>0</v>
      </c>
    </row>
    <row r="296" spans="1:7" ht="31.5" hidden="1" x14ac:dyDescent="0.25">
      <c r="A296" s="466" t="s">
        <v>250</v>
      </c>
      <c r="B296" s="462" t="s">
        <v>150</v>
      </c>
      <c r="C296" s="462" t="s">
        <v>238</v>
      </c>
      <c r="D296" s="462" t="s">
        <v>1323</v>
      </c>
      <c r="E296" s="462" t="s">
        <v>251</v>
      </c>
      <c r="F296" s="459">
        <f>'[1]Пр.4 Рд,пр, ЦС,ВР 21'!F284</f>
        <v>0</v>
      </c>
      <c r="G296" s="459">
        <f t="shared" si="22"/>
        <v>0</v>
      </c>
    </row>
    <row r="297" spans="1:7" ht="47.25" x14ac:dyDescent="0.25">
      <c r="A297" s="464" t="s">
        <v>1043</v>
      </c>
      <c r="B297" s="465" t="s">
        <v>150</v>
      </c>
      <c r="C297" s="465" t="s">
        <v>238</v>
      </c>
      <c r="D297" s="465" t="s">
        <v>1204</v>
      </c>
      <c r="E297" s="465"/>
      <c r="F297" s="59">
        <f t="shared" ref="F297:G299" si="23">F298</f>
        <v>260</v>
      </c>
      <c r="G297" s="59">
        <f t="shared" si="23"/>
        <v>260</v>
      </c>
    </row>
    <row r="298" spans="1:7" ht="126" x14ac:dyDescent="0.25">
      <c r="A298" s="466" t="s">
        <v>1517</v>
      </c>
      <c r="B298" s="462" t="s">
        <v>150</v>
      </c>
      <c r="C298" s="462" t="s">
        <v>238</v>
      </c>
      <c r="D298" s="462" t="s">
        <v>1205</v>
      </c>
      <c r="E298" s="462"/>
      <c r="F298" s="459">
        <f t="shared" si="23"/>
        <v>260</v>
      </c>
      <c r="G298" s="459">
        <f t="shared" si="23"/>
        <v>260</v>
      </c>
    </row>
    <row r="299" spans="1:7" ht="15.75" x14ac:dyDescent="0.25">
      <c r="A299" s="466" t="s">
        <v>135</v>
      </c>
      <c r="B299" s="462" t="s">
        <v>150</v>
      </c>
      <c r="C299" s="462" t="s">
        <v>238</v>
      </c>
      <c r="D299" s="462" t="s">
        <v>1205</v>
      </c>
      <c r="E299" s="462" t="s">
        <v>145</v>
      </c>
      <c r="F299" s="459">
        <f t="shared" si="23"/>
        <v>260</v>
      </c>
      <c r="G299" s="459">
        <f t="shared" si="23"/>
        <v>260</v>
      </c>
    </row>
    <row r="300" spans="1:7" ht="63" x14ac:dyDescent="0.25">
      <c r="A300" s="466" t="s">
        <v>184</v>
      </c>
      <c r="B300" s="462" t="s">
        <v>150</v>
      </c>
      <c r="C300" s="462" t="s">
        <v>238</v>
      </c>
      <c r="D300" s="462" t="s">
        <v>1205</v>
      </c>
      <c r="E300" s="462" t="s">
        <v>160</v>
      </c>
      <c r="F300" s="459">
        <f>'пр.6.1.ведом.22-23 (2)'!G284</f>
        <v>260</v>
      </c>
      <c r="G300" s="459">
        <f>'пр.6.1.ведом.22-23 (2)'!H284</f>
        <v>260</v>
      </c>
    </row>
    <row r="301" spans="1:7" ht="31.5" hidden="1" x14ac:dyDescent="0.25">
      <c r="A301" s="464" t="s">
        <v>995</v>
      </c>
      <c r="B301" s="465" t="s">
        <v>150</v>
      </c>
      <c r="C301" s="465" t="s">
        <v>238</v>
      </c>
      <c r="D301" s="465" t="s">
        <v>1315</v>
      </c>
      <c r="E301" s="465"/>
      <c r="F301" s="59">
        <f>F302</f>
        <v>0</v>
      </c>
      <c r="G301" s="59">
        <f>G302</f>
        <v>0</v>
      </c>
    </row>
    <row r="302" spans="1:7" ht="47.25" hidden="1" x14ac:dyDescent="0.25">
      <c r="A302" s="249" t="s">
        <v>1046</v>
      </c>
      <c r="B302" s="462" t="s">
        <v>150</v>
      </c>
      <c r="C302" s="462" t="s">
        <v>238</v>
      </c>
      <c r="D302" s="462" t="s">
        <v>1316</v>
      </c>
      <c r="E302" s="462"/>
      <c r="F302" s="459">
        <f>'[1]Пр.4 Рд,пр, ЦС,ВР 21'!F290</f>
        <v>0</v>
      </c>
      <c r="G302" s="459">
        <f t="shared" si="22"/>
        <v>0</v>
      </c>
    </row>
    <row r="303" spans="1:7" ht="31.5" hidden="1" x14ac:dyDescent="0.25">
      <c r="A303" s="466" t="s">
        <v>131</v>
      </c>
      <c r="B303" s="462" t="s">
        <v>150</v>
      </c>
      <c r="C303" s="462" t="s">
        <v>238</v>
      </c>
      <c r="D303" s="462" t="s">
        <v>1316</v>
      </c>
      <c r="E303" s="462" t="s">
        <v>132</v>
      </c>
      <c r="F303" s="459">
        <f>'[1]Пр.4 Рд,пр, ЦС,ВР 21'!F291</f>
        <v>0</v>
      </c>
      <c r="G303" s="459">
        <f t="shared" si="22"/>
        <v>0</v>
      </c>
    </row>
    <row r="304" spans="1:7" ht="47.25" hidden="1" x14ac:dyDescent="0.25">
      <c r="A304" s="466" t="s">
        <v>133</v>
      </c>
      <c r="B304" s="462" t="s">
        <v>150</v>
      </c>
      <c r="C304" s="462" t="s">
        <v>238</v>
      </c>
      <c r="D304" s="462" t="s">
        <v>1316</v>
      </c>
      <c r="E304" s="462" t="s">
        <v>134</v>
      </c>
      <c r="F304" s="459">
        <f>'[1]Пр.4 Рд,пр, ЦС,ВР 21'!F292</f>
        <v>0</v>
      </c>
      <c r="G304" s="459">
        <f t="shared" si="22"/>
        <v>0</v>
      </c>
    </row>
    <row r="305" spans="1:9" ht="47.25" hidden="1" x14ac:dyDescent="0.25">
      <c r="A305" s="473" t="s">
        <v>1106</v>
      </c>
      <c r="B305" s="465" t="s">
        <v>150</v>
      </c>
      <c r="C305" s="465" t="s">
        <v>238</v>
      </c>
      <c r="D305" s="465" t="s">
        <v>1206</v>
      </c>
      <c r="E305" s="465"/>
      <c r="F305" s="463">
        <f t="shared" ref="F305:G307" si="24">F306</f>
        <v>0</v>
      </c>
      <c r="G305" s="463">
        <f t="shared" si="24"/>
        <v>0</v>
      </c>
    </row>
    <row r="306" spans="1:9" ht="31.5" hidden="1" x14ac:dyDescent="0.25">
      <c r="A306" s="230" t="s">
        <v>1107</v>
      </c>
      <c r="B306" s="462" t="s">
        <v>150</v>
      </c>
      <c r="C306" s="462" t="s">
        <v>238</v>
      </c>
      <c r="D306" s="462" t="s">
        <v>1207</v>
      </c>
      <c r="E306" s="462"/>
      <c r="F306" s="467">
        <f t="shared" si="24"/>
        <v>0</v>
      </c>
      <c r="G306" s="459">
        <f t="shared" si="24"/>
        <v>0</v>
      </c>
    </row>
    <row r="307" spans="1:9" ht="31.5" hidden="1" x14ac:dyDescent="0.25">
      <c r="A307" s="466" t="s">
        <v>131</v>
      </c>
      <c r="B307" s="462" t="s">
        <v>150</v>
      </c>
      <c r="C307" s="462" t="s">
        <v>238</v>
      </c>
      <c r="D307" s="462" t="s">
        <v>1207</v>
      </c>
      <c r="E307" s="462" t="s">
        <v>132</v>
      </c>
      <c r="F307" s="467">
        <f t="shared" si="24"/>
        <v>0</v>
      </c>
      <c r="G307" s="459">
        <f t="shared" si="24"/>
        <v>0</v>
      </c>
    </row>
    <row r="308" spans="1:9" ht="47.25" hidden="1" x14ac:dyDescent="0.25">
      <c r="A308" s="466" t="s">
        <v>133</v>
      </c>
      <c r="B308" s="462" t="s">
        <v>150</v>
      </c>
      <c r="C308" s="462" t="s">
        <v>238</v>
      </c>
      <c r="D308" s="462" t="s">
        <v>1207</v>
      </c>
      <c r="E308" s="462" t="s">
        <v>134</v>
      </c>
      <c r="F308" s="467">
        <f>'пр.6.1.ведом.22-23 (2)'!G292</f>
        <v>0</v>
      </c>
      <c r="G308" s="459">
        <f>'пр.6.1.ведом.22-23 (2)'!H292</f>
        <v>0</v>
      </c>
    </row>
    <row r="309" spans="1:9" ht="47.25" x14ac:dyDescent="0.25">
      <c r="A309" s="464" t="s">
        <v>1345</v>
      </c>
      <c r="B309" s="465" t="s">
        <v>150</v>
      </c>
      <c r="C309" s="465" t="s">
        <v>238</v>
      </c>
      <c r="D309" s="465" t="s">
        <v>156</v>
      </c>
      <c r="E309" s="465"/>
      <c r="F309" s="59">
        <f t="shared" ref="F309:G312" si="25">F310</f>
        <v>150</v>
      </c>
      <c r="G309" s="59">
        <f t="shared" si="25"/>
        <v>150</v>
      </c>
    </row>
    <row r="310" spans="1:9" ht="47.25" x14ac:dyDescent="0.25">
      <c r="A310" s="464" t="s">
        <v>1067</v>
      </c>
      <c r="B310" s="465" t="s">
        <v>150</v>
      </c>
      <c r="C310" s="465" t="s">
        <v>238</v>
      </c>
      <c r="D310" s="465" t="s">
        <v>1064</v>
      </c>
      <c r="E310" s="465"/>
      <c r="F310" s="59">
        <f t="shared" si="25"/>
        <v>150</v>
      </c>
      <c r="G310" s="59">
        <f t="shared" si="25"/>
        <v>150</v>
      </c>
    </row>
    <row r="311" spans="1:9" ht="31.5" x14ac:dyDescent="0.25">
      <c r="A311" s="466" t="s">
        <v>1068</v>
      </c>
      <c r="B311" s="462" t="s">
        <v>150</v>
      </c>
      <c r="C311" s="462" t="s">
        <v>238</v>
      </c>
      <c r="D311" s="462" t="s">
        <v>1065</v>
      </c>
      <c r="E311" s="462"/>
      <c r="F311" s="459">
        <f t="shared" si="25"/>
        <v>150</v>
      </c>
      <c r="G311" s="459">
        <f t="shared" si="25"/>
        <v>150</v>
      </c>
    </row>
    <row r="312" spans="1:9" ht="15.75" x14ac:dyDescent="0.25">
      <c r="A312" s="466" t="s">
        <v>135</v>
      </c>
      <c r="B312" s="462" t="s">
        <v>150</v>
      </c>
      <c r="C312" s="462" t="s">
        <v>238</v>
      </c>
      <c r="D312" s="462" t="s">
        <v>1065</v>
      </c>
      <c r="E312" s="462" t="s">
        <v>145</v>
      </c>
      <c r="F312" s="459">
        <f t="shared" si="25"/>
        <v>150</v>
      </c>
      <c r="G312" s="459">
        <f t="shared" si="25"/>
        <v>150</v>
      </c>
    </row>
    <row r="313" spans="1:9" ht="63" x14ac:dyDescent="0.25">
      <c r="A313" s="466" t="s">
        <v>184</v>
      </c>
      <c r="B313" s="462" t="s">
        <v>150</v>
      </c>
      <c r="C313" s="462" t="s">
        <v>238</v>
      </c>
      <c r="D313" s="462" t="s">
        <v>1065</v>
      </c>
      <c r="E313" s="462" t="s">
        <v>160</v>
      </c>
      <c r="F313" s="459">
        <f>'пр.6.1.ведом.22-23 (2)'!G217</f>
        <v>150</v>
      </c>
      <c r="G313" s="459">
        <f>'пр.6.1.ведом.22-23 (2)'!H217</f>
        <v>150</v>
      </c>
    </row>
    <row r="314" spans="1:9" ht="15.75" x14ac:dyDescent="0.25">
      <c r="A314" s="464" t="s">
        <v>390</v>
      </c>
      <c r="B314" s="465" t="s">
        <v>234</v>
      </c>
      <c r="C314" s="465"/>
      <c r="D314" s="465"/>
      <c r="E314" s="465"/>
      <c r="F314" s="458">
        <f>F315++F329+F393+F443</f>
        <v>41786.1</v>
      </c>
      <c r="G314" s="458">
        <f>G315++G329+G393+G443</f>
        <v>49898.45</v>
      </c>
    </row>
    <row r="315" spans="1:9" ht="15.75" x14ac:dyDescent="0.25">
      <c r="A315" s="464" t="s">
        <v>391</v>
      </c>
      <c r="B315" s="465" t="s">
        <v>234</v>
      </c>
      <c r="C315" s="465" t="s">
        <v>118</v>
      </c>
      <c r="D315" s="465"/>
      <c r="E315" s="465"/>
      <c r="F315" s="458">
        <f t="shared" ref="F315:G316" si="26">F316</f>
        <v>6060.4</v>
      </c>
      <c r="G315" s="458">
        <f t="shared" si="26"/>
        <v>6060.4</v>
      </c>
      <c r="I315" s="22"/>
    </row>
    <row r="316" spans="1:9" ht="15.75" x14ac:dyDescent="0.25">
      <c r="A316" s="464" t="s">
        <v>141</v>
      </c>
      <c r="B316" s="465" t="s">
        <v>234</v>
      </c>
      <c r="C316" s="465" t="s">
        <v>118</v>
      </c>
      <c r="D316" s="465" t="s">
        <v>866</v>
      </c>
      <c r="E316" s="465"/>
      <c r="F316" s="458">
        <f t="shared" si="26"/>
        <v>6060.4</v>
      </c>
      <c r="G316" s="458">
        <f t="shared" si="26"/>
        <v>6060.4</v>
      </c>
    </row>
    <row r="317" spans="1:9" ht="31.5" x14ac:dyDescent="0.25">
      <c r="A317" s="464" t="s">
        <v>870</v>
      </c>
      <c r="B317" s="465" t="s">
        <v>234</v>
      </c>
      <c r="C317" s="465" t="s">
        <v>118</v>
      </c>
      <c r="D317" s="465" t="s">
        <v>865</v>
      </c>
      <c r="E317" s="465"/>
      <c r="F317" s="458">
        <f>F318+F323+F326</f>
        <v>6060.4</v>
      </c>
      <c r="G317" s="458">
        <f>G318+G323+G326</f>
        <v>6060.4</v>
      </c>
    </row>
    <row r="318" spans="1:9" ht="15.75" hidden="1" x14ac:dyDescent="0.25">
      <c r="A318" s="466" t="s">
        <v>515</v>
      </c>
      <c r="B318" s="462" t="s">
        <v>774</v>
      </c>
      <c r="C318" s="462" t="s">
        <v>118</v>
      </c>
      <c r="D318" s="462" t="s">
        <v>960</v>
      </c>
      <c r="E318" s="465"/>
      <c r="F318" s="459">
        <f>'[1]Пр.4 Рд,пр, ЦС,ВР 21'!F306</f>
        <v>0</v>
      </c>
      <c r="G318" s="459">
        <f t="shared" si="22"/>
        <v>0</v>
      </c>
    </row>
    <row r="319" spans="1:9" ht="31.5" hidden="1" x14ac:dyDescent="0.25">
      <c r="A319" s="466" t="s">
        <v>131</v>
      </c>
      <c r="B319" s="462" t="s">
        <v>234</v>
      </c>
      <c r="C319" s="462" t="s">
        <v>118</v>
      </c>
      <c r="D319" s="462" t="s">
        <v>960</v>
      </c>
      <c r="E319" s="462" t="s">
        <v>132</v>
      </c>
      <c r="F319" s="459">
        <f>'[1]Пр.4 Рд,пр, ЦС,ВР 21'!F307</f>
        <v>0</v>
      </c>
      <c r="G319" s="459">
        <f t="shared" si="22"/>
        <v>0</v>
      </c>
    </row>
    <row r="320" spans="1:9" ht="47.25" hidden="1" x14ac:dyDescent="0.25">
      <c r="A320" s="466" t="s">
        <v>133</v>
      </c>
      <c r="B320" s="462" t="s">
        <v>234</v>
      </c>
      <c r="C320" s="462" t="s">
        <v>118</v>
      </c>
      <c r="D320" s="462" t="s">
        <v>960</v>
      </c>
      <c r="E320" s="462" t="s">
        <v>134</v>
      </c>
      <c r="F320" s="459">
        <f>'[1]Пр.4 Рд,пр, ЦС,ВР 21'!F308</f>
        <v>0</v>
      </c>
      <c r="G320" s="459">
        <f t="shared" si="22"/>
        <v>0</v>
      </c>
    </row>
    <row r="321" spans="1:7" ht="15.75" hidden="1" x14ac:dyDescent="0.25">
      <c r="A321" s="466" t="s">
        <v>135</v>
      </c>
      <c r="B321" s="462" t="s">
        <v>234</v>
      </c>
      <c r="C321" s="462" t="s">
        <v>118</v>
      </c>
      <c r="D321" s="462" t="s">
        <v>960</v>
      </c>
      <c r="E321" s="462" t="s">
        <v>145</v>
      </c>
      <c r="F321" s="459">
        <f>'[1]Пр.4 Рд,пр, ЦС,ВР 21'!F309</f>
        <v>0</v>
      </c>
      <c r="G321" s="459">
        <f t="shared" si="22"/>
        <v>0</v>
      </c>
    </row>
    <row r="322" spans="1:7" ht="63" hidden="1" x14ac:dyDescent="0.25">
      <c r="A322" s="466" t="s">
        <v>184</v>
      </c>
      <c r="B322" s="462" t="s">
        <v>234</v>
      </c>
      <c r="C322" s="462" t="s">
        <v>118</v>
      </c>
      <c r="D322" s="462" t="s">
        <v>960</v>
      </c>
      <c r="E322" s="462" t="s">
        <v>160</v>
      </c>
      <c r="F322" s="459">
        <f>'[1]Пр.4 Рд,пр, ЦС,ВР 21'!F310</f>
        <v>0</v>
      </c>
      <c r="G322" s="459">
        <f t="shared" si="22"/>
        <v>0</v>
      </c>
    </row>
    <row r="323" spans="1:7" ht="31.5" x14ac:dyDescent="0.25">
      <c r="A323" s="29" t="s">
        <v>398</v>
      </c>
      <c r="B323" s="462" t="s">
        <v>234</v>
      </c>
      <c r="C323" s="462" t="s">
        <v>118</v>
      </c>
      <c r="D323" s="462" t="s">
        <v>961</v>
      </c>
      <c r="E323" s="465"/>
      <c r="F323" s="459">
        <f>F324</f>
        <v>4920.3999999999996</v>
      </c>
      <c r="G323" s="459">
        <f>G324</f>
        <v>4920.3999999999996</v>
      </c>
    </row>
    <row r="324" spans="1:7" ht="31.5" x14ac:dyDescent="0.25">
      <c r="A324" s="466" t="s">
        <v>131</v>
      </c>
      <c r="B324" s="462" t="s">
        <v>234</v>
      </c>
      <c r="C324" s="462" t="s">
        <v>118</v>
      </c>
      <c r="D324" s="462" t="s">
        <v>961</v>
      </c>
      <c r="E324" s="462" t="s">
        <v>132</v>
      </c>
      <c r="F324" s="459">
        <f>F325</f>
        <v>4920.3999999999996</v>
      </c>
      <c r="G324" s="459">
        <f>G325</f>
        <v>4920.3999999999996</v>
      </c>
    </row>
    <row r="325" spans="1:7" ht="47.25" x14ac:dyDescent="0.25">
      <c r="A325" s="466" t="s">
        <v>133</v>
      </c>
      <c r="B325" s="462" t="s">
        <v>234</v>
      </c>
      <c r="C325" s="462" t="s">
        <v>118</v>
      </c>
      <c r="D325" s="462" t="s">
        <v>961</v>
      </c>
      <c r="E325" s="462" t="s">
        <v>134</v>
      </c>
      <c r="F325" s="459">
        <f>'пр.6.1.ведом.22-23 (2)'!G885+'пр.6.1.ведом.22-23 (2)'!G527</f>
        <v>4920.3999999999996</v>
      </c>
      <c r="G325" s="459">
        <f>'пр.6.1.ведом.22-23 (2)'!H885+'пр.6.1.ведом.22-23 (2)'!H527</f>
        <v>4920.3999999999996</v>
      </c>
    </row>
    <row r="326" spans="1:7" ht="47.25" x14ac:dyDescent="0.25">
      <c r="A326" s="29" t="s">
        <v>932</v>
      </c>
      <c r="B326" s="462" t="s">
        <v>234</v>
      </c>
      <c r="C326" s="462" t="s">
        <v>118</v>
      </c>
      <c r="D326" s="462" t="s">
        <v>962</v>
      </c>
      <c r="E326" s="465"/>
      <c r="F326" s="459">
        <f>F327</f>
        <v>1140</v>
      </c>
      <c r="G326" s="459">
        <f>G327</f>
        <v>1140</v>
      </c>
    </row>
    <row r="327" spans="1:7" ht="31.5" x14ac:dyDescent="0.25">
      <c r="A327" s="466" t="s">
        <v>131</v>
      </c>
      <c r="B327" s="462" t="s">
        <v>234</v>
      </c>
      <c r="C327" s="462" t="s">
        <v>118</v>
      </c>
      <c r="D327" s="462" t="s">
        <v>962</v>
      </c>
      <c r="E327" s="462" t="s">
        <v>132</v>
      </c>
      <c r="F327" s="459">
        <f>F328</f>
        <v>1140</v>
      </c>
      <c r="G327" s="459">
        <f>G328</f>
        <v>1140</v>
      </c>
    </row>
    <row r="328" spans="1:7" ht="47.25" x14ac:dyDescent="0.25">
      <c r="A328" s="466" t="s">
        <v>133</v>
      </c>
      <c r="B328" s="462" t="s">
        <v>234</v>
      </c>
      <c r="C328" s="462" t="s">
        <v>118</v>
      </c>
      <c r="D328" s="462" t="s">
        <v>962</v>
      </c>
      <c r="E328" s="462" t="s">
        <v>134</v>
      </c>
      <c r="F328" s="459">
        <f>'пр.6.1.ведом.22-23 (2)'!G530+'пр.6.1.ведом.22-23 (2)'!G888</f>
        <v>1140</v>
      </c>
      <c r="G328" s="459">
        <f>'пр.6.1.ведом.22-23 (2)'!H530+'пр.6.1.ведом.22-23 (2)'!H888</f>
        <v>1140</v>
      </c>
    </row>
    <row r="329" spans="1:7" ht="15.75" x14ac:dyDescent="0.25">
      <c r="A329" s="464" t="s">
        <v>517</v>
      </c>
      <c r="B329" s="465" t="s">
        <v>234</v>
      </c>
      <c r="C329" s="465" t="s">
        <v>213</v>
      </c>
      <c r="D329" s="465"/>
      <c r="E329" s="465"/>
      <c r="F329" s="458">
        <f>F359+F330+F388</f>
        <v>6611.199999999998</v>
      </c>
      <c r="G329" s="458">
        <f>G359+G330+G388</f>
        <v>14470.550000000001</v>
      </c>
    </row>
    <row r="330" spans="1:7" ht="15.75" x14ac:dyDescent="0.25">
      <c r="A330" s="464" t="s">
        <v>141</v>
      </c>
      <c r="B330" s="465" t="s">
        <v>234</v>
      </c>
      <c r="C330" s="465" t="s">
        <v>213</v>
      </c>
      <c r="D330" s="465" t="s">
        <v>866</v>
      </c>
      <c r="E330" s="465"/>
      <c r="F330" s="458">
        <f>F331+F342</f>
        <v>5707.199999999998</v>
      </c>
      <c r="G330" s="458">
        <f>G331+G342</f>
        <v>13555.550000000001</v>
      </c>
    </row>
    <row r="331" spans="1:7" ht="31.5" x14ac:dyDescent="0.25">
      <c r="A331" s="464" t="s">
        <v>870</v>
      </c>
      <c r="B331" s="465" t="s">
        <v>234</v>
      </c>
      <c r="C331" s="465" t="s">
        <v>213</v>
      </c>
      <c r="D331" s="465" t="s">
        <v>865</v>
      </c>
      <c r="E331" s="465"/>
      <c r="F331" s="458">
        <f>F332+F337</f>
        <v>5707.199999999998</v>
      </c>
      <c r="G331" s="458">
        <f>G332+G337</f>
        <v>13555.550000000001</v>
      </c>
    </row>
    <row r="332" spans="1:7" ht="31.5" hidden="1" x14ac:dyDescent="0.25">
      <c r="A332" s="35" t="s">
        <v>537</v>
      </c>
      <c r="B332" s="462" t="s">
        <v>234</v>
      </c>
      <c r="C332" s="462" t="s">
        <v>213</v>
      </c>
      <c r="D332" s="462" t="s">
        <v>979</v>
      </c>
      <c r="E332" s="462"/>
      <c r="F332" s="459">
        <f>F333+F335</f>
        <v>0</v>
      </c>
      <c r="G332" s="459">
        <f t="shared" si="22"/>
        <v>0</v>
      </c>
    </row>
    <row r="333" spans="1:7" ht="31.5" hidden="1" x14ac:dyDescent="0.25">
      <c r="A333" s="466" t="s">
        <v>131</v>
      </c>
      <c r="B333" s="462" t="s">
        <v>234</v>
      </c>
      <c r="C333" s="462" t="s">
        <v>213</v>
      </c>
      <c r="D333" s="462" t="s">
        <v>979</v>
      </c>
      <c r="E333" s="462" t="s">
        <v>132</v>
      </c>
      <c r="F333" s="459">
        <f>F334</f>
        <v>0</v>
      </c>
      <c r="G333" s="459">
        <f t="shared" si="22"/>
        <v>0</v>
      </c>
    </row>
    <row r="334" spans="1:7" ht="47.25" hidden="1" x14ac:dyDescent="0.25">
      <c r="A334" s="466" t="s">
        <v>133</v>
      </c>
      <c r="B334" s="462" t="s">
        <v>234</v>
      </c>
      <c r="C334" s="462" t="s">
        <v>213</v>
      </c>
      <c r="D334" s="462" t="s">
        <v>979</v>
      </c>
      <c r="E334" s="462" t="s">
        <v>134</v>
      </c>
      <c r="F334" s="459">
        <f>'пр.6.1.ведом.22-23 (2)'!G894</f>
        <v>0</v>
      </c>
      <c r="G334" s="459">
        <f t="shared" si="22"/>
        <v>0</v>
      </c>
    </row>
    <row r="335" spans="1:7" ht="15.75" hidden="1" x14ac:dyDescent="0.25">
      <c r="A335" s="466" t="s">
        <v>135</v>
      </c>
      <c r="B335" s="462" t="s">
        <v>234</v>
      </c>
      <c r="C335" s="462" t="s">
        <v>213</v>
      </c>
      <c r="D335" s="462" t="s">
        <v>979</v>
      </c>
      <c r="E335" s="462" t="s">
        <v>145</v>
      </c>
      <c r="F335" s="459">
        <f>F336</f>
        <v>0</v>
      </c>
      <c r="G335" s="459">
        <f t="shared" si="22"/>
        <v>0</v>
      </c>
    </row>
    <row r="336" spans="1:7" ht="63" hidden="1" x14ac:dyDescent="0.25">
      <c r="A336" s="466" t="s">
        <v>184</v>
      </c>
      <c r="B336" s="462" t="s">
        <v>234</v>
      </c>
      <c r="C336" s="462" t="s">
        <v>213</v>
      </c>
      <c r="D336" s="462" t="s">
        <v>979</v>
      </c>
      <c r="E336" s="462" t="s">
        <v>160</v>
      </c>
      <c r="F336" s="459">
        <f>'пр.6.1.ведом.22-23 (2)'!G896</f>
        <v>0</v>
      </c>
      <c r="G336" s="459">
        <f t="shared" si="22"/>
        <v>0</v>
      </c>
    </row>
    <row r="337" spans="1:7" ht="47.25" x14ac:dyDescent="0.25">
      <c r="A337" s="29" t="s">
        <v>932</v>
      </c>
      <c r="B337" s="462" t="s">
        <v>234</v>
      </c>
      <c r="C337" s="462" t="s">
        <v>213</v>
      </c>
      <c r="D337" s="462" t="s">
        <v>962</v>
      </c>
      <c r="E337" s="462"/>
      <c r="F337" s="459">
        <f>F338</f>
        <v>5707.199999999998</v>
      </c>
      <c r="G337" s="459">
        <f>G338</f>
        <v>13555.550000000001</v>
      </c>
    </row>
    <row r="338" spans="1:7" ht="31.5" x14ac:dyDescent="0.25">
      <c r="A338" s="466" t="s">
        <v>131</v>
      </c>
      <c r="B338" s="462" t="s">
        <v>234</v>
      </c>
      <c r="C338" s="462" t="s">
        <v>213</v>
      </c>
      <c r="D338" s="462" t="s">
        <v>962</v>
      </c>
      <c r="E338" s="462" t="s">
        <v>132</v>
      </c>
      <c r="F338" s="459">
        <f>F339</f>
        <v>5707.199999999998</v>
      </c>
      <c r="G338" s="459">
        <f>G339</f>
        <v>13555.550000000001</v>
      </c>
    </row>
    <row r="339" spans="1:7" ht="47.25" x14ac:dyDescent="0.25">
      <c r="A339" s="466" t="s">
        <v>133</v>
      </c>
      <c r="B339" s="462" t="s">
        <v>234</v>
      </c>
      <c r="C339" s="462" t="s">
        <v>213</v>
      </c>
      <c r="D339" s="462" t="s">
        <v>962</v>
      </c>
      <c r="E339" s="462" t="s">
        <v>134</v>
      </c>
      <c r="F339" s="459">
        <f>'пр.6.1.ведом.22-23 (2)'!G899</f>
        <v>5707.199999999998</v>
      </c>
      <c r="G339" s="459">
        <f>'пр.6.1.ведом.22-23 (2)'!H899</f>
        <v>13555.550000000001</v>
      </c>
    </row>
    <row r="340" spans="1:7" ht="15.75" hidden="1" x14ac:dyDescent="0.25">
      <c r="A340" s="466" t="s">
        <v>135</v>
      </c>
      <c r="B340" s="462" t="s">
        <v>234</v>
      </c>
      <c r="C340" s="462" t="s">
        <v>213</v>
      </c>
      <c r="D340" s="462" t="s">
        <v>962</v>
      </c>
      <c r="E340" s="462" t="s">
        <v>145</v>
      </c>
      <c r="F340" s="459">
        <f>'[1]Пр.4 Рд,пр, ЦС,ВР 21'!F329</f>
        <v>0</v>
      </c>
      <c r="G340" s="459">
        <f t="shared" si="22"/>
        <v>0</v>
      </c>
    </row>
    <row r="341" spans="1:7" ht="15.75" hidden="1" x14ac:dyDescent="0.25">
      <c r="A341" s="466" t="s">
        <v>146</v>
      </c>
      <c r="B341" s="462" t="s">
        <v>234</v>
      </c>
      <c r="C341" s="462" t="s">
        <v>213</v>
      </c>
      <c r="D341" s="462" t="s">
        <v>962</v>
      </c>
      <c r="E341" s="462" t="s">
        <v>147</v>
      </c>
      <c r="F341" s="459">
        <f>'[1]Пр.4 Рд,пр, ЦС,ВР 21'!F330</f>
        <v>0</v>
      </c>
      <c r="G341" s="459">
        <f t="shared" si="22"/>
        <v>0</v>
      </c>
    </row>
    <row r="342" spans="1:7" ht="63" hidden="1" x14ac:dyDescent="0.25">
      <c r="A342" s="464" t="s">
        <v>1013</v>
      </c>
      <c r="B342" s="465" t="s">
        <v>234</v>
      </c>
      <c r="C342" s="465" t="s">
        <v>213</v>
      </c>
      <c r="D342" s="465" t="s">
        <v>980</v>
      </c>
      <c r="E342" s="465"/>
      <c r="F342" s="458">
        <f>F343+F348+F351+F356</f>
        <v>0</v>
      </c>
      <c r="G342" s="458">
        <f>G343+G348+G351+G356</f>
        <v>0</v>
      </c>
    </row>
    <row r="343" spans="1:7" ht="47.25" hidden="1" x14ac:dyDescent="0.25">
      <c r="A343" s="466" t="s">
        <v>827</v>
      </c>
      <c r="B343" s="462" t="s">
        <v>234</v>
      </c>
      <c r="C343" s="462" t="s">
        <v>213</v>
      </c>
      <c r="D343" s="462" t="s">
        <v>981</v>
      </c>
      <c r="E343" s="462"/>
      <c r="F343" s="459">
        <f>'[1]Пр.4 Рд,пр, ЦС,ВР 21'!F332</f>
        <v>0</v>
      </c>
      <c r="G343" s="459">
        <f t="shared" ref="G343:G387" si="27">F343</f>
        <v>0</v>
      </c>
    </row>
    <row r="344" spans="1:7" ht="31.5" hidden="1" x14ac:dyDescent="0.25">
      <c r="A344" s="466" t="s">
        <v>131</v>
      </c>
      <c r="B344" s="462" t="s">
        <v>234</v>
      </c>
      <c r="C344" s="462" t="s">
        <v>213</v>
      </c>
      <c r="D344" s="462" t="s">
        <v>981</v>
      </c>
      <c r="E344" s="462" t="s">
        <v>132</v>
      </c>
      <c r="F344" s="459">
        <f>'[1]Пр.4 Рд,пр, ЦС,ВР 21'!F333</f>
        <v>0</v>
      </c>
      <c r="G344" s="459">
        <f t="shared" si="27"/>
        <v>0</v>
      </c>
    </row>
    <row r="345" spans="1:7" ht="47.25" hidden="1" x14ac:dyDescent="0.25">
      <c r="A345" s="466" t="s">
        <v>133</v>
      </c>
      <c r="B345" s="462" t="s">
        <v>234</v>
      </c>
      <c r="C345" s="462" t="s">
        <v>213</v>
      </c>
      <c r="D345" s="462" t="s">
        <v>981</v>
      </c>
      <c r="E345" s="462" t="s">
        <v>134</v>
      </c>
      <c r="F345" s="459">
        <f>'[1]Пр.4 Рд,пр, ЦС,ВР 21'!F334</f>
        <v>0</v>
      </c>
      <c r="G345" s="459">
        <f t="shared" si="27"/>
        <v>0</v>
      </c>
    </row>
    <row r="346" spans="1:7" ht="15.75" hidden="1" x14ac:dyDescent="0.25">
      <c r="A346" s="466" t="s">
        <v>135</v>
      </c>
      <c r="B346" s="462" t="s">
        <v>234</v>
      </c>
      <c r="C346" s="462" t="s">
        <v>213</v>
      </c>
      <c r="D346" s="462" t="s">
        <v>981</v>
      </c>
      <c r="E346" s="462" t="s">
        <v>837</v>
      </c>
      <c r="F346" s="459">
        <f>'[1]Пр.4 Рд,пр, ЦС,ВР 21'!F335</f>
        <v>0</v>
      </c>
      <c r="G346" s="459">
        <f t="shared" si="27"/>
        <v>0</v>
      </c>
    </row>
    <row r="347" spans="1:7" ht="15.75" hidden="1" x14ac:dyDescent="0.25">
      <c r="A347" s="466" t="s">
        <v>568</v>
      </c>
      <c r="B347" s="462" t="s">
        <v>234</v>
      </c>
      <c r="C347" s="462" t="s">
        <v>213</v>
      </c>
      <c r="D347" s="462" t="s">
        <v>981</v>
      </c>
      <c r="E347" s="462" t="s">
        <v>1070</v>
      </c>
      <c r="F347" s="459">
        <f>'[1]Пр.4 Рд,пр, ЦС,ВР 21'!F336</f>
        <v>0</v>
      </c>
      <c r="G347" s="459">
        <f t="shared" si="27"/>
        <v>0</v>
      </c>
    </row>
    <row r="348" spans="1:7" ht="63" hidden="1" x14ac:dyDescent="0.25">
      <c r="A348" s="466" t="s">
        <v>793</v>
      </c>
      <c r="B348" s="462" t="s">
        <v>234</v>
      </c>
      <c r="C348" s="462" t="s">
        <v>213</v>
      </c>
      <c r="D348" s="462" t="s">
        <v>982</v>
      </c>
      <c r="E348" s="462"/>
      <c r="F348" s="459">
        <f>'[1]Пр.4 Рд,пр, ЦС,ВР 21'!F337</f>
        <v>0</v>
      </c>
      <c r="G348" s="459">
        <f t="shared" si="27"/>
        <v>0</v>
      </c>
    </row>
    <row r="349" spans="1:7" ht="31.5" hidden="1" x14ac:dyDescent="0.25">
      <c r="A349" s="466" t="s">
        <v>131</v>
      </c>
      <c r="B349" s="462" t="s">
        <v>234</v>
      </c>
      <c r="C349" s="462" t="s">
        <v>213</v>
      </c>
      <c r="D349" s="462" t="s">
        <v>982</v>
      </c>
      <c r="E349" s="462" t="s">
        <v>132</v>
      </c>
      <c r="F349" s="459">
        <f>'[1]Пр.4 Рд,пр, ЦС,ВР 21'!F338</f>
        <v>0</v>
      </c>
      <c r="G349" s="459">
        <f t="shared" si="27"/>
        <v>0</v>
      </c>
    </row>
    <row r="350" spans="1:7" ht="47.25" hidden="1" x14ac:dyDescent="0.25">
      <c r="A350" s="466" t="s">
        <v>133</v>
      </c>
      <c r="B350" s="462" t="s">
        <v>234</v>
      </c>
      <c r="C350" s="462" t="s">
        <v>213</v>
      </c>
      <c r="D350" s="462" t="s">
        <v>982</v>
      </c>
      <c r="E350" s="462" t="s">
        <v>134</v>
      </c>
      <c r="F350" s="459">
        <f>'[1]Пр.4 Рд,пр, ЦС,ВР 21'!F339</f>
        <v>0</v>
      </c>
      <c r="G350" s="459">
        <f t="shared" si="27"/>
        <v>0</v>
      </c>
    </row>
    <row r="351" spans="1:7" ht="47.25" hidden="1" x14ac:dyDescent="0.25">
      <c r="A351" s="97" t="s">
        <v>833</v>
      </c>
      <c r="B351" s="462" t="s">
        <v>234</v>
      </c>
      <c r="C351" s="462" t="s">
        <v>213</v>
      </c>
      <c r="D351" s="462" t="s">
        <v>983</v>
      </c>
      <c r="E351" s="462"/>
      <c r="F351" s="459">
        <f>'[1]Пр.4 Рд,пр, ЦС,ВР 21'!F340</f>
        <v>0</v>
      </c>
      <c r="G351" s="459">
        <f t="shared" si="27"/>
        <v>0</v>
      </c>
    </row>
    <row r="352" spans="1:7" ht="47.25" hidden="1" x14ac:dyDescent="0.25">
      <c r="A352" s="466" t="s">
        <v>838</v>
      </c>
      <c r="B352" s="462" t="s">
        <v>234</v>
      </c>
      <c r="C352" s="462" t="s">
        <v>213</v>
      </c>
      <c r="D352" s="462" t="s">
        <v>983</v>
      </c>
      <c r="E352" s="462" t="s">
        <v>837</v>
      </c>
      <c r="F352" s="459">
        <f>'[1]Пр.4 Рд,пр, ЦС,ВР 21'!F341</f>
        <v>0</v>
      </c>
      <c r="G352" s="459">
        <f t="shared" si="27"/>
        <v>0</v>
      </c>
    </row>
    <row r="353" spans="1:7" ht="63" hidden="1" x14ac:dyDescent="0.25">
      <c r="A353" s="466" t="s">
        <v>1051</v>
      </c>
      <c r="B353" s="462" t="s">
        <v>234</v>
      </c>
      <c r="C353" s="462" t="s">
        <v>213</v>
      </c>
      <c r="D353" s="462" t="s">
        <v>983</v>
      </c>
      <c r="E353" s="462" t="s">
        <v>1070</v>
      </c>
      <c r="F353" s="459">
        <f>'[1]Пр.4 Рд,пр, ЦС,ВР 21'!F342</f>
        <v>0</v>
      </c>
      <c r="G353" s="459">
        <f t="shared" si="27"/>
        <v>0</v>
      </c>
    </row>
    <row r="354" spans="1:7" ht="15.75" hidden="1" x14ac:dyDescent="0.25">
      <c r="A354" s="466" t="s">
        <v>135</v>
      </c>
      <c r="B354" s="462" t="s">
        <v>234</v>
      </c>
      <c r="C354" s="462" t="s">
        <v>213</v>
      </c>
      <c r="D354" s="462" t="s">
        <v>983</v>
      </c>
      <c r="E354" s="462" t="s">
        <v>145</v>
      </c>
      <c r="F354" s="459">
        <f>'[1]Пр.4 Рд,пр, ЦС,ВР 21'!F343</f>
        <v>0</v>
      </c>
      <c r="G354" s="459">
        <f t="shared" si="27"/>
        <v>0</v>
      </c>
    </row>
    <row r="355" spans="1:7" ht="15.75" hidden="1" x14ac:dyDescent="0.25">
      <c r="A355" s="466" t="s">
        <v>704</v>
      </c>
      <c r="B355" s="462" t="s">
        <v>234</v>
      </c>
      <c r="C355" s="462" t="s">
        <v>213</v>
      </c>
      <c r="D355" s="462" t="s">
        <v>983</v>
      </c>
      <c r="E355" s="462" t="s">
        <v>138</v>
      </c>
      <c r="F355" s="459">
        <f>'[1]Пр.4 Рд,пр, ЦС,ВР 21'!F344</f>
        <v>0</v>
      </c>
      <c r="G355" s="459">
        <f t="shared" si="27"/>
        <v>0</v>
      </c>
    </row>
    <row r="356" spans="1:7" ht="31.5" hidden="1" x14ac:dyDescent="0.25">
      <c r="A356" s="466" t="s">
        <v>1071</v>
      </c>
      <c r="B356" s="462" t="s">
        <v>234</v>
      </c>
      <c r="C356" s="462" t="s">
        <v>213</v>
      </c>
      <c r="D356" s="462" t="s">
        <v>1072</v>
      </c>
      <c r="E356" s="462"/>
      <c r="F356" s="459">
        <f>'[1]Пр.4 Рд,пр, ЦС,ВР 21'!F345</f>
        <v>0</v>
      </c>
      <c r="G356" s="459">
        <f t="shared" si="27"/>
        <v>0</v>
      </c>
    </row>
    <row r="357" spans="1:7" ht="31.5" hidden="1" x14ac:dyDescent="0.25">
      <c r="A357" s="466" t="s">
        <v>131</v>
      </c>
      <c r="B357" s="462" t="s">
        <v>234</v>
      </c>
      <c r="C357" s="462" t="s">
        <v>213</v>
      </c>
      <c r="D357" s="462" t="s">
        <v>1072</v>
      </c>
      <c r="E357" s="462" t="s">
        <v>132</v>
      </c>
      <c r="F357" s="459">
        <f>'[1]Пр.4 Рд,пр, ЦС,ВР 21'!F346</f>
        <v>0</v>
      </c>
      <c r="G357" s="459">
        <f t="shared" si="27"/>
        <v>0</v>
      </c>
    </row>
    <row r="358" spans="1:7" ht="47.25" hidden="1" x14ac:dyDescent="0.25">
      <c r="A358" s="466" t="s">
        <v>133</v>
      </c>
      <c r="B358" s="462" t="s">
        <v>234</v>
      </c>
      <c r="C358" s="462" t="s">
        <v>213</v>
      </c>
      <c r="D358" s="462" t="s">
        <v>1072</v>
      </c>
      <c r="E358" s="462" t="s">
        <v>134</v>
      </c>
      <c r="F358" s="459">
        <f>'[1]Пр.4 Рд,пр, ЦС,ВР 21'!F347</f>
        <v>0</v>
      </c>
      <c r="G358" s="459">
        <f t="shared" si="27"/>
        <v>0</v>
      </c>
    </row>
    <row r="359" spans="1:7" ht="63" x14ac:dyDescent="0.25">
      <c r="A359" s="464" t="s">
        <v>1544</v>
      </c>
      <c r="B359" s="465" t="s">
        <v>234</v>
      </c>
      <c r="C359" s="465" t="s">
        <v>213</v>
      </c>
      <c r="D359" s="465" t="s">
        <v>518</v>
      </c>
      <c r="E359" s="465"/>
      <c r="F359" s="458">
        <f>F360+F364+F368+F372+F376+F380+F384</f>
        <v>700</v>
      </c>
      <c r="G359" s="458">
        <f>G360+G364+G368+G372+G376+G380+G384</f>
        <v>700</v>
      </c>
    </row>
    <row r="360" spans="1:7" ht="31.5" x14ac:dyDescent="0.25">
      <c r="A360" s="464" t="s">
        <v>963</v>
      </c>
      <c r="B360" s="465" t="s">
        <v>234</v>
      </c>
      <c r="C360" s="465" t="s">
        <v>213</v>
      </c>
      <c r="D360" s="465" t="s">
        <v>965</v>
      </c>
      <c r="E360" s="465"/>
      <c r="F360" s="458">
        <f t="shared" ref="F360:G362" si="28">F361</f>
        <v>700</v>
      </c>
      <c r="G360" s="458">
        <f t="shared" si="28"/>
        <v>700</v>
      </c>
    </row>
    <row r="361" spans="1:7" ht="15.75" x14ac:dyDescent="0.25">
      <c r="A361" s="45" t="s">
        <v>964</v>
      </c>
      <c r="B361" s="469" t="s">
        <v>234</v>
      </c>
      <c r="C361" s="469" t="s">
        <v>213</v>
      </c>
      <c r="D361" s="462" t="s">
        <v>966</v>
      </c>
      <c r="E361" s="469"/>
      <c r="F361" s="459">
        <f t="shared" si="28"/>
        <v>700</v>
      </c>
      <c r="G361" s="459">
        <f t="shared" si="28"/>
        <v>700</v>
      </c>
    </row>
    <row r="362" spans="1:7" ht="31.5" x14ac:dyDescent="0.25">
      <c r="A362" s="31" t="s">
        <v>131</v>
      </c>
      <c r="B362" s="469" t="s">
        <v>234</v>
      </c>
      <c r="C362" s="469" t="s">
        <v>213</v>
      </c>
      <c r="D362" s="462" t="s">
        <v>966</v>
      </c>
      <c r="E362" s="469" t="s">
        <v>132</v>
      </c>
      <c r="F362" s="459">
        <f t="shared" si="28"/>
        <v>700</v>
      </c>
      <c r="G362" s="459">
        <f t="shared" si="28"/>
        <v>700</v>
      </c>
    </row>
    <row r="363" spans="1:7" ht="47.25" x14ac:dyDescent="0.25">
      <c r="A363" s="31" t="s">
        <v>133</v>
      </c>
      <c r="B363" s="469" t="s">
        <v>234</v>
      </c>
      <c r="C363" s="469" t="s">
        <v>213</v>
      </c>
      <c r="D363" s="462" t="s">
        <v>966</v>
      </c>
      <c r="E363" s="469" t="s">
        <v>134</v>
      </c>
      <c r="F363" s="459">
        <f>'пр.6.1.ведом.22-23 (2)'!G923</f>
        <v>700</v>
      </c>
      <c r="G363" s="459">
        <f>'пр.6.1.ведом.22-23 (2)'!H923</f>
        <v>700</v>
      </c>
    </row>
    <row r="364" spans="1:7" ht="31.5" hidden="1" x14ac:dyDescent="0.25">
      <c r="A364" s="34" t="s">
        <v>967</v>
      </c>
      <c r="B364" s="7" t="s">
        <v>234</v>
      </c>
      <c r="C364" s="7" t="s">
        <v>213</v>
      </c>
      <c r="D364" s="465" t="s">
        <v>968</v>
      </c>
      <c r="E364" s="7"/>
      <c r="F364" s="458">
        <f>F365</f>
        <v>0</v>
      </c>
      <c r="G364" s="458">
        <f>G365</f>
        <v>0</v>
      </c>
    </row>
    <row r="365" spans="1:7" ht="15.75" hidden="1" x14ac:dyDescent="0.25">
      <c r="A365" s="45" t="s">
        <v>523</v>
      </c>
      <c r="B365" s="469" t="s">
        <v>234</v>
      </c>
      <c r="C365" s="469" t="s">
        <v>213</v>
      </c>
      <c r="D365" s="462" t="s">
        <v>971</v>
      </c>
      <c r="E365" s="469"/>
      <c r="F365" s="459">
        <f>'[1]Пр.4 Рд,пр, ЦС,ВР 21'!F354</f>
        <v>0</v>
      </c>
      <c r="G365" s="459">
        <f t="shared" si="27"/>
        <v>0</v>
      </c>
    </row>
    <row r="366" spans="1:7" ht="31.5" hidden="1" x14ac:dyDescent="0.25">
      <c r="A366" s="31" t="s">
        <v>131</v>
      </c>
      <c r="B366" s="469" t="s">
        <v>234</v>
      </c>
      <c r="C366" s="469" t="s">
        <v>213</v>
      </c>
      <c r="D366" s="462" t="s">
        <v>971</v>
      </c>
      <c r="E366" s="469" t="s">
        <v>132</v>
      </c>
      <c r="F366" s="459">
        <f>'[1]Пр.4 Рд,пр, ЦС,ВР 21'!F355</f>
        <v>0</v>
      </c>
      <c r="G366" s="459">
        <f t="shared" si="27"/>
        <v>0</v>
      </c>
    </row>
    <row r="367" spans="1:7" ht="47.25" hidden="1" x14ac:dyDescent="0.25">
      <c r="A367" s="31" t="s">
        <v>133</v>
      </c>
      <c r="B367" s="469" t="s">
        <v>234</v>
      </c>
      <c r="C367" s="469" t="s">
        <v>213</v>
      </c>
      <c r="D367" s="462" t="s">
        <v>971</v>
      </c>
      <c r="E367" s="469" t="s">
        <v>134</v>
      </c>
      <c r="F367" s="459">
        <f>'[1]Пр.4 Рд,пр, ЦС,ВР 21'!F356</f>
        <v>0</v>
      </c>
      <c r="G367" s="459">
        <f t="shared" si="27"/>
        <v>0</v>
      </c>
    </row>
    <row r="368" spans="1:7" ht="31.5" hidden="1" x14ac:dyDescent="0.25">
      <c r="A368" s="58" t="s">
        <v>969</v>
      </c>
      <c r="B368" s="7" t="s">
        <v>234</v>
      </c>
      <c r="C368" s="7" t="s">
        <v>213</v>
      </c>
      <c r="D368" s="465" t="s">
        <v>970</v>
      </c>
      <c r="E368" s="7"/>
      <c r="F368" s="458">
        <f>F369</f>
        <v>0</v>
      </c>
      <c r="G368" s="458">
        <f>G369</f>
        <v>0</v>
      </c>
    </row>
    <row r="369" spans="1:7" ht="15.75" hidden="1" x14ac:dyDescent="0.25">
      <c r="A369" s="45" t="s">
        <v>525</v>
      </c>
      <c r="B369" s="469" t="s">
        <v>234</v>
      </c>
      <c r="C369" s="469" t="s">
        <v>213</v>
      </c>
      <c r="D369" s="462" t="s">
        <v>972</v>
      </c>
      <c r="E369" s="469"/>
      <c r="F369" s="459">
        <f>'[1]Пр.4 Рд,пр, ЦС,ВР 21'!F358</f>
        <v>0</v>
      </c>
      <c r="G369" s="459">
        <f t="shared" si="27"/>
        <v>0</v>
      </c>
    </row>
    <row r="370" spans="1:7" ht="31.5" hidden="1" x14ac:dyDescent="0.25">
      <c r="A370" s="31" t="s">
        <v>131</v>
      </c>
      <c r="B370" s="469" t="s">
        <v>234</v>
      </c>
      <c r="C370" s="469" t="s">
        <v>213</v>
      </c>
      <c r="D370" s="462" t="s">
        <v>972</v>
      </c>
      <c r="E370" s="469" t="s">
        <v>132</v>
      </c>
      <c r="F370" s="459">
        <f>'[1]Пр.4 Рд,пр, ЦС,ВР 21'!F359</f>
        <v>0</v>
      </c>
      <c r="G370" s="459">
        <f t="shared" si="27"/>
        <v>0</v>
      </c>
    </row>
    <row r="371" spans="1:7" ht="47.25" hidden="1" x14ac:dyDescent="0.25">
      <c r="A371" s="31" t="s">
        <v>133</v>
      </c>
      <c r="B371" s="469" t="s">
        <v>234</v>
      </c>
      <c r="C371" s="469" t="s">
        <v>213</v>
      </c>
      <c r="D371" s="462" t="s">
        <v>972</v>
      </c>
      <c r="E371" s="469" t="s">
        <v>134</v>
      </c>
      <c r="F371" s="459">
        <f>'[1]Пр.4 Рд,пр, ЦС,ВР 21'!F360</f>
        <v>0</v>
      </c>
      <c r="G371" s="459">
        <f t="shared" si="27"/>
        <v>0</v>
      </c>
    </row>
    <row r="372" spans="1:7" ht="31.5" hidden="1" x14ac:dyDescent="0.25">
      <c r="A372" s="58" t="s">
        <v>973</v>
      </c>
      <c r="B372" s="7" t="s">
        <v>234</v>
      </c>
      <c r="C372" s="7" t="s">
        <v>213</v>
      </c>
      <c r="D372" s="465" t="s">
        <v>974</v>
      </c>
      <c r="E372" s="7"/>
      <c r="F372" s="458">
        <f>F373</f>
        <v>0</v>
      </c>
      <c r="G372" s="458">
        <f>G373</f>
        <v>0</v>
      </c>
    </row>
    <row r="373" spans="1:7" ht="15.75" hidden="1" x14ac:dyDescent="0.25">
      <c r="A373" s="45" t="s">
        <v>527</v>
      </c>
      <c r="B373" s="469" t="s">
        <v>234</v>
      </c>
      <c r="C373" s="469" t="s">
        <v>213</v>
      </c>
      <c r="D373" s="462" t="s">
        <v>975</v>
      </c>
      <c r="E373" s="469"/>
      <c r="F373" s="459">
        <f>'[1]Пр.4 Рд,пр, ЦС,ВР 21'!F362</f>
        <v>0</v>
      </c>
      <c r="G373" s="459">
        <f t="shared" si="27"/>
        <v>0</v>
      </c>
    </row>
    <row r="374" spans="1:7" ht="31.5" hidden="1" x14ac:dyDescent="0.25">
      <c r="A374" s="31" t="s">
        <v>131</v>
      </c>
      <c r="B374" s="469" t="s">
        <v>234</v>
      </c>
      <c r="C374" s="469" t="s">
        <v>213</v>
      </c>
      <c r="D374" s="462" t="s">
        <v>975</v>
      </c>
      <c r="E374" s="469" t="s">
        <v>132</v>
      </c>
      <c r="F374" s="459">
        <f>'[1]Пр.4 Рд,пр, ЦС,ВР 21'!F363</f>
        <v>0</v>
      </c>
      <c r="G374" s="459">
        <f t="shared" si="27"/>
        <v>0</v>
      </c>
    </row>
    <row r="375" spans="1:7" ht="47.25" hidden="1" x14ac:dyDescent="0.25">
      <c r="A375" s="31" t="s">
        <v>133</v>
      </c>
      <c r="B375" s="469" t="s">
        <v>234</v>
      </c>
      <c r="C375" s="469" t="s">
        <v>213</v>
      </c>
      <c r="D375" s="462" t="s">
        <v>975</v>
      </c>
      <c r="E375" s="469" t="s">
        <v>134</v>
      </c>
      <c r="F375" s="459">
        <f>'[1]Пр.4 Рд,пр, ЦС,ВР 21'!F364</f>
        <v>0</v>
      </c>
      <c r="G375" s="459">
        <f t="shared" si="27"/>
        <v>0</v>
      </c>
    </row>
    <row r="376" spans="1:7" ht="31.5" hidden="1" x14ac:dyDescent="0.25">
      <c r="A376" s="34" t="s">
        <v>1014</v>
      </c>
      <c r="B376" s="7" t="s">
        <v>234</v>
      </c>
      <c r="C376" s="7" t="s">
        <v>213</v>
      </c>
      <c r="D376" s="465" t="s">
        <v>1015</v>
      </c>
      <c r="E376" s="7"/>
      <c r="F376" s="458">
        <f>F377</f>
        <v>0</v>
      </c>
      <c r="G376" s="458">
        <f>G377</f>
        <v>0</v>
      </c>
    </row>
    <row r="377" spans="1:7" ht="15.75" hidden="1" x14ac:dyDescent="0.25">
      <c r="A377" s="45" t="s">
        <v>529</v>
      </c>
      <c r="B377" s="469" t="s">
        <v>234</v>
      </c>
      <c r="C377" s="469" t="s">
        <v>213</v>
      </c>
      <c r="D377" s="462" t="s">
        <v>1018</v>
      </c>
      <c r="E377" s="469"/>
      <c r="F377" s="459">
        <f>'[1]Пр.4 Рд,пр, ЦС,ВР 21'!F366</f>
        <v>0</v>
      </c>
      <c r="G377" s="459">
        <f t="shared" si="27"/>
        <v>0</v>
      </c>
    </row>
    <row r="378" spans="1:7" ht="31.5" hidden="1" x14ac:dyDescent="0.25">
      <c r="A378" s="31" t="s">
        <v>131</v>
      </c>
      <c r="B378" s="469" t="s">
        <v>234</v>
      </c>
      <c r="C378" s="469" t="s">
        <v>213</v>
      </c>
      <c r="D378" s="462" t="s">
        <v>1018</v>
      </c>
      <c r="E378" s="469" t="s">
        <v>132</v>
      </c>
      <c r="F378" s="459">
        <f>'[1]Пр.4 Рд,пр, ЦС,ВР 21'!F367</f>
        <v>0</v>
      </c>
      <c r="G378" s="459">
        <f t="shared" si="27"/>
        <v>0</v>
      </c>
    </row>
    <row r="379" spans="1:7" ht="47.25" hidden="1" x14ac:dyDescent="0.25">
      <c r="A379" s="31" t="s">
        <v>133</v>
      </c>
      <c r="B379" s="469" t="s">
        <v>234</v>
      </c>
      <c r="C379" s="469" t="s">
        <v>213</v>
      </c>
      <c r="D379" s="462" t="s">
        <v>1018</v>
      </c>
      <c r="E379" s="469" t="s">
        <v>134</v>
      </c>
      <c r="F379" s="459">
        <f>'[1]Пр.4 Рд,пр, ЦС,ВР 21'!F368</f>
        <v>0</v>
      </c>
      <c r="G379" s="459">
        <f t="shared" si="27"/>
        <v>0</v>
      </c>
    </row>
    <row r="380" spans="1:7" ht="47.25" hidden="1" x14ac:dyDescent="0.25">
      <c r="A380" s="219" t="s">
        <v>1016</v>
      </c>
      <c r="B380" s="7" t="s">
        <v>234</v>
      </c>
      <c r="C380" s="7" t="s">
        <v>213</v>
      </c>
      <c r="D380" s="465" t="s">
        <v>1017</v>
      </c>
      <c r="E380" s="7"/>
      <c r="F380" s="458">
        <f>F381</f>
        <v>0</v>
      </c>
      <c r="G380" s="458">
        <f>G381</f>
        <v>0</v>
      </c>
    </row>
    <row r="381" spans="1:7" ht="31.5" hidden="1" x14ac:dyDescent="0.25">
      <c r="A381" s="174" t="s">
        <v>531</v>
      </c>
      <c r="B381" s="469" t="s">
        <v>234</v>
      </c>
      <c r="C381" s="469" t="s">
        <v>213</v>
      </c>
      <c r="D381" s="462" t="s">
        <v>1019</v>
      </c>
      <c r="E381" s="469"/>
      <c r="F381" s="459">
        <f>'[1]Пр.4 Рд,пр, ЦС,ВР 21'!F370</f>
        <v>0</v>
      </c>
      <c r="G381" s="459">
        <f t="shared" si="27"/>
        <v>0</v>
      </c>
    </row>
    <row r="382" spans="1:7" ht="31.5" hidden="1" x14ac:dyDescent="0.25">
      <c r="A382" s="31" t="s">
        <v>131</v>
      </c>
      <c r="B382" s="469" t="s">
        <v>234</v>
      </c>
      <c r="C382" s="469" t="s">
        <v>213</v>
      </c>
      <c r="D382" s="462" t="s">
        <v>1019</v>
      </c>
      <c r="E382" s="469" t="s">
        <v>132</v>
      </c>
      <c r="F382" s="459">
        <f>'[1]Пр.4 Рд,пр, ЦС,ВР 21'!F371</f>
        <v>0</v>
      </c>
      <c r="G382" s="459">
        <f t="shared" si="27"/>
        <v>0</v>
      </c>
    </row>
    <row r="383" spans="1:7" ht="47.25" hidden="1" x14ac:dyDescent="0.25">
      <c r="A383" s="31" t="s">
        <v>133</v>
      </c>
      <c r="B383" s="469" t="s">
        <v>234</v>
      </c>
      <c r="C383" s="469" t="s">
        <v>213</v>
      </c>
      <c r="D383" s="462" t="s">
        <v>1019</v>
      </c>
      <c r="E383" s="469" t="s">
        <v>134</v>
      </c>
      <c r="F383" s="459">
        <f>'[1]Пр.4 Рд,пр, ЦС,ВР 21'!F372</f>
        <v>0</v>
      </c>
      <c r="G383" s="459">
        <f t="shared" si="27"/>
        <v>0</v>
      </c>
    </row>
    <row r="384" spans="1:7" ht="31.5" hidden="1" x14ac:dyDescent="0.25">
      <c r="A384" s="219" t="s">
        <v>977</v>
      </c>
      <c r="B384" s="7" t="s">
        <v>234</v>
      </c>
      <c r="C384" s="7" t="s">
        <v>213</v>
      </c>
      <c r="D384" s="465" t="s">
        <v>978</v>
      </c>
      <c r="E384" s="7"/>
      <c r="F384" s="458">
        <f>F385</f>
        <v>0</v>
      </c>
      <c r="G384" s="458">
        <f>G385</f>
        <v>0</v>
      </c>
    </row>
    <row r="385" spans="1:9" ht="15.75" hidden="1" x14ac:dyDescent="0.25">
      <c r="A385" s="174" t="s">
        <v>533</v>
      </c>
      <c r="B385" s="469" t="s">
        <v>234</v>
      </c>
      <c r="C385" s="469" t="s">
        <v>213</v>
      </c>
      <c r="D385" s="462" t="s">
        <v>976</v>
      </c>
      <c r="E385" s="469"/>
      <c r="F385" s="459">
        <f>'[1]Пр.4 Рд,пр, ЦС,ВР 21'!F374</f>
        <v>0</v>
      </c>
      <c r="G385" s="459">
        <f t="shared" si="27"/>
        <v>0</v>
      </c>
    </row>
    <row r="386" spans="1:9" ht="31.5" hidden="1" x14ac:dyDescent="0.25">
      <c r="A386" s="466" t="s">
        <v>131</v>
      </c>
      <c r="B386" s="469" t="s">
        <v>234</v>
      </c>
      <c r="C386" s="469" t="s">
        <v>213</v>
      </c>
      <c r="D386" s="462" t="s">
        <v>976</v>
      </c>
      <c r="E386" s="469" t="s">
        <v>132</v>
      </c>
      <c r="F386" s="459">
        <f>'[1]Пр.4 Рд,пр, ЦС,ВР 21'!F375</f>
        <v>0</v>
      </c>
      <c r="G386" s="459">
        <f t="shared" si="27"/>
        <v>0</v>
      </c>
    </row>
    <row r="387" spans="1:9" ht="47.25" hidden="1" x14ac:dyDescent="0.25">
      <c r="A387" s="466" t="s">
        <v>133</v>
      </c>
      <c r="B387" s="469" t="s">
        <v>234</v>
      </c>
      <c r="C387" s="469" t="s">
        <v>213</v>
      </c>
      <c r="D387" s="462" t="s">
        <v>976</v>
      </c>
      <c r="E387" s="469" t="s">
        <v>134</v>
      </c>
      <c r="F387" s="459">
        <f>'[1]Пр.4 Рд,пр, ЦС,ВР 21'!F376</f>
        <v>0</v>
      </c>
      <c r="G387" s="459">
        <f t="shared" si="27"/>
        <v>0</v>
      </c>
    </row>
    <row r="388" spans="1:9" ht="47.25" x14ac:dyDescent="0.25">
      <c r="A388" s="464" t="s">
        <v>1545</v>
      </c>
      <c r="B388" s="7" t="s">
        <v>234</v>
      </c>
      <c r="C388" s="7" t="s">
        <v>213</v>
      </c>
      <c r="D388" s="465" t="s">
        <v>1146</v>
      </c>
      <c r="E388" s="7"/>
      <c r="F388" s="458">
        <f t="shared" ref="F388:G391" si="29">F389</f>
        <v>204</v>
      </c>
      <c r="G388" s="458">
        <f t="shared" si="29"/>
        <v>215</v>
      </c>
    </row>
    <row r="389" spans="1:9" ht="31.5" x14ac:dyDescent="0.25">
      <c r="A389" s="464" t="s">
        <v>1549</v>
      </c>
      <c r="B389" s="7" t="s">
        <v>234</v>
      </c>
      <c r="C389" s="7" t="s">
        <v>213</v>
      </c>
      <c r="D389" s="465" t="s">
        <v>1148</v>
      </c>
      <c r="E389" s="7"/>
      <c r="F389" s="458">
        <f t="shared" si="29"/>
        <v>204</v>
      </c>
      <c r="G389" s="458">
        <f t="shared" si="29"/>
        <v>215</v>
      </c>
    </row>
    <row r="390" spans="1:9" ht="31.5" x14ac:dyDescent="0.25">
      <c r="A390" s="466" t="s">
        <v>537</v>
      </c>
      <c r="B390" s="469" t="s">
        <v>234</v>
      </c>
      <c r="C390" s="469" t="s">
        <v>213</v>
      </c>
      <c r="D390" s="462" t="s">
        <v>1149</v>
      </c>
      <c r="E390" s="469"/>
      <c r="F390" s="459">
        <f t="shared" si="29"/>
        <v>204</v>
      </c>
      <c r="G390" s="459">
        <f t="shared" si="29"/>
        <v>215</v>
      </c>
    </row>
    <row r="391" spans="1:9" ht="31.5" x14ac:dyDescent="0.25">
      <c r="A391" s="466" t="s">
        <v>131</v>
      </c>
      <c r="B391" s="469" t="s">
        <v>234</v>
      </c>
      <c r="C391" s="469" t="s">
        <v>213</v>
      </c>
      <c r="D391" s="462" t="s">
        <v>1149</v>
      </c>
      <c r="E391" s="469" t="s">
        <v>132</v>
      </c>
      <c r="F391" s="459">
        <f t="shared" si="29"/>
        <v>204</v>
      </c>
      <c r="G391" s="459">
        <f t="shared" si="29"/>
        <v>215</v>
      </c>
    </row>
    <row r="392" spans="1:9" ht="47.25" x14ac:dyDescent="0.25">
      <c r="A392" s="466" t="s">
        <v>133</v>
      </c>
      <c r="B392" s="469" t="s">
        <v>234</v>
      </c>
      <c r="C392" s="469" t="s">
        <v>213</v>
      </c>
      <c r="D392" s="462" t="s">
        <v>1149</v>
      </c>
      <c r="E392" s="469" t="s">
        <v>134</v>
      </c>
      <c r="F392" s="459">
        <f>'пр.6.1.ведом.22-23 (2)'!G952</f>
        <v>204</v>
      </c>
      <c r="G392" s="459">
        <f>'пр.6.1.ведом.22-23 (2)'!H952</f>
        <v>215</v>
      </c>
    </row>
    <row r="393" spans="1:9" ht="15.75" x14ac:dyDescent="0.25">
      <c r="A393" s="470" t="s">
        <v>541</v>
      </c>
      <c r="B393" s="7" t="s">
        <v>234</v>
      </c>
      <c r="C393" s="7" t="s">
        <v>215</v>
      </c>
      <c r="D393" s="7"/>
      <c r="E393" s="7"/>
      <c r="F393" s="458">
        <f>F394+F399+F438</f>
        <v>3810</v>
      </c>
      <c r="G393" s="458">
        <f>G394+G399+G438</f>
        <v>4063</v>
      </c>
    </row>
    <row r="394" spans="1:9" ht="15.75" x14ac:dyDescent="0.25">
      <c r="A394" s="464" t="s">
        <v>141</v>
      </c>
      <c r="B394" s="465" t="s">
        <v>234</v>
      </c>
      <c r="C394" s="465" t="s">
        <v>215</v>
      </c>
      <c r="D394" s="465" t="s">
        <v>866</v>
      </c>
      <c r="E394" s="465"/>
      <c r="F394" s="458">
        <f t="shared" ref="F394:G397" si="30">F395</f>
        <v>1390</v>
      </c>
      <c r="G394" s="458">
        <f t="shared" si="30"/>
        <v>1390</v>
      </c>
    </row>
    <row r="395" spans="1:9" ht="31.5" x14ac:dyDescent="0.25">
      <c r="A395" s="464" t="s">
        <v>870</v>
      </c>
      <c r="B395" s="465" t="s">
        <v>234</v>
      </c>
      <c r="C395" s="465" t="s">
        <v>215</v>
      </c>
      <c r="D395" s="465" t="s">
        <v>865</v>
      </c>
      <c r="E395" s="465"/>
      <c r="F395" s="458">
        <f t="shared" si="30"/>
        <v>1390</v>
      </c>
      <c r="G395" s="458">
        <f t="shared" si="30"/>
        <v>1390</v>
      </c>
    </row>
    <row r="396" spans="1:9" ht="15.75" x14ac:dyDescent="0.25">
      <c r="A396" s="466" t="s">
        <v>564</v>
      </c>
      <c r="B396" s="462" t="s">
        <v>234</v>
      </c>
      <c r="C396" s="462" t="s">
        <v>215</v>
      </c>
      <c r="D396" s="462" t="s">
        <v>1077</v>
      </c>
      <c r="E396" s="462"/>
      <c r="F396" s="459">
        <f t="shared" si="30"/>
        <v>1390</v>
      </c>
      <c r="G396" s="459">
        <f t="shared" si="30"/>
        <v>1390</v>
      </c>
    </row>
    <row r="397" spans="1:9" ht="31.5" x14ac:dyDescent="0.25">
      <c r="A397" s="466" t="s">
        <v>131</v>
      </c>
      <c r="B397" s="462" t="s">
        <v>234</v>
      </c>
      <c r="C397" s="462" t="s">
        <v>215</v>
      </c>
      <c r="D397" s="462" t="s">
        <v>1077</v>
      </c>
      <c r="E397" s="462" t="s">
        <v>132</v>
      </c>
      <c r="F397" s="459">
        <f t="shared" si="30"/>
        <v>1390</v>
      </c>
      <c r="G397" s="459">
        <f t="shared" si="30"/>
        <v>1390</v>
      </c>
    </row>
    <row r="398" spans="1:9" ht="47.25" x14ac:dyDescent="0.25">
      <c r="A398" s="466" t="s">
        <v>133</v>
      </c>
      <c r="B398" s="462" t="s">
        <v>234</v>
      </c>
      <c r="C398" s="462" t="s">
        <v>215</v>
      </c>
      <c r="D398" s="462" t="s">
        <v>1077</v>
      </c>
      <c r="E398" s="462" t="s">
        <v>134</v>
      </c>
      <c r="F398" s="459">
        <f>'пр.6.1.ведом.22-23 (2)'!G958</f>
        <v>1390</v>
      </c>
      <c r="G398" s="459">
        <f>'пр.6.1.ведом.22-23 (2)'!H958</f>
        <v>1390</v>
      </c>
    </row>
    <row r="399" spans="1:9" ht="47.25" x14ac:dyDescent="0.25">
      <c r="A399" s="464" t="s">
        <v>1373</v>
      </c>
      <c r="B399" s="7" t="s">
        <v>234</v>
      </c>
      <c r="C399" s="7" t="s">
        <v>215</v>
      </c>
      <c r="D399" s="7" t="s">
        <v>543</v>
      </c>
      <c r="E399" s="7"/>
      <c r="F399" s="458">
        <f>F400+F404+F431</f>
        <v>1920</v>
      </c>
      <c r="G399" s="458">
        <f>G400+G404+G431</f>
        <v>2173</v>
      </c>
      <c r="I399" s="22"/>
    </row>
    <row r="400" spans="1:9" ht="47.25" hidden="1" x14ac:dyDescent="0.25">
      <c r="A400" s="464" t="s">
        <v>1443</v>
      </c>
      <c r="B400" s="465" t="s">
        <v>234</v>
      </c>
      <c r="C400" s="465" t="s">
        <v>215</v>
      </c>
      <c r="D400" s="465" t="s">
        <v>1278</v>
      </c>
      <c r="E400" s="465"/>
      <c r="F400" s="458">
        <f t="shared" ref="F400:G402" si="31">F401</f>
        <v>0</v>
      </c>
      <c r="G400" s="458">
        <f t="shared" si="31"/>
        <v>0</v>
      </c>
    </row>
    <row r="401" spans="1:7" ht="31.5" hidden="1" x14ac:dyDescent="0.25">
      <c r="A401" s="322" t="s">
        <v>1444</v>
      </c>
      <c r="B401" s="462" t="s">
        <v>234</v>
      </c>
      <c r="C401" s="462" t="s">
        <v>215</v>
      </c>
      <c r="D401" s="462" t="s">
        <v>1431</v>
      </c>
      <c r="E401" s="462"/>
      <c r="F401" s="467">
        <f t="shared" si="31"/>
        <v>0</v>
      </c>
      <c r="G401" s="459">
        <f t="shared" si="31"/>
        <v>0</v>
      </c>
    </row>
    <row r="402" spans="1:7" ht="31.5" hidden="1" x14ac:dyDescent="0.25">
      <c r="A402" s="466" t="s">
        <v>131</v>
      </c>
      <c r="B402" s="462" t="s">
        <v>234</v>
      </c>
      <c r="C402" s="462" t="s">
        <v>215</v>
      </c>
      <c r="D402" s="462" t="s">
        <v>1431</v>
      </c>
      <c r="E402" s="462" t="s">
        <v>132</v>
      </c>
      <c r="F402" s="467">
        <f t="shared" si="31"/>
        <v>0</v>
      </c>
      <c r="G402" s="459">
        <f t="shared" si="31"/>
        <v>0</v>
      </c>
    </row>
    <row r="403" spans="1:7" ht="47.25" hidden="1" x14ac:dyDescent="0.25">
      <c r="A403" s="466" t="s">
        <v>133</v>
      </c>
      <c r="B403" s="462" t="s">
        <v>234</v>
      </c>
      <c r="C403" s="462" t="s">
        <v>215</v>
      </c>
      <c r="D403" s="462" t="s">
        <v>1431</v>
      </c>
      <c r="E403" s="462" t="s">
        <v>134</v>
      </c>
      <c r="F403" s="467">
        <f>'пр.6.1.ведом.22-23 (2)'!G963</f>
        <v>0</v>
      </c>
      <c r="G403" s="459">
        <f>'пр.6.1.ведом.22-23 (2)'!H963</f>
        <v>0</v>
      </c>
    </row>
    <row r="404" spans="1:7" ht="47.25" x14ac:dyDescent="0.25">
      <c r="A404" s="464" t="s">
        <v>1446</v>
      </c>
      <c r="B404" s="465" t="s">
        <v>234</v>
      </c>
      <c r="C404" s="465" t="s">
        <v>215</v>
      </c>
      <c r="D404" s="465" t="s">
        <v>1279</v>
      </c>
      <c r="E404" s="465"/>
      <c r="F404" s="458">
        <f>F405+F408+F414+F417+F420+F425+F428</f>
        <v>1920</v>
      </c>
      <c r="G404" s="458">
        <f>G405+G408+G414+G417+G420+G425+G428</f>
        <v>2173</v>
      </c>
    </row>
    <row r="405" spans="1:7" ht="24.4" customHeight="1" x14ac:dyDescent="0.25">
      <c r="A405" s="466" t="s">
        <v>546</v>
      </c>
      <c r="B405" s="462" t="s">
        <v>234</v>
      </c>
      <c r="C405" s="462" t="s">
        <v>215</v>
      </c>
      <c r="D405" s="462" t="s">
        <v>1442</v>
      </c>
      <c r="E405" s="462"/>
      <c r="F405" s="459">
        <f>F406</f>
        <v>365</v>
      </c>
      <c r="G405" s="459">
        <f>G406</f>
        <v>365</v>
      </c>
    </row>
    <row r="406" spans="1:7" ht="31.5" x14ac:dyDescent="0.25">
      <c r="A406" s="466" t="s">
        <v>131</v>
      </c>
      <c r="B406" s="462" t="s">
        <v>234</v>
      </c>
      <c r="C406" s="462" t="s">
        <v>215</v>
      </c>
      <c r="D406" s="462" t="s">
        <v>1442</v>
      </c>
      <c r="E406" s="462" t="s">
        <v>132</v>
      </c>
      <c r="F406" s="459">
        <f>F407</f>
        <v>365</v>
      </c>
      <c r="G406" s="459">
        <f>G407</f>
        <v>365</v>
      </c>
    </row>
    <row r="407" spans="1:7" ht="47.25" x14ac:dyDescent="0.25">
      <c r="A407" s="466" t="s">
        <v>133</v>
      </c>
      <c r="B407" s="462" t="s">
        <v>234</v>
      </c>
      <c r="C407" s="462" t="s">
        <v>215</v>
      </c>
      <c r="D407" s="462" t="s">
        <v>1442</v>
      </c>
      <c r="E407" s="462" t="s">
        <v>134</v>
      </c>
      <c r="F407" s="459">
        <f>'пр.6.1.ведом.22-23 (2)'!G967</f>
        <v>365</v>
      </c>
      <c r="G407" s="459">
        <f>'пр.6.1.ведом.22-23 (2)'!H967</f>
        <v>365</v>
      </c>
    </row>
    <row r="408" spans="1:7" ht="15.75" x14ac:dyDescent="0.25">
      <c r="A408" s="466" t="s">
        <v>548</v>
      </c>
      <c r="B408" s="462" t="s">
        <v>234</v>
      </c>
      <c r="C408" s="462" t="s">
        <v>215</v>
      </c>
      <c r="D408" s="462" t="s">
        <v>1430</v>
      </c>
      <c r="E408" s="462"/>
      <c r="F408" s="459">
        <f>F409</f>
        <v>1080</v>
      </c>
      <c r="G408" s="459">
        <f>G409</f>
        <v>1188</v>
      </c>
    </row>
    <row r="409" spans="1:7" ht="31.5" x14ac:dyDescent="0.25">
      <c r="A409" s="466" t="s">
        <v>131</v>
      </c>
      <c r="B409" s="462" t="s">
        <v>234</v>
      </c>
      <c r="C409" s="462" t="s">
        <v>215</v>
      </c>
      <c r="D409" s="462" t="s">
        <v>1430</v>
      </c>
      <c r="E409" s="462" t="s">
        <v>132</v>
      </c>
      <c r="F409" s="459">
        <f>F410</f>
        <v>1080</v>
      </c>
      <c r="G409" s="459">
        <f>G410</f>
        <v>1188</v>
      </c>
    </row>
    <row r="410" spans="1:7" ht="47.25" x14ac:dyDescent="0.25">
      <c r="A410" s="466" t="s">
        <v>133</v>
      </c>
      <c r="B410" s="462" t="s">
        <v>234</v>
      </c>
      <c r="C410" s="462" t="s">
        <v>215</v>
      </c>
      <c r="D410" s="462" t="s">
        <v>1430</v>
      </c>
      <c r="E410" s="462" t="s">
        <v>134</v>
      </c>
      <c r="F410" s="459">
        <f>'пр.6.1.ведом.22-23 (2)'!G970</f>
        <v>1080</v>
      </c>
      <c r="G410" s="459">
        <f>'пр.6.1.ведом.22-23 (2)'!H970</f>
        <v>1188</v>
      </c>
    </row>
    <row r="411" spans="1:7" ht="15.75" hidden="1" x14ac:dyDescent="0.25">
      <c r="A411" s="29" t="s">
        <v>135</v>
      </c>
      <c r="B411" s="462" t="s">
        <v>234</v>
      </c>
      <c r="C411" s="462" t="s">
        <v>215</v>
      </c>
      <c r="D411" s="462" t="s">
        <v>1430</v>
      </c>
      <c r="E411" s="462" t="s">
        <v>145</v>
      </c>
      <c r="F411" s="459">
        <f>'[1]Пр.4 Рд,пр, ЦС,ВР 21'!F400</f>
        <v>0</v>
      </c>
      <c r="G411" s="459">
        <f>'[1]Пр.4 Рд,пр, ЦС,ВР 21'!G400</f>
        <v>0</v>
      </c>
    </row>
    <row r="412" spans="1:7" ht="47.25" hidden="1" x14ac:dyDescent="0.25">
      <c r="A412" s="466" t="s">
        <v>836</v>
      </c>
      <c r="B412" s="462" t="s">
        <v>234</v>
      </c>
      <c r="C412" s="462" t="s">
        <v>215</v>
      </c>
      <c r="D412" s="462" t="s">
        <v>1430</v>
      </c>
      <c r="E412" s="462" t="s">
        <v>147</v>
      </c>
      <c r="F412" s="459">
        <f>'[1]Пр.4 Рд,пр, ЦС,ВР 21'!F401</f>
        <v>0</v>
      </c>
      <c r="G412" s="459">
        <f>'[1]Пр.4 Рд,пр, ЦС,ВР 21'!G401</f>
        <v>0</v>
      </c>
    </row>
    <row r="413" spans="1:7" ht="15.75" hidden="1" x14ac:dyDescent="0.25">
      <c r="A413" s="29" t="s">
        <v>568</v>
      </c>
      <c r="B413" s="462" t="s">
        <v>234</v>
      </c>
      <c r="C413" s="462" t="s">
        <v>215</v>
      </c>
      <c r="D413" s="462" t="s">
        <v>1430</v>
      </c>
      <c r="E413" s="462" t="s">
        <v>138</v>
      </c>
      <c r="F413" s="459">
        <f>'[1]Пр.4 Рд,пр, ЦС,ВР 21'!F402</f>
        <v>0</v>
      </c>
      <c r="G413" s="459">
        <f>'[1]Пр.4 Рд,пр, ЦС,ВР 21'!G402</f>
        <v>0</v>
      </c>
    </row>
    <row r="414" spans="1:7" ht="15.75" hidden="1" x14ac:dyDescent="0.25">
      <c r="A414" s="466" t="s">
        <v>550</v>
      </c>
      <c r="B414" s="462" t="s">
        <v>234</v>
      </c>
      <c r="C414" s="462" t="s">
        <v>215</v>
      </c>
      <c r="D414" s="462" t="s">
        <v>1303</v>
      </c>
      <c r="E414" s="462"/>
      <c r="F414" s="459">
        <f>F415</f>
        <v>0</v>
      </c>
      <c r="G414" s="459">
        <f>G415</f>
        <v>0</v>
      </c>
    </row>
    <row r="415" spans="1:7" ht="31.5" hidden="1" x14ac:dyDescent="0.25">
      <c r="A415" s="466" t="s">
        <v>131</v>
      </c>
      <c r="B415" s="462" t="s">
        <v>234</v>
      </c>
      <c r="C415" s="462" t="s">
        <v>215</v>
      </c>
      <c r="D415" s="462" t="s">
        <v>1303</v>
      </c>
      <c r="E415" s="462" t="s">
        <v>132</v>
      </c>
      <c r="F415" s="459">
        <f>F416</f>
        <v>0</v>
      </c>
      <c r="G415" s="459">
        <f>G416</f>
        <v>0</v>
      </c>
    </row>
    <row r="416" spans="1:7" ht="47.25" hidden="1" x14ac:dyDescent="0.25">
      <c r="A416" s="466" t="s">
        <v>133</v>
      </c>
      <c r="B416" s="462" t="s">
        <v>234</v>
      </c>
      <c r="C416" s="462" t="s">
        <v>215</v>
      </c>
      <c r="D416" s="462" t="s">
        <v>1303</v>
      </c>
      <c r="E416" s="462" t="s">
        <v>134</v>
      </c>
      <c r="F416" s="459">
        <f>'пр.6.1.ведом.22-23 (2)'!G976</f>
        <v>0</v>
      </c>
      <c r="G416" s="459">
        <f>'пр.6.1.ведом.22-23 (2)'!H976</f>
        <v>0</v>
      </c>
    </row>
    <row r="417" spans="1:7" ht="15.75" x14ac:dyDescent="0.25">
      <c r="A417" s="466" t="s">
        <v>555</v>
      </c>
      <c r="B417" s="462" t="s">
        <v>234</v>
      </c>
      <c r="C417" s="462" t="s">
        <v>215</v>
      </c>
      <c r="D417" s="462" t="s">
        <v>1280</v>
      </c>
      <c r="E417" s="462"/>
      <c r="F417" s="459">
        <f>F418</f>
        <v>50</v>
      </c>
      <c r="G417" s="459">
        <f>G418</f>
        <v>55</v>
      </c>
    </row>
    <row r="418" spans="1:7" ht="31.5" x14ac:dyDescent="0.25">
      <c r="A418" s="466" t="s">
        <v>131</v>
      </c>
      <c r="B418" s="462" t="s">
        <v>234</v>
      </c>
      <c r="C418" s="462" t="s">
        <v>215</v>
      </c>
      <c r="D418" s="462" t="s">
        <v>1280</v>
      </c>
      <c r="E418" s="462" t="s">
        <v>132</v>
      </c>
      <c r="F418" s="459">
        <f>F419</f>
        <v>50</v>
      </c>
      <c r="G418" s="459">
        <f>G419</f>
        <v>55</v>
      </c>
    </row>
    <row r="419" spans="1:7" ht="47.25" x14ac:dyDescent="0.25">
      <c r="A419" s="466" t="s">
        <v>133</v>
      </c>
      <c r="B419" s="462" t="s">
        <v>234</v>
      </c>
      <c r="C419" s="462" t="s">
        <v>215</v>
      </c>
      <c r="D419" s="462" t="s">
        <v>1280</v>
      </c>
      <c r="E419" s="462" t="s">
        <v>134</v>
      </c>
      <c r="F419" s="459">
        <f>'пр.6.1.ведом.22-23 (2)'!G979</f>
        <v>50</v>
      </c>
      <c r="G419" s="459">
        <f>'пр.6.1.ведом.22-23 (2)'!H979</f>
        <v>55</v>
      </c>
    </row>
    <row r="420" spans="1:7" ht="31.5" x14ac:dyDescent="0.25">
      <c r="A420" s="320" t="s">
        <v>1445</v>
      </c>
      <c r="B420" s="462" t="s">
        <v>234</v>
      </c>
      <c r="C420" s="462" t="s">
        <v>215</v>
      </c>
      <c r="D420" s="462" t="s">
        <v>1281</v>
      </c>
      <c r="E420" s="462"/>
      <c r="F420" s="459">
        <f>F421+F423</f>
        <v>375</v>
      </c>
      <c r="G420" s="459">
        <f>G421+G423</f>
        <v>375</v>
      </c>
    </row>
    <row r="421" spans="1:7" ht="31.5" x14ac:dyDescent="0.25">
      <c r="A421" s="466" t="s">
        <v>131</v>
      </c>
      <c r="B421" s="462" t="s">
        <v>234</v>
      </c>
      <c r="C421" s="462" t="s">
        <v>215</v>
      </c>
      <c r="D421" s="462" t="s">
        <v>1281</v>
      </c>
      <c r="E421" s="462" t="s">
        <v>132</v>
      </c>
      <c r="F421" s="459">
        <f>F422</f>
        <v>300</v>
      </c>
      <c r="G421" s="459">
        <f>G422</f>
        <v>300</v>
      </c>
    </row>
    <row r="422" spans="1:7" ht="47.25" x14ac:dyDescent="0.25">
      <c r="A422" s="466" t="s">
        <v>133</v>
      </c>
      <c r="B422" s="462" t="s">
        <v>234</v>
      </c>
      <c r="C422" s="462" t="s">
        <v>215</v>
      </c>
      <c r="D422" s="462" t="s">
        <v>1281</v>
      </c>
      <c r="E422" s="462" t="s">
        <v>134</v>
      </c>
      <c r="F422" s="459">
        <f>'пр.6.1.ведом.22-23 (2)'!G982</f>
        <v>300</v>
      </c>
      <c r="G422" s="459">
        <f>'пр.6.1.ведом.22-23 (2)'!H982</f>
        <v>300</v>
      </c>
    </row>
    <row r="423" spans="1:7" ht="15.75" x14ac:dyDescent="0.25">
      <c r="A423" s="29" t="s">
        <v>135</v>
      </c>
      <c r="B423" s="462" t="s">
        <v>234</v>
      </c>
      <c r="C423" s="462" t="s">
        <v>215</v>
      </c>
      <c r="D423" s="462" t="s">
        <v>1281</v>
      </c>
      <c r="E423" s="462" t="s">
        <v>145</v>
      </c>
      <c r="F423" s="459">
        <f>F424</f>
        <v>75</v>
      </c>
      <c r="G423" s="459">
        <f>G424</f>
        <v>75</v>
      </c>
    </row>
    <row r="424" spans="1:7" ht="20.25" customHeight="1" x14ac:dyDescent="0.25">
      <c r="A424" s="29" t="s">
        <v>568</v>
      </c>
      <c r="B424" s="462" t="s">
        <v>234</v>
      </c>
      <c r="C424" s="462" t="s">
        <v>215</v>
      </c>
      <c r="D424" s="462" t="s">
        <v>1281</v>
      </c>
      <c r="E424" s="462" t="s">
        <v>138</v>
      </c>
      <c r="F424" s="459">
        <f>'пр.6.1.ведом.22-23 (2)'!G984</f>
        <v>75</v>
      </c>
      <c r="G424" s="459">
        <f>'пр.6.1.ведом.22-23 (2)'!H984</f>
        <v>75</v>
      </c>
    </row>
    <row r="425" spans="1:7" ht="19.149999999999999" hidden="1" customHeight="1" x14ac:dyDescent="0.25">
      <c r="A425" s="98" t="s">
        <v>559</v>
      </c>
      <c r="B425" s="462" t="s">
        <v>234</v>
      </c>
      <c r="C425" s="462" t="s">
        <v>215</v>
      </c>
      <c r="D425" s="462" t="s">
        <v>1282</v>
      </c>
      <c r="E425" s="462"/>
      <c r="F425" s="459">
        <f>F426</f>
        <v>0</v>
      </c>
      <c r="G425" s="459">
        <f>G426</f>
        <v>130</v>
      </c>
    </row>
    <row r="426" spans="1:7" ht="31.5" hidden="1" x14ac:dyDescent="0.25">
      <c r="A426" s="466" t="s">
        <v>131</v>
      </c>
      <c r="B426" s="462" t="s">
        <v>234</v>
      </c>
      <c r="C426" s="462" t="s">
        <v>215</v>
      </c>
      <c r="D426" s="462" t="s">
        <v>1282</v>
      </c>
      <c r="E426" s="462" t="s">
        <v>132</v>
      </c>
      <c r="F426" s="459">
        <f>F427</f>
        <v>0</v>
      </c>
      <c r="G426" s="459">
        <f>G427</f>
        <v>130</v>
      </c>
    </row>
    <row r="427" spans="1:7" ht="47.25" hidden="1" x14ac:dyDescent="0.25">
      <c r="A427" s="466" t="s">
        <v>133</v>
      </c>
      <c r="B427" s="462" t="s">
        <v>234</v>
      </c>
      <c r="C427" s="462" t="s">
        <v>215</v>
      </c>
      <c r="D427" s="462" t="s">
        <v>1282</v>
      </c>
      <c r="E427" s="462" t="s">
        <v>134</v>
      </c>
      <c r="F427" s="459">
        <f>'пр.6.1.ведом.22-23 (2)'!G987</f>
        <v>0</v>
      </c>
      <c r="G427" s="459">
        <f>'пр.6.1.ведом.22-23 (2)'!H987</f>
        <v>130</v>
      </c>
    </row>
    <row r="428" spans="1:7" ht="31.5" x14ac:dyDescent="0.25">
      <c r="A428" s="228" t="s">
        <v>1092</v>
      </c>
      <c r="B428" s="462" t="s">
        <v>234</v>
      </c>
      <c r="C428" s="462" t="s">
        <v>215</v>
      </c>
      <c r="D428" s="462" t="s">
        <v>1283</v>
      </c>
      <c r="E428" s="462"/>
      <c r="F428" s="467">
        <f>F429</f>
        <v>50</v>
      </c>
      <c r="G428" s="467">
        <f>G429</f>
        <v>60</v>
      </c>
    </row>
    <row r="429" spans="1:7" ht="31.5" x14ac:dyDescent="0.25">
      <c r="A429" s="466" t="s">
        <v>131</v>
      </c>
      <c r="B429" s="462" t="s">
        <v>234</v>
      </c>
      <c r="C429" s="462" t="s">
        <v>215</v>
      </c>
      <c r="D429" s="462" t="s">
        <v>1283</v>
      </c>
      <c r="E429" s="462" t="s">
        <v>132</v>
      </c>
      <c r="F429" s="467">
        <f>F430</f>
        <v>50</v>
      </c>
      <c r="G429" s="467">
        <f>G430</f>
        <v>60</v>
      </c>
    </row>
    <row r="430" spans="1:7" ht="47.25" x14ac:dyDescent="0.25">
      <c r="A430" s="466" t="s">
        <v>133</v>
      </c>
      <c r="B430" s="462" t="s">
        <v>234</v>
      </c>
      <c r="C430" s="462" t="s">
        <v>215</v>
      </c>
      <c r="D430" s="462" t="s">
        <v>1283</v>
      </c>
      <c r="E430" s="462" t="s">
        <v>134</v>
      </c>
      <c r="F430" s="467">
        <f>'пр.6.1.ведом.22-23 (2)'!G990</f>
        <v>50</v>
      </c>
      <c r="G430" s="467">
        <f>'пр.6.1.ведом.22-23 (2)'!H990</f>
        <v>60</v>
      </c>
    </row>
    <row r="431" spans="1:7" ht="41.25" hidden="1" customHeight="1" x14ac:dyDescent="0.25">
      <c r="A431" s="464" t="s">
        <v>891</v>
      </c>
      <c r="B431" s="7" t="s">
        <v>234</v>
      </c>
      <c r="C431" s="7" t="s">
        <v>215</v>
      </c>
      <c r="D431" s="465" t="s">
        <v>1301</v>
      </c>
      <c r="E431" s="465"/>
      <c r="F431" s="458">
        <f>F432+F435</f>
        <v>0</v>
      </c>
      <c r="G431" s="458">
        <f>G432+G435</f>
        <v>0</v>
      </c>
    </row>
    <row r="432" spans="1:7" ht="47.25" hidden="1" x14ac:dyDescent="0.25">
      <c r="A432" s="466" t="s">
        <v>690</v>
      </c>
      <c r="B432" s="462" t="s">
        <v>234</v>
      </c>
      <c r="C432" s="462" t="s">
        <v>215</v>
      </c>
      <c r="D432" s="462" t="s">
        <v>1334</v>
      </c>
      <c r="E432" s="462"/>
      <c r="F432" s="459">
        <f>F433</f>
        <v>0</v>
      </c>
      <c r="G432" s="459">
        <f t="shared" ref="G432:G463" si="32">F432</f>
        <v>0</v>
      </c>
    </row>
    <row r="433" spans="1:7" ht="31.5" hidden="1" x14ac:dyDescent="0.25">
      <c r="A433" s="466" t="s">
        <v>131</v>
      </c>
      <c r="B433" s="462" t="s">
        <v>234</v>
      </c>
      <c r="C433" s="462" t="s">
        <v>215</v>
      </c>
      <c r="D433" s="462" t="s">
        <v>1334</v>
      </c>
      <c r="E433" s="462" t="s">
        <v>132</v>
      </c>
      <c r="F433" s="459">
        <f>F434</f>
        <v>0</v>
      </c>
      <c r="G433" s="459">
        <f t="shared" si="32"/>
        <v>0</v>
      </c>
    </row>
    <row r="434" spans="1:7" ht="47.25" hidden="1" x14ac:dyDescent="0.25">
      <c r="A434" s="466" t="s">
        <v>133</v>
      </c>
      <c r="B434" s="462" t="s">
        <v>234</v>
      </c>
      <c r="C434" s="462" t="s">
        <v>215</v>
      </c>
      <c r="D434" s="462" t="s">
        <v>1334</v>
      </c>
      <c r="E434" s="462" t="s">
        <v>134</v>
      </c>
      <c r="F434" s="459">
        <f>'[1]Пр.4 Рд,пр, ЦС,ВР 21'!F423</f>
        <v>0</v>
      </c>
      <c r="G434" s="459">
        <f t="shared" si="32"/>
        <v>0</v>
      </c>
    </row>
    <row r="435" spans="1:7" ht="63" hidden="1" x14ac:dyDescent="0.25">
      <c r="A435" s="466" t="s">
        <v>1073</v>
      </c>
      <c r="B435" s="462" t="s">
        <v>234</v>
      </c>
      <c r="C435" s="462" t="s">
        <v>215</v>
      </c>
      <c r="D435" s="462" t="s">
        <v>1300</v>
      </c>
      <c r="E435" s="462"/>
      <c r="F435" s="459">
        <f>F436</f>
        <v>0</v>
      </c>
      <c r="G435" s="459">
        <f>G436</f>
        <v>0</v>
      </c>
    </row>
    <row r="436" spans="1:7" ht="31.5" hidden="1" x14ac:dyDescent="0.25">
      <c r="A436" s="466" t="s">
        <v>131</v>
      </c>
      <c r="B436" s="462" t="s">
        <v>234</v>
      </c>
      <c r="C436" s="462" t="s">
        <v>215</v>
      </c>
      <c r="D436" s="462" t="s">
        <v>1300</v>
      </c>
      <c r="E436" s="462" t="s">
        <v>132</v>
      </c>
      <c r="F436" s="459">
        <f>F437</f>
        <v>0</v>
      </c>
      <c r="G436" s="459">
        <f>G437</f>
        <v>0</v>
      </c>
    </row>
    <row r="437" spans="1:7" ht="47.25" hidden="1" x14ac:dyDescent="0.25">
      <c r="A437" s="466" t="s">
        <v>133</v>
      </c>
      <c r="B437" s="462" t="s">
        <v>234</v>
      </c>
      <c r="C437" s="462" t="s">
        <v>215</v>
      </c>
      <c r="D437" s="462" t="s">
        <v>1300</v>
      </c>
      <c r="E437" s="462" t="s">
        <v>134</v>
      </c>
      <c r="F437" s="459">
        <f>'пр.6.1.ведом.22-23 (2)'!G997</f>
        <v>0</v>
      </c>
      <c r="G437" s="459">
        <f>'пр.6.1.ведом.22-23 (2)'!H997</f>
        <v>0</v>
      </c>
    </row>
    <row r="438" spans="1:7" ht="78.75" x14ac:dyDescent="0.25">
      <c r="A438" s="464" t="s">
        <v>1547</v>
      </c>
      <c r="B438" s="465" t="s">
        <v>234</v>
      </c>
      <c r="C438" s="465" t="s">
        <v>215</v>
      </c>
      <c r="D438" s="465" t="s">
        <v>711</v>
      </c>
      <c r="E438" s="465"/>
      <c r="F438" s="458">
        <f t="shared" ref="F438:G438" si="33">F440</f>
        <v>500</v>
      </c>
      <c r="G438" s="458">
        <f t="shared" si="33"/>
        <v>500</v>
      </c>
    </row>
    <row r="439" spans="1:7" ht="31.5" x14ac:dyDescent="0.25">
      <c r="A439" s="464" t="s">
        <v>1069</v>
      </c>
      <c r="B439" s="465" t="s">
        <v>234</v>
      </c>
      <c r="C439" s="465" t="s">
        <v>215</v>
      </c>
      <c r="D439" s="465" t="s">
        <v>835</v>
      </c>
      <c r="E439" s="462"/>
      <c r="F439" s="458">
        <f t="shared" ref="F439:G441" si="34">F440</f>
        <v>500</v>
      </c>
      <c r="G439" s="458">
        <f t="shared" si="34"/>
        <v>500</v>
      </c>
    </row>
    <row r="440" spans="1:7" ht="31.5" x14ac:dyDescent="0.25">
      <c r="A440" s="250" t="s">
        <v>710</v>
      </c>
      <c r="B440" s="462" t="s">
        <v>234</v>
      </c>
      <c r="C440" s="462" t="s">
        <v>215</v>
      </c>
      <c r="D440" s="462" t="s">
        <v>835</v>
      </c>
      <c r="E440" s="462"/>
      <c r="F440" s="459">
        <f t="shared" si="34"/>
        <v>500</v>
      </c>
      <c r="G440" s="459">
        <f t="shared" si="34"/>
        <v>500</v>
      </c>
    </row>
    <row r="441" spans="1:7" ht="31.5" x14ac:dyDescent="0.25">
      <c r="A441" s="466" t="s">
        <v>131</v>
      </c>
      <c r="B441" s="462" t="s">
        <v>234</v>
      </c>
      <c r="C441" s="462" t="s">
        <v>215</v>
      </c>
      <c r="D441" s="462" t="s">
        <v>835</v>
      </c>
      <c r="E441" s="462" t="s">
        <v>132</v>
      </c>
      <c r="F441" s="459">
        <f t="shared" si="34"/>
        <v>500</v>
      </c>
      <c r="G441" s="459">
        <f t="shared" si="34"/>
        <v>500</v>
      </c>
    </row>
    <row r="442" spans="1:7" ht="47.25" x14ac:dyDescent="0.25">
      <c r="A442" s="466" t="s">
        <v>133</v>
      </c>
      <c r="B442" s="462" t="s">
        <v>234</v>
      </c>
      <c r="C442" s="462" t="s">
        <v>215</v>
      </c>
      <c r="D442" s="462" t="s">
        <v>835</v>
      </c>
      <c r="E442" s="462" t="s">
        <v>134</v>
      </c>
      <c r="F442" s="459">
        <f>'пр.6.1.ведом.22-23 (2)'!G1002</f>
        <v>500</v>
      </c>
      <c r="G442" s="459">
        <f>'пр.6.1.ведом.22-23 (2)'!H1002</f>
        <v>500</v>
      </c>
    </row>
    <row r="443" spans="1:7" ht="31.5" x14ac:dyDescent="0.25">
      <c r="A443" s="470" t="s">
        <v>569</v>
      </c>
      <c r="B443" s="7" t="s">
        <v>234</v>
      </c>
      <c r="C443" s="7" t="s">
        <v>234</v>
      </c>
      <c r="D443" s="7"/>
      <c r="E443" s="7"/>
      <c r="F443" s="458">
        <f>F444+F456+F473</f>
        <v>25304.5</v>
      </c>
      <c r="G443" s="458">
        <f>G444+G456+G473</f>
        <v>25304.5</v>
      </c>
    </row>
    <row r="444" spans="1:7" ht="31.5" x14ac:dyDescent="0.25">
      <c r="A444" s="464" t="s">
        <v>917</v>
      </c>
      <c r="B444" s="465" t="s">
        <v>234</v>
      </c>
      <c r="C444" s="465" t="s">
        <v>234</v>
      </c>
      <c r="D444" s="465" t="s">
        <v>858</v>
      </c>
      <c r="E444" s="465"/>
      <c r="F444" s="458">
        <f>F445</f>
        <v>12879.3</v>
      </c>
      <c r="G444" s="458">
        <f>G445</f>
        <v>12879.3</v>
      </c>
    </row>
    <row r="445" spans="1:7" ht="15.75" x14ac:dyDescent="0.25">
      <c r="A445" s="464" t="s">
        <v>918</v>
      </c>
      <c r="B445" s="465" t="s">
        <v>234</v>
      </c>
      <c r="C445" s="465" t="s">
        <v>234</v>
      </c>
      <c r="D445" s="465" t="s">
        <v>859</v>
      </c>
      <c r="E445" s="465"/>
      <c r="F445" s="458">
        <f>F446+F453</f>
        <v>12879.3</v>
      </c>
      <c r="G445" s="458">
        <f>G446+G453</f>
        <v>12879.3</v>
      </c>
    </row>
    <row r="446" spans="1:7" ht="31.5" x14ac:dyDescent="0.25">
      <c r="A446" s="466" t="s">
        <v>897</v>
      </c>
      <c r="B446" s="462" t="s">
        <v>234</v>
      </c>
      <c r="C446" s="462" t="s">
        <v>234</v>
      </c>
      <c r="D446" s="462" t="s">
        <v>860</v>
      </c>
      <c r="E446" s="462"/>
      <c r="F446" s="459">
        <f>F447+F449+F451</f>
        <v>12511.3</v>
      </c>
      <c r="G446" s="459">
        <f>G447+G449+G451</f>
        <v>12511.3</v>
      </c>
    </row>
    <row r="447" spans="1:7" ht="94.5" x14ac:dyDescent="0.25">
      <c r="A447" s="466" t="s">
        <v>127</v>
      </c>
      <c r="B447" s="462" t="s">
        <v>234</v>
      </c>
      <c r="C447" s="462" t="s">
        <v>234</v>
      </c>
      <c r="D447" s="462" t="s">
        <v>860</v>
      </c>
      <c r="E447" s="462" t="s">
        <v>128</v>
      </c>
      <c r="F447" s="459">
        <f>F448</f>
        <v>12439.3</v>
      </c>
      <c r="G447" s="459">
        <f>G448</f>
        <v>12439.3</v>
      </c>
    </row>
    <row r="448" spans="1:7" ht="36.75" customHeight="1" x14ac:dyDescent="0.25">
      <c r="A448" s="466" t="s">
        <v>129</v>
      </c>
      <c r="B448" s="462" t="s">
        <v>234</v>
      </c>
      <c r="C448" s="462" t="s">
        <v>234</v>
      </c>
      <c r="D448" s="462" t="s">
        <v>860</v>
      </c>
      <c r="E448" s="462" t="s">
        <v>130</v>
      </c>
      <c r="F448" s="459">
        <f>'пр.6.1.ведом.22-23 (2)'!G1008</f>
        <v>12439.3</v>
      </c>
      <c r="G448" s="459">
        <f>'пр.6.1.ведом.22-23 (2)'!H1008</f>
        <v>12439.3</v>
      </c>
    </row>
    <row r="449" spans="1:7" ht="31.5" x14ac:dyDescent="0.25">
      <c r="A449" s="466" t="s">
        <v>131</v>
      </c>
      <c r="B449" s="462" t="s">
        <v>234</v>
      </c>
      <c r="C449" s="462" t="s">
        <v>234</v>
      </c>
      <c r="D449" s="462" t="s">
        <v>860</v>
      </c>
      <c r="E449" s="462" t="s">
        <v>132</v>
      </c>
      <c r="F449" s="459">
        <f>F450</f>
        <v>25</v>
      </c>
      <c r="G449" s="459">
        <f>G450</f>
        <v>25</v>
      </c>
    </row>
    <row r="450" spans="1:7" ht="47.25" x14ac:dyDescent="0.25">
      <c r="A450" s="466" t="s">
        <v>133</v>
      </c>
      <c r="B450" s="462" t="s">
        <v>234</v>
      </c>
      <c r="C450" s="462" t="s">
        <v>234</v>
      </c>
      <c r="D450" s="462" t="s">
        <v>860</v>
      </c>
      <c r="E450" s="462" t="s">
        <v>134</v>
      </c>
      <c r="F450" s="459">
        <f>'пр.6.1.ведом.22-23 (2)'!G1010</f>
        <v>25</v>
      </c>
      <c r="G450" s="459">
        <f>'пр.6.1.ведом.22-23 (2)'!H1010</f>
        <v>25</v>
      </c>
    </row>
    <row r="451" spans="1:7" ht="15.75" x14ac:dyDescent="0.25">
      <c r="A451" s="466" t="s">
        <v>135</v>
      </c>
      <c r="B451" s="462" t="s">
        <v>234</v>
      </c>
      <c r="C451" s="462" t="s">
        <v>234</v>
      </c>
      <c r="D451" s="462" t="s">
        <v>860</v>
      </c>
      <c r="E451" s="462" t="s">
        <v>145</v>
      </c>
      <c r="F451" s="459">
        <f>F452</f>
        <v>47</v>
      </c>
      <c r="G451" s="459">
        <f>G452</f>
        <v>47</v>
      </c>
    </row>
    <row r="452" spans="1:7" ht="21.75" customHeight="1" x14ac:dyDescent="0.25">
      <c r="A452" s="466" t="s">
        <v>568</v>
      </c>
      <c r="B452" s="462" t="s">
        <v>234</v>
      </c>
      <c r="C452" s="462" t="s">
        <v>234</v>
      </c>
      <c r="D452" s="462" t="s">
        <v>860</v>
      </c>
      <c r="E452" s="462" t="s">
        <v>138</v>
      </c>
      <c r="F452" s="459">
        <f>'пр.6.1.ведом.22-23 (2)'!G1012</f>
        <v>47</v>
      </c>
      <c r="G452" s="459">
        <f>'пр.6.1.ведом.22-23 (2)'!H1012</f>
        <v>47</v>
      </c>
    </row>
    <row r="453" spans="1:7" ht="47.25" x14ac:dyDescent="0.25">
      <c r="A453" s="466" t="s">
        <v>839</v>
      </c>
      <c r="B453" s="462" t="s">
        <v>234</v>
      </c>
      <c r="C453" s="462" t="s">
        <v>234</v>
      </c>
      <c r="D453" s="462" t="s">
        <v>862</v>
      </c>
      <c r="E453" s="462"/>
      <c r="F453" s="459">
        <f>F454</f>
        <v>368</v>
      </c>
      <c r="G453" s="459">
        <f>G454</f>
        <v>368</v>
      </c>
    </row>
    <row r="454" spans="1:7" ht="94.5" x14ac:dyDescent="0.25">
      <c r="A454" s="466" t="s">
        <v>127</v>
      </c>
      <c r="B454" s="462" t="s">
        <v>234</v>
      </c>
      <c r="C454" s="462" t="s">
        <v>234</v>
      </c>
      <c r="D454" s="462" t="s">
        <v>862</v>
      </c>
      <c r="E454" s="462" t="s">
        <v>128</v>
      </c>
      <c r="F454" s="459">
        <f>F455</f>
        <v>368</v>
      </c>
      <c r="G454" s="459">
        <f>G455</f>
        <v>368</v>
      </c>
    </row>
    <row r="455" spans="1:7" ht="33" customHeight="1" x14ac:dyDescent="0.25">
      <c r="A455" s="466" t="s">
        <v>129</v>
      </c>
      <c r="B455" s="462" t="s">
        <v>234</v>
      </c>
      <c r="C455" s="462" t="s">
        <v>234</v>
      </c>
      <c r="D455" s="462" t="s">
        <v>862</v>
      </c>
      <c r="E455" s="462" t="s">
        <v>130</v>
      </c>
      <c r="F455" s="459">
        <f>'пр.6.1.ведом.22-23 (2)'!G1015</f>
        <v>368</v>
      </c>
      <c r="G455" s="459">
        <f>'пр.6.1.ведом.22-23 (2)'!H1015</f>
        <v>368</v>
      </c>
    </row>
    <row r="456" spans="1:7" ht="15.75" x14ac:dyDescent="0.25">
      <c r="A456" s="464" t="s">
        <v>141</v>
      </c>
      <c r="B456" s="465" t="s">
        <v>234</v>
      </c>
      <c r="C456" s="465" t="s">
        <v>234</v>
      </c>
      <c r="D456" s="465" t="s">
        <v>866</v>
      </c>
      <c r="E456" s="465"/>
      <c r="F456" s="458">
        <f>F457+F464</f>
        <v>12425.2</v>
      </c>
      <c r="G456" s="458">
        <f>G457+G464</f>
        <v>12425.2</v>
      </c>
    </row>
    <row r="457" spans="1:7" ht="31.5" x14ac:dyDescent="0.25">
      <c r="A457" s="464" t="s">
        <v>870</v>
      </c>
      <c r="B457" s="465" t="s">
        <v>234</v>
      </c>
      <c r="C457" s="465" t="s">
        <v>234</v>
      </c>
      <c r="D457" s="465" t="s">
        <v>865</v>
      </c>
      <c r="E457" s="465"/>
      <c r="F457" s="380">
        <f>F458+F461</f>
        <v>982</v>
      </c>
      <c r="G457" s="380">
        <f>G458+G461</f>
        <v>982</v>
      </c>
    </row>
    <row r="458" spans="1:7" ht="31.5" x14ac:dyDescent="0.25">
      <c r="A458" s="466" t="s">
        <v>570</v>
      </c>
      <c r="B458" s="462" t="s">
        <v>234</v>
      </c>
      <c r="C458" s="462" t="s">
        <v>234</v>
      </c>
      <c r="D458" s="462" t="s">
        <v>984</v>
      </c>
      <c r="E458" s="462"/>
      <c r="F458" s="459">
        <f>F459</f>
        <v>982</v>
      </c>
      <c r="G458" s="459">
        <f>G459</f>
        <v>982</v>
      </c>
    </row>
    <row r="459" spans="1:7" ht="15.75" x14ac:dyDescent="0.25">
      <c r="A459" s="466" t="s">
        <v>135</v>
      </c>
      <c r="B459" s="462" t="s">
        <v>234</v>
      </c>
      <c r="C459" s="462" t="s">
        <v>234</v>
      </c>
      <c r="D459" s="462" t="s">
        <v>984</v>
      </c>
      <c r="E459" s="462" t="s">
        <v>145</v>
      </c>
      <c r="F459" s="459">
        <f>F460</f>
        <v>982</v>
      </c>
      <c r="G459" s="459">
        <f>G460</f>
        <v>982</v>
      </c>
    </row>
    <row r="460" spans="1:7" ht="63" x14ac:dyDescent="0.25">
      <c r="A460" s="466" t="s">
        <v>184</v>
      </c>
      <c r="B460" s="462" t="s">
        <v>234</v>
      </c>
      <c r="C460" s="462" t="s">
        <v>234</v>
      </c>
      <c r="D460" s="462" t="s">
        <v>984</v>
      </c>
      <c r="E460" s="462" t="s">
        <v>160</v>
      </c>
      <c r="F460" s="459">
        <f>'пр.6.1.ведом.22-23 (2)'!G1020</f>
        <v>982</v>
      </c>
      <c r="G460" s="459">
        <f>'пр.6.1.ведом.22-23 (2)'!H1020</f>
        <v>982</v>
      </c>
    </row>
    <row r="461" spans="1:7" ht="31.5" hidden="1" x14ac:dyDescent="0.25">
      <c r="A461" s="466" t="s">
        <v>823</v>
      </c>
      <c r="B461" s="462" t="s">
        <v>234</v>
      </c>
      <c r="C461" s="462" t="s">
        <v>234</v>
      </c>
      <c r="D461" s="462" t="s">
        <v>1074</v>
      </c>
      <c r="E461" s="462"/>
      <c r="F461" s="459">
        <f>'[1]Пр.4 Рд,пр, ЦС,ВР 21'!F452</f>
        <v>0</v>
      </c>
      <c r="G461" s="459">
        <f t="shared" si="32"/>
        <v>0</v>
      </c>
    </row>
    <row r="462" spans="1:7" ht="15.75" hidden="1" x14ac:dyDescent="0.25">
      <c r="A462" s="466" t="s">
        <v>135</v>
      </c>
      <c r="B462" s="462" t="s">
        <v>234</v>
      </c>
      <c r="C462" s="462" t="s">
        <v>234</v>
      </c>
      <c r="D462" s="462" t="s">
        <v>1074</v>
      </c>
      <c r="E462" s="462" t="s">
        <v>145</v>
      </c>
      <c r="F462" s="459">
        <f>'[1]Пр.4 Рд,пр, ЦС,ВР 21'!F453</f>
        <v>0</v>
      </c>
      <c r="G462" s="459">
        <f t="shared" si="32"/>
        <v>0</v>
      </c>
    </row>
    <row r="463" spans="1:7" ht="63" hidden="1" x14ac:dyDescent="0.25">
      <c r="A463" s="466" t="s">
        <v>184</v>
      </c>
      <c r="B463" s="462" t="s">
        <v>234</v>
      </c>
      <c r="C463" s="462" t="s">
        <v>234</v>
      </c>
      <c r="D463" s="462" t="s">
        <v>1074</v>
      </c>
      <c r="E463" s="462" t="s">
        <v>160</v>
      </c>
      <c r="F463" s="459">
        <f>'[1]Пр.4 Рд,пр, ЦС,ВР 21'!F454</f>
        <v>0</v>
      </c>
      <c r="G463" s="459">
        <f t="shared" si="32"/>
        <v>0</v>
      </c>
    </row>
    <row r="464" spans="1:7" ht="47.25" x14ac:dyDescent="0.25">
      <c r="A464" s="464" t="s">
        <v>929</v>
      </c>
      <c r="B464" s="465" t="s">
        <v>234</v>
      </c>
      <c r="C464" s="465" t="s">
        <v>234</v>
      </c>
      <c r="D464" s="465" t="s">
        <v>914</v>
      </c>
      <c r="E464" s="465"/>
      <c r="F464" s="380">
        <f>F465+F470</f>
        <v>11443.2</v>
      </c>
      <c r="G464" s="380">
        <f>G465+G470</f>
        <v>11443.2</v>
      </c>
    </row>
    <row r="465" spans="1:10" ht="31.5" x14ac:dyDescent="0.25">
      <c r="A465" s="466" t="s">
        <v>903</v>
      </c>
      <c r="B465" s="462" t="s">
        <v>234</v>
      </c>
      <c r="C465" s="462" t="s">
        <v>234</v>
      </c>
      <c r="D465" s="462" t="s">
        <v>915</v>
      </c>
      <c r="E465" s="462"/>
      <c r="F465" s="459">
        <f>F466+F469</f>
        <v>10845.2</v>
      </c>
      <c r="G465" s="459">
        <f>G466+G469</f>
        <v>10845.2</v>
      </c>
    </row>
    <row r="466" spans="1:10" ht="94.5" x14ac:dyDescent="0.25">
      <c r="A466" s="466" t="s">
        <v>127</v>
      </c>
      <c r="B466" s="462" t="s">
        <v>234</v>
      </c>
      <c r="C466" s="462" t="s">
        <v>234</v>
      </c>
      <c r="D466" s="462" t="s">
        <v>915</v>
      </c>
      <c r="E466" s="462" t="s">
        <v>128</v>
      </c>
      <c r="F466" s="459">
        <f>F467</f>
        <v>9193</v>
      </c>
      <c r="G466" s="459">
        <f>G467</f>
        <v>9193</v>
      </c>
    </row>
    <row r="467" spans="1:10" ht="31.5" x14ac:dyDescent="0.25">
      <c r="A467" s="466" t="s">
        <v>342</v>
      </c>
      <c r="B467" s="462" t="s">
        <v>234</v>
      </c>
      <c r="C467" s="462" t="s">
        <v>234</v>
      </c>
      <c r="D467" s="462" t="s">
        <v>915</v>
      </c>
      <c r="E467" s="462" t="s">
        <v>209</v>
      </c>
      <c r="F467" s="459">
        <f>'пр.6.1.ведом.22-23 (2)'!G1027</f>
        <v>9193</v>
      </c>
      <c r="G467" s="459">
        <f>'пр.6.1.ведом.22-23 (2)'!H1027</f>
        <v>9193</v>
      </c>
    </row>
    <row r="468" spans="1:10" ht="31.5" x14ac:dyDescent="0.25">
      <c r="A468" s="466" t="s">
        <v>131</v>
      </c>
      <c r="B468" s="462" t="s">
        <v>234</v>
      </c>
      <c r="C468" s="462" t="s">
        <v>234</v>
      </c>
      <c r="D468" s="462" t="s">
        <v>915</v>
      </c>
      <c r="E468" s="462" t="s">
        <v>132</v>
      </c>
      <c r="F468" s="459">
        <f>F469</f>
        <v>1652.2</v>
      </c>
      <c r="G468" s="459">
        <f>G469</f>
        <v>1652.2</v>
      </c>
    </row>
    <row r="469" spans="1:10" ht="47.25" x14ac:dyDescent="0.25">
      <c r="A469" s="466" t="s">
        <v>133</v>
      </c>
      <c r="B469" s="462" t="s">
        <v>234</v>
      </c>
      <c r="C469" s="462" t="s">
        <v>234</v>
      </c>
      <c r="D469" s="462" t="s">
        <v>915</v>
      </c>
      <c r="E469" s="462" t="s">
        <v>134</v>
      </c>
      <c r="F469" s="459">
        <f>'пр.6.1.ведом.22-23 (2)'!G1029</f>
        <v>1652.2</v>
      </c>
      <c r="G469" s="459">
        <f>'пр.6.1.ведом.22-23 (2)'!H1029</f>
        <v>1652.2</v>
      </c>
    </row>
    <row r="470" spans="1:10" ht="47.25" x14ac:dyDescent="0.25">
      <c r="A470" s="466" t="s">
        <v>839</v>
      </c>
      <c r="B470" s="462" t="s">
        <v>234</v>
      </c>
      <c r="C470" s="462" t="s">
        <v>234</v>
      </c>
      <c r="D470" s="462" t="s">
        <v>916</v>
      </c>
      <c r="E470" s="462"/>
      <c r="F470" s="459">
        <f>F471</f>
        <v>598</v>
      </c>
      <c r="G470" s="459">
        <f>G471</f>
        <v>598</v>
      </c>
    </row>
    <row r="471" spans="1:10" ht="94.5" x14ac:dyDescent="0.25">
      <c r="A471" s="466" t="s">
        <v>127</v>
      </c>
      <c r="B471" s="462" t="s">
        <v>234</v>
      </c>
      <c r="C471" s="462" t="s">
        <v>234</v>
      </c>
      <c r="D471" s="462" t="s">
        <v>916</v>
      </c>
      <c r="E471" s="462" t="s">
        <v>128</v>
      </c>
      <c r="F471" s="459">
        <f>F472</f>
        <v>598</v>
      </c>
      <c r="G471" s="459">
        <f>G472</f>
        <v>598</v>
      </c>
    </row>
    <row r="472" spans="1:10" ht="39.75" customHeight="1" x14ac:dyDescent="0.25">
      <c r="A472" s="466" t="s">
        <v>129</v>
      </c>
      <c r="B472" s="462" t="s">
        <v>234</v>
      </c>
      <c r="C472" s="462" t="s">
        <v>234</v>
      </c>
      <c r="D472" s="462" t="s">
        <v>916</v>
      </c>
      <c r="E472" s="462" t="s">
        <v>130</v>
      </c>
      <c r="F472" s="459">
        <f>'пр.6.1.ведом.22-23 (2)'!G1032</f>
        <v>598</v>
      </c>
      <c r="G472" s="459">
        <f>'пр.6.1.ведом.22-23 (2)'!H1032</f>
        <v>598</v>
      </c>
    </row>
    <row r="473" spans="1:10" ht="63" hidden="1" x14ac:dyDescent="0.25">
      <c r="A473" s="34" t="s">
        <v>1368</v>
      </c>
      <c r="B473" s="465" t="s">
        <v>234</v>
      </c>
      <c r="C473" s="465" t="s">
        <v>234</v>
      </c>
      <c r="D473" s="465" t="s">
        <v>324</v>
      </c>
      <c r="E473" s="465"/>
      <c r="F473" s="463">
        <f t="shared" ref="F473:G476" si="35">F474</f>
        <v>0</v>
      </c>
      <c r="G473" s="463">
        <f t="shared" si="35"/>
        <v>0</v>
      </c>
    </row>
    <row r="474" spans="1:10" ht="63" hidden="1" x14ac:dyDescent="0.25">
      <c r="A474" s="34" t="s">
        <v>1009</v>
      </c>
      <c r="B474" s="465" t="s">
        <v>234</v>
      </c>
      <c r="C474" s="465" t="s">
        <v>234</v>
      </c>
      <c r="D474" s="465" t="s">
        <v>934</v>
      </c>
      <c r="E474" s="465"/>
      <c r="F474" s="463">
        <f t="shared" si="35"/>
        <v>0</v>
      </c>
      <c r="G474" s="463">
        <f t="shared" si="35"/>
        <v>0</v>
      </c>
    </row>
    <row r="475" spans="1:10" ht="47.25" hidden="1" x14ac:dyDescent="0.25">
      <c r="A475" s="31" t="s">
        <v>1083</v>
      </c>
      <c r="B475" s="462" t="s">
        <v>234</v>
      </c>
      <c r="C475" s="462" t="s">
        <v>234</v>
      </c>
      <c r="D475" s="462" t="s">
        <v>1026</v>
      </c>
      <c r="E475" s="462"/>
      <c r="F475" s="467">
        <f t="shared" si="35"/>
        <v>0</v>
      </c>
      <c r="G475" s="467">
        <f t="shared" si="35"/>
        <v>0</v>
      </c>
    </row>
    <row r="476" spans="1:10" ht="31.5" hidden="1" x14ac:dyDescent="0.25">
      <c r="A476" s="466" t="s">
        <v>131</v>
      </c>
      <c r="B476" s="462" t="s">
        <v>234</v>
      </c>
      <c r="C476" s="462" t="s">
        <v>234</v>
      </c>
      <c r="D476" s="462" t="s">
        <v>1026</v>
      </c>
      <c r="E476" s="462" t="s">
        <v>132</v>
      </c>
      <c r="F476" s="467">
        <f t="shared" si="35"/>
        <v>0</v>
      </c>
      <c r="G476" s="467">
        <f t="shared" si="35"/>
        <v>0</v>
      </c>
    </row>
    <row r="477" spans="1:10" ht="47.25" hidden="1" x14ac:dyDescent="0.25">
      <c r="A477" s="466" t="s">
        <v>133</v>
      </c>
      <c r="B477" s="462" t="s">
        <v>234</v>
      </c>
      <c r="C477" s="462" t="s">
        <v>234</v>
      </c>
      <c r="D477" s="462" t="s">
        <v>1026</v>
      </c>
      <c r="E477" s="462" t="s">
        <v>134</v>
      </c>
      <c r="F477" s="467">
        <f>'пр.6.1.ведом.22-23 (2)'!G1037</f>
        <v>0</v>
      </c>
      <c r="G477" s="459">
        <f>'пр.6.1.ведом.22-23 (2)'!H1037</f>
        <v>0</v>
      </c>
    </row>
    <row r="478" spans="1:10" ht="15.75" x14ac:dyDescent="0.25">
      <c r="A478" s="470" t="s">
        <v>263</v>
      </c>
      <c r="B478" s="7" t="s">
        <v>264</v>
      </c>
      <c r="C478" s="469"/>
      <c r="D478" s="469"/>
      <c r="E478" s="469"/>
      <c r="F478" s="458">
        <f>F479+F542+F714+F620+F689</f>
        <v>366206.80999999994</v>
      </c>
      <c r="G478" s="458">
        <f>G479+G542+G714+G620+G689</f>
        <v>389340.16000000003</v>
      </c>
      <c r="H478" s="224"/>
      <c r="I478" s="224"/>
      <c r="J478" s="224"/>
    </row>
    <row r="479" spans="1:10" ht="15.75" x14ac:dyDescent="0.25">
      <c r="A479" s="470" t="s">
        <v>404</v>
      </c>
      <c r="B479" s="7" t="s">
        <v>264</v>
      </c>
      <c r="C479" s="7" t="s">
        <v>118</v>
      </c>
      <c r="D479" s="7"/>
      <c r="E479" s="7"/>
      <c r="F479" s="458">
        <f>F480+F532+F537</f>
        <v>102250.3</v>
      </c>
      <c r="G479" s="458">
        <f>G480+G532+G537</f>
        <v>105829.20000000001</v>
      </c>
    </row>
    <row r="480" spans="1:10" ht="47.25" x14ac:dyDescent="0.25">
      <c r="A480" s="464" t="s">
        <v>1367</v>
      </c>
      <c r="B480" s="465" t="s">
        <v>264</v>
      </c>
      <c r="C480" s="465" t="s">
        <v>118</v>
      </c>
      <c r="D480" s="465" t="s">
        <v>406</v>
      </c>
      <c r="E480" s="465"/>
      <c r="F480" s="458">
        <f>F481+F485+F498+F508+F518+F525</f>
        <v>101599.40000000001</v>
      </c>
      <c r="G480" s="458">
        <f>G481+G485+G498+G508+G518+G525</f>
        <v>105210.40000000001</v>
      </c>
    </row>
    <row r="481" spans="1:7" ht="47.25" x14ac:dyDescent="0.25">
      <c r="A481" s="464" t="s">
        <v>937</v>
      </c>
      <c r="B481" s="465" t="s">
        <v>264</v>
      </c>
      <c r="C481" s="465" t="s">
        <v>118</v>
      </c>
      <c r="D481" s="465" t="s">
        <v>1235</v>
      </c>
      <c r="E481" s="465"/>
      <c r="F481" s="458">
        <f t="shared" ref="F481:G483" si="36">F482</f>
        <v>14795.6</v>
      </c>
      <c r="G481" s="458">
        <f t="shared" si="36"/>
        <v>14795.6</v>
      </c>
    </row>
    <row r="482" spans="1:7" ht="47.25" x14ac:dyDescent="0.25">
      <c r="A482" s="466" t="s">
        <v>1234</v>
      </c>
      <c r="B482" s="462" t="s">
        <v>264</v>
      </c>
      <c r="C482" s="462" t="s">
        <v>118</v>
      </c>
      <c r="D482" s="462" t="s">
        <v>1236</v>
      </c>
      <c r="E482" s="462"/>
      <c r="F482" s="459">
        <f t="shared" si="36"/>
        <v>14795.6</v>
      </c>
      <c r="G482" s="459">
        <f t="shared" si="36"/>
        <v>14795.6</v>
      </c>
    </row>
    <row r="483" spans="1:7" ht="47.25" x14ac:dyDescent="0.25">
      <c r="A483" s="466" t="s">
        <v>272</v>
      </c>
      <c r="B483" s="462" t="s">
        <v>264</v>
      </c>
      <c r="C483" s="462" t="s">
        <v>118</v>
      </c>
      <c r="D483" s="462" t="s">
        <v>1236</v>
      </c>
      <c r="E483" s="462" t="s">
        <v>273</v>
      </c>
      <c r="F483" s="459">
        <f t="shared" si="36"/>
        <v>14795.6</v>
      </c>
      <c r="G483" s="459">
        <f t="shared" si="36"/>
        <v>14795.6</v>
      </c>
    </row>
    <row r="484" spans="1:7" ht="25.5" customHeight="1" x14ac:dyDescent="0.25">
      <c r="A484" s="466" t="s">
        <v>274</v>
      </c>
      <c r="B484" s="462" t="s">
        <v>264</v>
      </c>
      <c r="C484" s="462" t="s">
        <v>118</v>
      </c>
      <c r="D484" s="462" t="s">
        <v>1236</v>
      </c>
      <c r="E484" s="462" t="s">
        <v>275</v>
      </c>
      <c r="F484" s="378">
        <f>'пр.6.1.ведом.22-23 (2)'!G554</f>
        <v>14795.6</v>
      </c>
      <c r="G484" s="378">
        <f>'пр.6.1.ведом.22-23 (2)'!H554</f>
        <v>14795.6</v>
      </c>
    </row>
    <row r="485" spans="1:7" ht="47.25" x14ac:dyDescent="0.25">
      <c r="A485" s="464" t="s">
        <v>900</v>
      </c>
      <c r="B485" s="465" t="s">
        <v>264</v>
      </c>
      <c r="C485" s="465" t="s">
        <v>118</v>
      </c>
      <c r="D485" s="465" t="s">
        <v>1237</v>
      </c>
      <c r="E485" s="465"/>
      <c r="F485" s="458">
        <f>F489+F492+F495+F486</f>
        <v>75561.5</v>
      </c>
      <c r="G485" s="458">
        <f>G489+G492+G495+G486</f>
        <v>79924.100000000006</v>
      </c>
    </row>
    <row r="486" spans="1:7" ht="110.25" x14ac:dyDescent="0.25">
      <c r="A486" s="31" t="s">
        <v>293</v>
      </c>
      <c r="B486" s="462" t="s">
        <v>264</v>
      </c>
      <c r="C486" s="462" t="s">
        <v>118</v>
      </c>
      <c r="D486" s="462" t="s">
        <v>1401</v>
      </c>
      <c r="E486" s="462"/>
      <c r="F486" s="459">
        <f t="shared" ref="F486:G487" si="37">F487</f>
        <v>3230</v>
      </c>
      <c r="G486" s="459">
        <f t="shared" si="37"/>
        <v>3230</v>
      </c>
    </row>
    <row r="487" spans="1:7" ht="47.25" x14ac:dyDescent="0.25">
      <c r="A487" s="466" t="s">
        <v>272</v>
      </c>
      <c r="B487" s="462" t="s">
        <v>264</v>
      </c>
      <c r="C487" s="462" t="s">
        <v>118</v>
      </c>
      <c r="D487" s="462" t="s">
        <v>1401</v>
      </c>
      <c r="E487" s="462" t="s">
        <v>273</v>
      </c>
      <c r="F487" s="459">
        <f t="shared" si="37"/>
        <v>3230</v>
      </c>
      <c r="G487" s="459">
        <f t="shared" si="37"/>
        <v>3230</v>
      </c>
    </row>
    <row r="488" spans="1:7" ht="15.75" x14ac:dyDescent="0.25">
      <c r="A488" s="466" t="s">
        <v>274</v>
      </c>
      <c r="B488" s="462" t="s">
        <v>264</v>
      </c>
      <c r="C488" s="462" t="s">
        <v>118</v>
      </c>
      <c r="D488" s="462" t="s">
        <v>1401</v>
      </c>
      <c r="E488" s="462" t="s">
        <v>275</v>
      </c>
      <c r="F488" s="459">
        <f>'пр.6.1.ведом.22-23 (2)'!G558</f>
        <v>3230</v>
      </c>
      <c r="G488" s="459">
        <f>'пр.6.1.ведом.22-23 (2)'!H558</f>
        <v>3230</v>
      </c>
    </row>
    <row r="489" spans="1:7" ht="63" x14ac:dyDescent="0.25">
      <c r="A489" s="31" t="s">
        <v>289</v>
      </c>
      <c r="B489" s="462" t="s">
        <v>264</v>
      </c>
      <c r="C489" s="462" t="s">
        <v>118</v>
      </c>
      <c r="D489" s="462" t="s">
        <v>1238</v>
      </c>
      <c r="E489" s="462"/>
      <c r="F489" s="459">
        <f t="shared" ref="F489:G490" si="38">F490</f>
        <v>589</v>
      </c>
      <c r="G489" s="459">
        <f t="shared" si="38"/>
        <v>589</v>
      </c>
    </row>
    <row r="490" spans="1:7" ht="47.25" x14ac:dyDescent="0.25">
      <c r="A490" s="466" t="s">
        <v>272</v>
      </c>
      <c r="B490" s="462" t="s">
        <v>264</v>
      </c>
      <c r="C490" s="462" t="s">
        <v>118</v>
      </c>
      <c r="D490" s="462" t="s">
        <v>1238</v>
      </c>
      <c r="E490" s="462" t="s">
        <v>273</v>
      </c>
      <c r="F490" s="459">
        <f t="shared" si="38"/>
        <v>589</v>
      </c>
      <c r="G490" s="459">
        <f t="shared" si="38"/>
        <v>589</v>
      </c>
    </row>
    <row r="491" spans="1:7" ht="15.75" x14ac:dyDescent="0.25">
      <c r="A491" s="466" t="s">
        <v>274</v>
      </c>
      <c r="B491" s="462" t="s">
        <v>264</v>
      </c>
      <c r="C491" s="462" t="s">
        <v>118</v>
      </c>
      <c r="D491" s="462" t="s">
        <v>1238</v>
      </c>
      <c r="E491" s="462" t="s">
        <v>275</v>
      </c>
      <c r="F491" s="459">
        <f>'пр.6.1.ведом.22-23 (2)'!G561</f>
        <v>589</v>
      </c>
      <c r="G491" s="459">
        <f>'пр.6.1.ведом.22-23 (2)'!H561</f>
        <v>589</v>
      </c>
    </row>
    <row r="492" spans="1:7" ht="78.75" x14ac:dyDescent="0.25">
      <c r="A492" s="31" t="s">
        <v>291</v>
      </c>
      <c r="B492" s="462" t="s">
        <v>264</v>
      </c>
      <c r="C492" s="462" t="s">
        <v>118</v>
      </c>
      <c r="D492" s="462" t="s">
        <v>1239</v>
      </c>
      <c r="E492" s="462"/>
      <c r="F492" s="459">
        <f t="shared" ref="F492:G493" si="39">F493</f>
        <v>1629.3</v>
      </c>
      <c r="G492" s="459">
        <f t="shared" si="39"/>
        <v>1629.3</v>
      </c>
    </row>
    <row r="493" spans="1:7" ht="47.25" x14ac:dyDescent="0.25">
      <c r="A493" s="466" t="s">
        <v>272</v>
      </c>
      <c r="B493" s="462" t="s">
        <v>264</v>
      </c>
      <c r="C493" s="462" t="s">
        <v>118</v>
      </c>
      <c r="D493" s="462" t="s">
        <v>1239</v>
      </c>
      <c r="E493" s="462" t="s">
        <v>273</v>
      </c>
      <c r="F493" s="459">
        <f t="shared" si="39"/>
        <v>1629.3</v>
      </c>
      <c r="G493" s="459">
        <f t="shared" si="39"/>
        <v>1629.3</v>
      </c>
    </row>
    <row r="494" spans="1:7" ht="15.75" x14ac:dyDescent="0.25">
      <c r="A494" s="466" t="s">
        <v>274</v>
      </c>
      <c r="B494" s="462" t="s">
        <v>264</v>
      </c>
      <c r="C494" s="462" t="s">
        <v>118</v>
      </c>
      <c r="D494" s="462" t="s">
        <v>1239</v>
      </c>
      <c r="E494" s="462" t="s">
        <v>275</v>
      </c>
      <c r="F494" s="459">
        <f>'пр.6.1.ведом.22-23 (2)'!G564</f>
        <v>1629.3</v>
      </c>
      <c r="G494" s="459">
        <f>'пр.6.1.ведом.22-23 (2)'!H564</f>
        <v>1629.3</v>
      </c>
    </row>
    <row r="495" spans="1:7" ht="94.5" x14ac:dyDescent="0.25">
      <c r="A495" s="31" t="s">
        <v>1188</v>
      </c>
      <c r="B495" s="462" t="s">
        <v>264</v>
      </c>
      <c r="C495" s="462" t="s">
        <v>118</v>
      </c>
      <c r="D495" s="462" t="s">
        <v>1240</v>
      </c>
      <c r="E495" s="462"/>
      <c r="F495" s="459">
        <f t="shared" ref="F495:G496" si="40">F496</f>
        <v>70113.2</v>
      </c>
      <c r="G495" s="459">
        <f t="shared" si="40"/>
        <v>74475.8</v>
      </c>
    </row>
    <row r="496" spans="1:7" ht="47.25" x14ac:dyDescent="0.25">
      <c r="A496" s="466" t="s">
        <v>272</v>
      </c>
      <c r="B496" s="462" t="s">
        <v>264</v>
      </c>
      <c r="C496" s="462" t="s">
        <v>118</v>
      </c>
      <c r="D496" s="462" t="s">
        <v>1240</v>
      </c>
      <c r="E496" s="462" t="s">
        <v>273</v>
      </c>
      <c r="F496" s="459">
        <f t="shared" si="40"/>
        <v>70113.2</v>
      </c>
      <c r="G496" s="459">
        <f t="shared" si="40"/>
        <v>74475.8</v>
      </c>
    </row>
    <row r="497" spans="1:7" ht="15.75" x14ac:dyDescent="0.25">
      <c r="A497" s="466" t="s">
        <v>274</v>
      </c>
      <c r="B497" s="462" t="s">
        <v>264</v>
      </c>
      <c r="C497" s="462" t="s">
        <v>118</v>
      </c>
      <c r="D497" s="462" t="s">
        <v>1240</v>
      </c>
      <c r="E497" s="462" t="s">
        <v>275</v>
      </c>
      <c r="F497" s="459">
        <f>'пр.6.1.ведом.22-23 (2)'!G567</f>
        <v>70113.2</v>
      </c>
      <c r="G497" s="459">
        <f>'пр.6.1.ведом.22-23 (2)'!H567</f>
        <v>74475.8</v>
      </c>
    </row>
    <row r="498" spans="1:7" ht="31.5" x14ac:dyDescent="0.25">
      <c r="A498" s="464" t="s">
        <v>1297</v>
      </c>
      <c r="B498" s="465" t="s">
        <v>264</v>
      </c>
      <c r="C498" s="465" t="s">
        <v>118</v>
      </c>
      <c r="D498" s="465" t="s">
        <v>1242</v>
      </c>
      <c r="E498" s="465"/>
      <c r="F498" s="458">
        <f>F505</f>
        <v>4430</v>
      </c>
      <c r="G498" s="458">
        <f>G505</f>
        <v>4430</v>
      </c>
    </row>
    <row r="499" spans="1:7" ht="47.25" hidden="1" x14ac:dyDescent="0.25">
      <c r="A499" s="466" t="s">
        <v>278</v>
      </c>
      <c r="B499" s="462" t="s">
        <v>264</v>
      </c>
      <c r="C499" s="462" t="s">
        <v>118</v>
      </c>
      <c r="D499" s="462" t="s">
        <v>1325</v>
      </c>
      <c r="E499" s="462"/>
      <c r="F499" s="459">
        <f>F500</f>
        <v>0</v>
      </c>
      <c r="G499" s="459">
        <f>G500</f>
        <v>0</v>
      </c>
    </row>
    <row r="500" spans="1:7" ht="47.25" hidden="1" x14ac:dyDescent="0.25">
      <c r="A500" s="466" t="s">
        <v>272</v>
      </c>
      <c r="B500" s="462" t="s">
        <v>264</v>
      </c>
      <c r="C500" s="462" t="s">
        <v>118</v>
      </c>
      <c r="D500" s="462" t="s">
        <v>1325</v>
      </c>
      <c r="E500" s="462" t="s">
        <v>273</v>
      </c>
      <c r="F500" s="459">
        <f t="shared" ref="F500:G500" si="41">F501</f>
        <v>0</v>
      </c>
      <c r="G500" s="459">
        <f t="shared" si="41"/>
        <v>0</v>
      </c>
    </row>
    <row r="501" spans="1:7" ht="15.75" hidden="1" x14ac:dyDescent="0.25">
      <c r="A501" s="466" t="s">
        <v>274</v>
      </c>
      <c r="B501" s="462" t="s">
        <v>264</v>
      </c>
      <c r="C501" s="462" t="s">
        <v>118</v>
      </c>
      <c r="D501" s="462" t="s">
        <v>1325</v>
      </c>
      <c r="E501" s="462" t="s">
        <v>275</v>
      </c>
      <c r="F501" s="459">
        <f>'пр.6.1.ведом.22-23 (2)'!G571</f>
        <v>0</v>
      </c>
      <c r="G501" s="459">
        <f>'пр.6.1.ведом.22-23 (2)'!H571</f>
        <v>0</v>
      </c>
    </row>
    <row r="502" spans="1:7" ht="31.5" hidden="1" x14ac:dyDescent="0.25">
      <c r="A502" s="466" t="s">
        <v>280</v>
      </c>
      <c r="B502" s="462" t="s">
        <v>264</v>
      </c>
      <c r="C502" s="462" t="s">
        <v>118</v>
      </c>
      <c r="D502" s="462" t="s">
        <v>1326</v>
      </c>
      <c r="E502" s="462"/>
      <c r="F502" s="459">
        <f>F503</f>
        <v>0</v>
      </c>
      <c r="G502" s="459">
        <f>G503</f>
        <v>0</v>
      </c>
    </row>
    <row r="503" spans="1:7" ht="47.25" hidden="1" x14ac:dyDescent="0.25">
      <c r="A503" s="466" t="s">
        <v>272</v>
      </c>
      <c r="B503" s="462" t="s">
        <v>264</v>
      </c>
      <c r="C503" s="462" t="s">
        <v>118</v>
      </c>
      <c r="D503" s="462" t="s">
        <v>1326</v>
      </c>
      <c r="E503" s="462" t="s">
        <v>273</v>
      </c>
      <c r="F503" s="459">
        <f t="shared" ref="F503:G503" si="42">F504</f>
        <v>0</v>
      </c>
      <c r="G503" s="459">
        <f t="shared" si="42"/>
        <v>0</v>
      </c>
    </row>
    <row r="504" spans="1:7" ht="15.75" hidden="1" x14ac:dyDescent="0.25">
      <c r="A504" s="466" t="s">
        <v>274</v>
      </c>
      <c r="B504" s="462" t="s">
        <v>264</v>
      </c>
      <c r="C504" s="462" t="s">
        <v>118</v>
      </c>
      <c r="D504" s="462" t="s">
        <v>1326</v>
      </c>
      <c r="E504" s="462" t="s">
        <v>275</v>
      </c>
      <c r="F504" s="459">
        <f>'пр.6.1.ведом.22-23 (2)'!G574</f>
        <v>0</v>
      </c>
      <c r="G504" s="459">
        <f>'пр.6.1.ведом.22-23 (2)'!H574</f>
        <v>0</v>
      </c>
    </row>
    <row r="505" spans="1:7" ht="47.25" x14ac:dyDescent="0.25">
      <c r="A505" s="29" t="s">
        <v>415</v>
      </c>
      <c r="B505" s="462" t="s">
        <v>264</v>
      </c>
      <c r="C505" s="462" t="s">
        <v>118</v>
      </c>
      <c r="D505" s="462" t="s">
        <v>1243</v>
      </c>
      <c r="E505" s="462"/>
      <c r="F505" s="459">
        <f>F506</f>
        <v>4430</v>
      </c>
      <c r="G505" s="459">
        <f>G506</f>
        <v>4430</v>
      </c>
    </row>
    <row r="506" spans="1:7" ht="47.25" x14ac:dyDescent="0.25">
      <c r="A506" s="466" t="s">
        <v>272</v>
      </c>
      <c r="B506" s="462" t="s">
        <v>264</v>
      </c>
      <c r="C506" s="462" t="s">
        <v>118</v>
      </c>
      <c r="D506" s="462" t="s">
        <v>1243</v>
      </c>
      <c r="E506" s="462" t="s">
        <v>273</v>
      </c>
      <c r="F506" s="459">
        <f>F507</f>
        <v>4430</v>
      </c>
      <c r="G506" s="459">
        <f>G507</f>
        <v>4430</v>
      </c>
    </row>
    <row r="507" spans="1:7" ht="15.75" x14ac:dyDescent="0.25">
      <c r="A507" s="466" t="s">
        <v>274</v>
      </c>
      <c r="B507" s="462" t="s">
        <v>264</v>
      </c>
      <c r="C507" s="462" t="s">
        <v>118</v>
      </c>
      <c r="D507" s="462" t="s">
        <v>1243</v>
      </c>
      <c r="E507" s="462" t="s">
        <v>275</v>
      </c>
      <c r="F507" s="459">
        <f>'пр.6.1.ведом.22-23 (2)'!G577</f>
        <v>4430</v>
      </c>
      <c r="G507" s="459">
        <f>'пр.6.1.ведом.22-23 (2)'!H577</f>
        <v>4430</v>
      </c>
    </row>
    <row r="508" spans="1:7" ht="47.25" x14ac:dyDescent="0.25">
      <c r="A508" s="218" t="s">
        <v>948</v>
      </c>
      <c r="B508" s="465" t="s">
        <v>264</v>
      </c>
      <c r="C508" s="465" t="s">
        <v>118</v>
      </c>
      <c r="D508" s="465" t="s">
        <v>1245</v>
      </c>
      <c r="E508" s="465"/>
      <c r="F508" s="458">
        <f>F512+F515</f>
        <v>4848</v>
      </c>
      <c r="G508" s="458">
        <f>G512+G515</f>
        <v>4848</v>
      </c>
    </row>
    <row r="509" spans="1:7" ht="31.5" hidden="1" x14ac:dyDescent="0.25">
      <c r="A509" s="466" t="s">
        <v>284</v>
      </c>
      <c r="B509" s="462" t="s">
        <v>264</v>
      </c>
      <c r="C509" s="462" t="s">
        <v>118</v>
      </c>
      <c r="D509" s="462" t="s">
        <v>1263</v>
      </c>
      <c r="E509" s="462"/>
      <c r="F509" s="459">
        <f>F510</f>
        <v>0</v>
      </c>
      <c r="G509" s="459">
        <f>G510</f>
        <v>0</v>
      </c>
    </row>
    <row r="510" spans="1:7" ht="47.25" hidden="1" x14ac:dyDescent="0.25">
      <c r="A510" s="466" t="s">
        <v>272</v>
      </c>
      <c r="B510" s="462" t="s">
        <v>264</v>
      </c>
      <c r="C510" s="462" t="s">
        <v>118</v>
      </c>
      <c r="D510" s="462" t="s">
        <v>1263</v>
      </c>
      <c r="E510" s="462" t="s">
        <v>273</v>
      </c>
      <c r="F510" s="459">
        <f>F511</f>
        <v>0</v>
      </c>
      <c r="G510" s="459">
        <f>G511</f>
        <v>0</v>
      </c>
    </row>
    <row r="511" spans="1:7" ht="15.75" hidden="1" x14ac:dyDescent="0.25">
      <c r="A511" s="466" t="s">
        <v>274</v>
      </c>
      <c r="B511" s="462" t="s">
        <v>264</v>
      </c>
      <c r="C511" s="462" t="s">
        <v>118</v>
      </c>
      <c r="D511" s="462" t="s">
        <v>1263</v>
      </c>
      <c r="E511" s="462" t="s">
        <v>275</v>
      </c>
      <c r="F511" s="459">
        <f>'пр.6.1.ведом.22-23 (2)'!G581</f>
        <v>0</v>
      </c>
      <c r="G511" s="459">
        <f>'пр.6.1.ведом.22-23 (2)'!H581</f>
        <v>0</v>
      </c>
    </row>
    <row r="512" spans="1:7" ht="47.25" x14ac:dyDescent="0.25">
      <c r="A512" s="60" t="s">
        <v>764</v>
      </c>
      <c r="B512" s="462" t="s">
        <v>264</v>
      </c>
      <c r="C512" s="462" t="s">
        <v>118</v>
      </c>
      <c r="D512" s="462" t="s">
        <v>1246</v>
      </c>
      <c r="E512" s="462"/>
      <c r="F512" s="459">
        <f>F513</f>
        <v>3088</v>
      </c>
      <c r="G512" s="459">
        <f>G513</f>
        <v>3088</v>
      </c>
    </row>
    <row r="513" spans="1:7" ht="47.25" x14ac:dyDescent="0.25">
      <c r="A513" s="29" t="s">
        <v>272</v>
      </c>
      <c r="B513" s="462" t="s">
        <v>264</v>
      </c>
      <c r="C513" s="462" t="s">
        <v>118</v>
      </c>
      <c r="D513" s="462" t="s">
        <v>1246</v>
      </c>
      <c r="E513" s="462" t="s">
        <v>273</v>
      </c>
      <c r="F513" s="459">
        <f>F514</f>
        <v>3088</v>
      </c>
      <c r="G513" s="459">
        <f>G514</f>
        <v>3088</v>
      </c>
    </row>
    <row r="514" spans="1:7" ht="15.75" x14ac:dyDescent="0.25">
      <c r="A514" s="182" t="s">
        <v>274</v>
      </c>
      <c r="B514" s="462" t="s">
        <v>264</v>
      </c>
      <c r="C514" s="462" t="s">
        <v>118</v>
      </c>
      <c r="D514" s="462" t="s">
        <v>1246</v>
      </c>
      <c r="E514" s="462" t="s">
        <v>275</v>
      </c>
      <c r="F514" s="459">
        <f>'пр.6.1.ведом.22-23 (2)'!G584</f>
        <v>3088</v>
      </c>
      <c r="G514" s="459">
        <f>'пр.6.1.ведом.22-23 (2)'!H584</f>
        <v>3088</v>
      </c>
    </row>
    <row r="515" spans="1:7" ht="63" x14ac:dyDescent="0.25">
      <c r="A515" s="60" t="s">
        <v>765</v>
      </c>
      <c r="B515" s="462" t="s">
        <v>264</v>
      </c>
      <c r="C515" s="462" t="s">
        <v>118</v>
      </c>
      <c r="D515" s="462" t="s">
        <v>1247</v>
      </c>
      <c r="E515" s="462"/>
      <c r="F515" s="459">
        <f>F516</f>
        <v>1760</v>
      </c>
      <c r="G515" s="459">
        <f>G516</f>
        <v>1760</v>
      </c>
    </row>
    <row r="516" spans="1:7" ht="47.25" x14ac:dyDescent="0.25">
      <c r="A516" s="29" t="s">
        <v>272</v>
      </c>
      <c r="B516" s="462" t="s">
        <v>264</v>
      </c>
      <c r="C516" s="462" t="s">
        <v>118</v>
      </c>
      <c r="D516" s="462" t="s">
        <v>1247</v>
      </c>
      <c r="E516" s="462" t="s">
        <v>273</v>
      </c>
      <c r="F516" s="459">
        <f>F517</f>
        <v>1760</v>
      </c>
      <c r="G516" s="459">
        <f>G517</f>
        <v>1760</v>
      </c>
    </row>
    <row r="517" spans="1:7" ht="15.75" x14ac:dyDescent="0.25">
      <c r="A517" s="182" t="s">
        <v>274</v>
      </c>
      <c r="B517" s="462" t="s">
        <v>264</v>
      </c>
      <c r="C517" s="462" t="s">
        <v>118</v>
      </c>
      <c r="D517" s="462" t="s">
        <v>1247</v>
      </c>
      <c r="E517" s="462" t="s">
        <v>275</v>
      </c>
      <c r="F517" s="459">
        <f>'пр.6.1.ведом.22-23 (2)'!G587</f>
        <v>1760</v>
      </c>
      <c r="G517" s="459">
        <f>'пр.6.1.ведом.22-23 (2)'!H587</f>
        <v>1760</v>
      </c>
    </row>
    <row r="518" spans="1:7" ht="78" customHeight="1" x14ac:dyDescent="0.25">
      <c r="A518" s="464" t="s">
        <v>933</v>
      </c>
      <c r="B518" s="465" t="s">
        <v>264</v>
      </c>
      <c r="C518" s="465" t="s">
        <v>118</v>
      </c>
      <c r="D518" s="465" t="s">
        <v>1248</v>
      </c>
      <c r="E518" s="465"/>
      <c r="F518" s="458">
        <f t="shared" ref="F518:G520" si="43">F519</f>
        <v>297.70000000000005</v>
      </c>
      <c r="G518" s="458">
        <f t="shared" si="43"/>
        <v>297.70000000000005</v>
      </c>
    </row>
    <row r="519" spans="1:7" ht="110.25" x14ac:dyDescent="0.25">
      <c r="A519" s="466" t="s">
        <v>1523</v>
      </c>
      <c r="B519" s="462" t="s">
        <v>264</v>
      </c>
      <c r="C519" s="462" t="s">
        <v>118</v>
      </c>
      <c r="D519" s="462" t="s">
        <v>1249</v>
      </c>
      <c r="E519" s="462"/>
      <c r="F519" s="459">
        <f t="shared" si="43"/>
        <v>297.70000000000005</v>
      </c>
      <c r="G519" s="459">
        <f t="shared" si="43"/>
        <v>297.70000000000005</v>
      </c>
    </row>
    <row r="520" spans="1:7" ht="47.25" x14ac:dyDescent="0.25">
      <c r="A520" s="29" t="s">
        <v>272</v>
      </c>
      <c r="B520" s="462" t="s">
        <v>264</v>
      </c>
      <c r="C520" s="462" t="s">
        <v>118</v>
      </c>
      <c r="D520" s="462" t="s">
        <v>1249</v>
      </c>
      <c r="E520" s="462" t="s">
        <v>273</v>
      </c>
      <c r="F520" s="459">
        <f t="shared" si="43"/>
        <v>297.70000000000005</v>
      </c>
      <c r="G520" s="459">
        <f t="shared" si="43"/>
        <v>297.70000000000005</v>
      </c>
    </row>
    <row r="521" spans="1:7" ht="15.75" x14ac:dyDescent="0.25">
      <c r="A521" s="182" t="s">
        <v>274</v>
      </c>
      <c r="B521" s="462" t="s">
        <v>264</v>
      </c>
      <c r="C521" s="462" t="s">
        <v>118</v>
      </c>
      <c r="D521" s="462" t="s">
        <v>1249</v>
      </c>
      <c r="E521" s="462" t="s">
        <v>275</v>
      </c>
      <c r="F521" s="459">
        <f>'пр.6.1.ведом.22-23 (2)'!G591</f>
        <v>297.70000000000005</v>
      </c>
      <c r="G521" s="459">
        <f>'пр.6.1.ведом.22-23 (2)'!H591</f>
        <v>297.70000000000005</v>
      </c>
    </row>
    <row r="522" spans="1:7" ht="157.5" hidden="1" x14ac:dyDescent="0.25">
      <c r="A522" s="466" t="s">
        <v>423</v>
      </c>
      <c r="B522" s="462" t="s">
        <v>264</v>
      </c>
      <c r="C522" s="462" t="s">
        <v>118</v>
      </c>
      <c r="D522" s="462" t="s">
        <v>1250</v>
      </c>
      <c r="E522" s="462"/>
      <c r="F522" s="459" t="e">
        <f t="shared" ref="F522:G523" si="44">F523</f>
        <v>#REF!</v>
      </c>
      <c r="G522" s="459" t="e">
        <f t="shared" si="44"/>
        <v>#REF!</v>
      </c>
    </row>
    <row r="523" spans="1:7" ht="47.25" hidden="1" x14ac:dyDescent="0.25">
      <c r="A523" s="466" t="s">
        <v>272</v>
      </c>
      <c r="B523" s="462" t="s">
        <v>264</v>
      </c>
      <c r="C523" s="462" t="s">
        <v>118</v>
      </c>
      <c r="D523" s="462" t="s">
        <v>1250</v>
      </c>
      <c r="E523" s="462" t="s">
        <v>273</v>
      </c>
      <c r="F523" s="459" t="e">
        <f t="shared" si="44"/>
        <v>#REF!</v>
      </c>
      <c r="G523" s="459" t="e">
        <f t="shared" si="44"/>
        <v>#REF!</v>
      </c>
    </row>
    <row r="524" spans="1:7" ht="15.75" hidden="1" x14ac:dyDescent="0.25">
      <c r="A524" s="466" t="s">
        <v>274</v>
      </c>
      <c r="B524" s="462" t="s">
        <v>264</v>
      </c>
      <c r="C524" s="462" t="s">
        <v>118</v>
      </c>
      <c r="D524" s="462" t="s">
        <v>1250</v>
      </c>
      <c r="E524" s="462" t="s">
        <v>275</v>
      </c>
      <c r="F524" s="459" t="e">
        <f>'пр.6.1.ведом.22-23 (2)'!#REF!</f>
        <v>#REF!</v>
      </c>
      <c r="G524" s="459" t="e">
        <f>'пр.6.1.ведом.22-23 (2)'!#REF!</f>
        <v>#REF!</v>
      </c>
    </row>
    <row r="525" spans="1:7" ht="110.25" x14ac:dyDescent="0.25">
      <c r="A525" s="464" t="s">
        <v>1171</v>
      </c>
      <c r="B525" s="465" t="s">
        <v>264</v>
      </c>
      <c r="C525" s="465" t="s">
        <v>118</v>
      </c>
      <c r="D525" s="465" t="s">
        <v>1251</v>
      </c>
      <c r="E525" s="465"/>
      <c r="F525" s="463">
        <f>F526+F529</f>
        <v>1666.6</v>
      </c>
      <c r="G525" s="463">
        <f>G526+G529</f>
        <v>915</v>
      </c>
    </row>
    <row r="526" spans="1:7" ht="101.25" hidden="1" customHeight="1" x14ac:dyDescent="0.25">
      <c r="A526" s="149" t="s">
        <v>1190</v>
      </c>
      <c r="B526" s="462" t="s">
        <v>264</v>
      </c>
      <c r="C526" s="462" t="s">
        <v>118</v>
      </c>
      <c r="D526" s="462" t="s">
        <v>1252</v>
      </c>
      <c r="E526" s="462"/>
      <c r="F526" s="467">
        <f>F527</f>
        <v>0</v>
      </c>
      <c r="G526" s="467">
        <f>G527</f>
        <v>0</v>
      </c>
    </row>
    <row r="527" spans="1:7" ht="47.25" hidden="1" x14ac:dyDescent="0.25">
      <c r="A527" s="466" t="s">
        <v>272</v>
      </c>
      <c r="B527" s="462" t="s">
        <v>264</v>
      </c>
      <c r="C527" s="462" t="s">
        <v>118</v>
      </c>
      <c r="D527" s="462" t="s">
        <v>1252</v>
      </c>
      <c r="E527" s="462" t="s">
        <v>273</v>
      </c>
      <c r="F527" s="467">
        <f>F528</f>
        <v>0</v>
      </c>
      <c r="G527" s="467">
        <f>G528</f>
        <v>0</v>
      </c>
    </row>
    <row r="528" spans="1:7" ht="15.75" hidden="1" x14ac:dyDescent="0.25">
      <c r="A528" s="466" t="s">
        <v>274</v>
      </c>
      <c r="B528" s="462" t="s">
        <v>264</v>
      </c>
      <c r="C528" s="462" t="s">
        <v>118</v>
      </c>
      <c r="D528" s="462" t="s">
        <v>1252</v>
      </c>
      <c r="E528" s="462" t="s">
        <v>275</v>
      </c>
      <c r="F528" s="467">
        <f>'пр.6.1.ведом.22-23 (2)'!G595</f>
        <v>0</v>
      </c>
      <c r="G528" s="467">
        <f>'пр.6.1.ведом.22-23 (2)'!H595</f>
        <v>0</v>
      </c>
    </row>
    <row r="529" spans="1:7" ht="94.5" x14ac:dyDescent="0.25">
      <c r="A529" s="149" t="s">
        <v>1506</v>
      </c>
      <c r="B529" s="462" t="s">
        <v>264</v>
      </c>
      <c r="C529" s="462" t="s">
        <v>118</v>
      </c>
      <c r="D529" s="462" t="s">
        <v>1252</v>
      </c>
      <c r="E529" s="462"/>
      <c r="F529" s="467">
        <f>F530</f>
        <v>1666.6</v>
      </c>
      <c r="G529" s="467">
        <f>G530</f>
        <v>915</v>
      </c>
    </row>
    <row r="530" spans="1:7" ht="47.25" x14ac:dyDescent="0.25">
      <c r="A530" s="466" t="s">
        <v>272</v>
      </c>
      <c r="B530" s="462" t="s">
        <v>264</v>
      </c>
      <c r="C530" s="462" t="s">
        <v>118</v>
      </c>
      <c r="D530" s="462" t="s">
        <v>1252</v>
      </c>
      <c r="E530" s="462" t="s">
        <v>273</v>
      </c>
      <c r="F530" s="467">
        <f>F531</f>
        <v>1666.6</v>
      </c>
      <c r="G530" s="467">
        <f>G531</f>
        <v>915</v>
      </c>
    </row>
    <row r="531" spans="1:7" ht="15.75" x14ac:dyDescent="0.25">
      <c r="A531" s="466" t="s">
        <v>274</v>
      </c>
      <c r="B531" s="462" t="s">
        <v>264</v>
      </c>
      <c r="C531" s="462" t="s">
        <v>118</v>
      </c>
      <c r="D531" s="462" t="s">
        <v>1252</v>
      </c>
      <c r="E531" s="462" t="s">
        <v>275</v>
      </c>
      <c r="F531" s="467">
        <f>'пр.6.1.ведом.22-23 (2)'!G598</f>
        <v>1666.6</v>
      </c>
      <c r="G531" s="467">
        <f>'пр.6.1.ведом.22-23 (2)'!H598</f>
        <v>915</v>
      </c>
    </row>
    <row r="532" spans="1:7" ht="63" x14ac:dyDescent="0.25">
      <c r="A532" s="34" t="s">
        <v>1368</v>
      </c>
      <c r="B532" s="465" t="s">
        <v>264</v>
      </c>
      <c r="C532" s="465" t="s">
        <v>118</v>
      </c>
      <c r="D532" s="465" t="s">
        <v>324</v>
      </c>
      <c r="E532" s="465"/>
      <c r="F532" s="463">
        <f t="shared" ref="F532:G535" si="45">F533</f>
        <v>80</v>
      </c>
      <c r="G532" s="463">
        <f t="shared" si="45"/>
        <v>25</v>
      </c>
    </row>
    <row r="533" spans="1:7" ht="63" x14ac:dyDescent="0.25">
      <c r="A533" s="34" t="s">
        <v>1009</v>
      </c>
      <c r="B533" s="465" t="s">
        <v>264</v>
      </c>
      <c r="C533" s="465" t="s">
        <v>118</v>
      </c>
      <c r="D533" s="465" t="s">
        <v>934</v>
      </c>
      <c r="E533" s="465"/>
      <c r="F533" s="463">
        <f t="shared" si="45"/>
        <v>80</v>
      </c>
      <c r="G533" s="463">
        <f t="shared" si="45"/>
        <v>25</v>
      </c>
    </row>
    <row r="534" spans="1:7" ht="47.25" x14ac:dyDescent="0.25">
      <c r="A534" s="31" t="s">
        <v>1084</v>
      </c>
      <c r="B534" s="462" t="s">
        <v>264</v>
      </c>
      <c r="C534" s="462" t="s">
        <v>118</v>
      </c>
      <c r="D534" s="462" t="s">
        <v>935</v>
      </c>
      <c r="E534" s="462"/>
      <c r="F534" s="467">
        <f t="shared" si="45"/>
        <v>80</v>
      </c>
      <c r="G534" s="467">
        <f t="shared" si="45"/>
        <v>25</v>
      </c>
    </row>
    <row r="535" spans="1:7" ht="47.25" x14ac:dyDescent="0.25">
      <c r="A535" s="31" t="s">
        <v>272</v>
      </c>
      <c r="B535" s="462" t="s">
        <v>264</v>
      </c>
      <c r="C535" s="462" t="s">
        <v>118</v>
      </c>
      <c r="D535" s="462" t="s">
        <v>935</v>
      </c>
      <c r="E535" s="462" t="s">
        <v>273</v>
      </c>
      <c r="F535" s="467">
        <f t="shared" si="45"/>
        <v>80</v>
      </c>
      <c r="G535" s="467">
        <f t="shared" si="45"/>
        <v>25</v>
      </c>
    </row>
    <row r="536" spans="1:7" ht="15.75" x14ac:dyDescent="0.25">
      <c r="A536" s="31" t="s">
        <v>274</v>
      </c>
      <c r="B536" s="462" t="s">
        <v>264</v>
      </c>
      <c r="C536" s="462" t="s">
        <v>118</v>
      </c>
      <c r="D536" s="462" t="s">
        <v>935</v>
      </c>
      <c r="E536" s="462" t="s">
        <v>275</v>
      </c>
      <c r="F536" s="467">
        <f>'пр.6.1.ведом.22-23 (2)'!G603</f>
        <v>80</v>
      </c>
      <c r="G536" s="467">
        <f>'пр.6.1.ведом.22-23 (2)'!H603</f>
        <v>25</v>
      </c>
    </row>
    <row r="537" spans="1:7" ht="63" x14ac:dyDescent="0.25">
      <c r="A537" s="470" t="s">
        <v>1363</v>
      </c>
      <c r="B537" s="465" t="s">
        <v>264</v>
      </c>
      <c r="C537" s="465" t="s">
        <v>118</v>
      </c>
      <c r="D537" s="465" t="s">
        <v>705</v>
      </c>
      <c r="E537" s="474"/>
      <c r="F537" s="458">
        <f>F538</f>
        <v>570.9</v>
      </c>
      <c r="G537" s="458">
        <f>G538</f>
        <v>593.79999999999995</v>
      </c>
    </row>
    <row r="538" spans="1:7" ht="63" x14ac:dyDescent="0.25">
      <c r="A538" s="470" t="s">
        <v>890</v>
      </c>
      <c r="B538" s="465" t="s">
        <v>264</v>
      </c>
      <c r="C538" s="465" t="s">
        <v>118</v>
      </c>
      <c r="D538" s="465" t="s">
        <v>888</v>
      </c>
      <c r="E538" s="474"/>
      <c r="F538" s="458">
        <f t="shared" ref="F538:G539" si="46">F539</f>
        <v>570.9</v>
      </c>
      <c r="G538" s="458">
        <f t="shared" si="46"/>
        <v>593.79999999999995</v>
      </c>
    </row>
    <row r="539" spans="1:7" ht="47.25" x14ac:dyDescent="0.25">
      <c r="A539" s="98" t="s">
        <v>780</v>
      </c>
      <c r="B539" s="462" t="s">
        <v>264</v>
      </c>
      <c r="C539" s="462" t="s">
        <v>118</v>
      </c>
      <c r="D539" s="462" t="s">
        <v>936</v>
      </c>
      <c r="E539" s="468"/>
      <c r="F539" s="459">
        <f t="shared" si="46"/>
        <v>570.9</v>
      </c>
      <c r="G539" s="459">
        <f t="shared" si="46"/>
        <v>593.79999999999995</v>
      </c>
    </row>
    <row r="540" spans="1:7" ht="47.25" x14ac:dyDescent="0.25">
      <c r="A540" s="29" t="s">
        <v>272</v>
      </c>
      <c r="B540" s="462" t="s">
        <v>264</v>
      </c>
      <c r="C540" s="462" t="s">
        <v>118</v>
      </c>
      <c r="D540" s="462" t="s">
        <v>936</v>
      </c>
      <c r="E540" s="468" t="s">
        <v>273</v>
      </c>
      <c r="F540" s="459">
        <f>F541</f>
        <v>570.9</v>
      </c>
      <c r="G540" s="459">
        <f>G541</f>
        <v>593.79999999999995</v>
      </c>
    </row>
    <row r="541" spans="1:7" ht="15.75" x14ac:dyDescent="0.25">
      <c r="A541" s="182" t="s">
        <v>274</v>
      </c>
      <c r="B541" s="462" t="s">
        <v>264</v>
      </c>
      <c r="C541" s="462" t="s">
        <v>118</v>
      </c>
      <c r="D541" s="462" t="s">
        <v>936</v>
      </c>
      <c r="E541" s="468" t="s">
        <v>275</v>
      </c>
      <c r="F541" s="459">
        <f>'пр.6.1.ведом.22-23 (2)'!G608</f>
        <v>570.9</v>
      </c>
      <c r="G541" s="459">
        <f>'пр.6.1.ведом.22-23 (2)'!H608</f>
        <v>593.79999999999995</v>
      </c>
    </row>
    <row r="542" spans="1:7" ht="15.75" x14ac:dyDescent="0.25">
      <c r="A542" s="470" t="s">
        <v>425</v>
      </c>
      <c r="B542" s="7" t="s">
        <v>264</v>
      </c>
      <c r="C542" s="7" t="s">
        <v>213</v>
      </c>
      <c r="D542" s="7"/>
      <c r="E542" s="7"/>
      <c r="F542" s="458">
        <f>F543+F615+F610</f>
        <v>177341.49999999997</v>
      </c>
      <c r="G542" s="458">
        <f>G543+G615+G610</f>
        <v>196805.15000000002</v>
      </c>
    </row>
    <row r="543" spans="1:7" ht="47.25" x14ac:dyDescent="0.25">
      <c r="A543" s="464" t="s">
        <v>1369</v>
      </c>
      <c r="B543" s="465" t="s">
        <v>264</v>
      </c>
      <c r="C543" s="465" t="s">
        <v>213</v>
      </c>
      <c r="D543" s="465" t="s">
        <v>406</v>
      </c>
      <c r="E543" s="465"/>
      <c r="F543" s="458">
        <f>F544+F548+F567+F580+F587+F591+F595+F602+F606</f>
        <v>176410.99999999997</v>
      </c>
      <c r="G543" s="458">
        <f>G544+G548+G567+G580+G587+G591+G595+G602+G606</f>
        <v>195829.85000000003</v>
      </c>
    </row>
    <row r="544" spans="1:7" ht="47.25" x14ac:dyDescent="0.25">
      <c r="A544" s="464" t="s">
        <v>937</v>
      </c>
      <c r="B544" s="465" t="s">
        <v>264</v>
      </c>
      <c r="C544" s="465" t="s">
        <v>213</v>
      </c>
      <c r="D544" s="465" t="s">
        <v>1235</v>
      </c>
      <c r="E544" s="465"/>
      <c r="F544" s="458">
        <f>F545</f>
        <v>28690.799999999999</v>
      </c>
      <c r="G544" s="458">
        <f>G545</f>
        <v>28690.799999999999</v>
      </c>
    </row>
    <row r="545" spans="1:7" ht="47.25" x14ac:dyDescent="0.25">
      <c r="A545" s="466" t="s">
        <v>1241</v>
      </c>
      <c r="B545" s="462" t="s">
        <v>264</v>
      </c>
      <c r="C545" s="462" t="s">
        <v>213</v>
      </c>
      <c r="D545" s="462" t="s">
        <v>1254</v>
      </c>
      <c r="E545" s="462"/>
      <c r="F545" s="378">
        <f t="shared" ref="F545:G545" si="47">F546</f>
        <v>28690.799999999999</v>
      </c>
      <c r="G545" s="378">
        <f t="shared" si="47"/>
        <v>28690.799999999999</v>
      </c>
    </row>
    <row r="546" spans="1:7" ht="47.25" x14ac:dyDescent="0.25">
      <c r="A546" s="466" t="s">
        <v>272</v>
      </c>
      <c r="B546" s="462" t="s">
        <v>264</v>
      </c>
      <c r="C546" s="462" t="s">
        <v>213</v>
      </c>
      <c r="D546" s="462" t="s">
        <v>1254</v>
      </c>
      <c r="E546" s="462" t="s">
        <v>273</v>
      </c>
      <c r="F546" s="378">
        <f>F547</f>
        <v>28690.799999999999</v>
      </c>
      <c r="G546" s="378">
        <f>G547</f>
        <v>28690.799999999999</v>
      </c>
    </row>
    <row r="547" spans="1:7" ht="15.75" x14ac:dyDescent="0.25">
      <c r="A547" s="466" t="s">
        <v>274</v>
      </c>
      <c r="B547" s="462" t="s">
        <v>264</v>
      </c>
      <c r="C547" s="462" t="s">
        <v>213</v>
      </c>
      <c r="D547" s="462" t="s">
        <v>1254</v>
      </c>
      <c r="E547" s="462" t="s">
        <v>275</v>
      </c>
      <c r="F547" s="459">
        <f>'пр.6.1.ведом.22-23 (2)'!G614</f>
        <v>28690.799999999999</v>
      </c>
      <c r="G547" s="459">
        <f>'пр.6.1.ведом.22-23 (2)'!H614</f>
        <v>28690.799999999999</v>
      </c>
    </row>
    <row r="548" spans="1:7" ht="47.25" x14ac:dyDescent="0.25">
      <c r="A548" s="464" t="s">
        <v>900</v>
      </c>
      <c r="B548" s="465" t="s">
        <v>264</v>
      </c>
      <c r="C548" s="465" t="s">
        <v>213</v>
      </c>
      <c r="D548" s="465" t="s">
        <v>1237</v>
      </c>
      <c r="E548" s="465"/>
      <c r="F548" s="458">
        <f>F555+F558+F561+F564+F552+F549</f>
        <v>131370.9</v>
      </c>
      <c r="G548" s="458">
        <f>G555+G558+G561+G564+G552+G549</f>
        <v>150534.80000000002</v>
      </c>
    </row>
    <row r="549" spans="1:7" ht="78.75" x14ac:dyDescent="0.25">
      <c r="A549" s="466" t="s">
        <v>1403</v>
      </c>
      <c r="B549" s="462" t="s">
        <v>264</v>
      </c>
      <c r="C549" s="462" t="s">
        <v>213</v>
      </c>
      <c r="D549" s="462" t="s">
        <v>1404</v>
      </c>
      <c r="E549" s="462"/>
      <c r="F549" s="27">
        <f>F550</f>
        <v>7226.1</v>
      </c>
      <c r="G549" s="27">
        <f>G550</f>
        <v>7226.1</v>
      </c>
    </row>
    <row r="550" spans="1:7" ht="47.25" x14ac:dyDescent="0.25">
      <c r="A550" s="466" t="s">
        <v>272</v>
      </c>
      <c r="B550" s="462" t="s">
        <v>264</v>
      </c>
      <c r="C550" s="462" t="s">
        <v>213</v>
      </c>
      <c r="D550" s="462" t="s">
        <v>1404</v>
      </c>
      <c r="E550" s="462" t="s">
        <v>273</v>
      </c>
      <c r="F550" s="27">
        <f>F551</f>
        <v>7226.1</v>
      </c>
      <c r="G550" s="27">
        <f>G551</f>
        <v>7226.1</v>
      </c>
    </row>
    <row r="551" spans="1:7" ht="15.75" x14ac:dyDescent="0.25">
      <c r="A551" s="466" t="s">
        <v>274</v>
      </c>
      <c r="B551" s="462" t="s">
        <v>264</v>
      </c>
      <c r="C551" s="462" t="s">
        <v>213</v>
      </c>
      <c r="D551" s="462" t="s">
        <v>1404</v>
      </c>
      <c r="E551" s="462" t="s">
        <v>275</v>
      </c>
      <c r="F551" s="27">
        <f>'пр.6.1.ведом.22-23 (2)'!G618</f>
        <v>7226.1</v>
      </c>
      <c r="G551" s="27">
        <f>'пр.6.1.ведом.22-23 (2)'!H618</f>
        <v>7226.1</v>
      </c>
    </row>
    <row r="552" spans="1:7" ht="110.25" x14ac:dyDescent="0.25">
      <c r="A552" s="31" t="s">
        <v>464</v>
      </c>
      <c r="B552" s="462" t="s">
        <v>264</v>
      </c>
      <c r="C552" s="462" t="s">
        <v>213</v>
      </c>
      <c r="D552" s="462" t="s">
        <v>1401</v>
      </c>
      <c r="E552" s="462"/>
      <c r="F552" s="459">
        <f>F553</f>
        <v>4610</v>
      </c>
      <c r="G552" s="459">
        <f>G553</f>
        <v>4610</v>
      </c>
    </row>
    <row r="553" spans="1:7" ht="47.25" x14ac:dyDescent="0.25">
      <c r="A553" s="466" t="s">
        <v>272</v>
      </c>
      <c r="B553" s="462" t="s">
        <v>264</v>
      </c>
      <c r="C553" s="462" t="s">
        <v>213</v>
      </c>
      <c r="D553" s="462" t="s">
        <v>1401</v>
      </c>
      <c r="E553" s="462" t="s">
        <v>273</v>
      </c>
      <c r="F553" s="459">
        <f>F554</f>
        <v>4610</v>
      </c>
      <c r="G553" s="459">
        <f>G554</f>
        <v>4610</v>
      </c>
    </row>
    <row r="554" spans="1:7" ht="15.75" x14ac:dyDescent="0.25">
      <c r="A554" s="466" t="s">
        <v>274</v>
      </c>
      <c r="B554" s="462" t="s">
        <v>264</v>
      </c>
      <c r="C554" s="462" t="s">
        <v>213</v>
      </c>
      <c r="D554" s="462" t="s">
        <v>1401</v>
      </c>
      <c r="E554" s="462" t="s">
        <v>275</v>
      </c>
      <c r="F554" s="459">
        <f>'пр.6.1.ведом.22-23 (2)'!G621</f>
        <v>4610</v>
      </c>
      <c r="G554" s="459">
        <f>'пр.6.1.ведом.22-23 (2)'!H621</f>
        <v>4610</v>
      </c>
    </row>
    <row r="555" spans="1:7" ht="102.75" customHeight="1" x14ac:dyDescent="0.25">
      <c r="A555" s="31" t="s">
        <v>1189</v>
      </c>
      <c r="B555" s="462" t="s">
        <v>264</v>
      </c>
      <c r="C555" s="462" t="s">
        <v>213</v>
      </c>
      <c r="D555" s="462" t="s">
        <v>1255</v>
      </c>
      <c r="E555" s="462"/>
      <c r="F555" s="459">
        <f>F556</f>
        <v>115047.8</v>
      </c>
      <c r="G555" s="459">
        <f>G556</f>
        <v>134211.70000000001</v>
      </c>
    </row>
    <row r="556" spans="1:7" ht="51" customHeight="1" x14ac:dyDescent="0.25">
      <c r="A556" s="466" t="s">
        <v>272</v>
      </c>
      <c r="B556" s="462" t="s">
        <v>264</v>
      </c>
      <c r="C556" s="462" t="s">
        <v>213</v>
      </c>
      <c r="D556" s="462" t="s">
        <v>1255</v>
      </c>
      <c r="E556" s="462" t="s">
        <v>273</v>
      </c>
      <c r="F556" s="459">
        <f t="shared" ref="F556:G556" si="48">F557</f>
        <v>115047.8</v>
      </c>
      <c r="G556" s="459">
        <f t="shared" si="48"/>
        <v>134211.70000000001</v>
      </c>
    </row>
    <row r="557" spans="1:7" ht="15.75" x14ac:dyDescent="0.25">
      <c r="A557" s="466" t="s">
        <v>274</v>
      </c>
      <c r="B557" s="462" t="s">
        <v>264</v>
      </c>
      <c r="C557" s="462" t="s">
        <v>213</v>
      </c>
      <c r="D557" s="462" t="s">
        <v>1255</v>
      </c>
      <c r="E557" s="462" t="s">
        <v>275</v>
      </c>
      <c r="F557" s="459">
        <f>'пр.6.1.ведом.22-23 (2)'!G624</f>
        <v>115047.8</v>
      </c>
      <c r="G557" s="459">
        <f>'пр.6.1.ведом.22-23 (2)'!H624</f>
        <v>134211.70000000001</v>
      </c>
    </row>
    <row r="558" spans="1:7" ht="63" x14ac:dyDescent="0.25">
      <c r="A558" s="31" t="s">
        <v>289</v>
      </c>
      <c r="B558" s="462" t="s">
        <v>264</v>
      </c>
      <c r="C558" s="462" t="s">
        <v>213</v>
      </c>
      <c r="D558" s="462" t="s">
        <v>1238</v>
      </c>
      <c r="E558" s="462"/>
      <c r="F558" s="459">
        <f>F559</f>
        <v>1311</v>
      </c>
      <c r="G558" s="459">
        <f>G559</f>
        <v>1311</v>
      </c>
    </row>
    <row r="559" spans="1:7" ht="47.25" x14ac:dyDescent="0.25">
      <c r="A559" s="466" t="s">
        <v>272</v>
      </c>
      <c r="B559" s="462" t="s">
        <v>264</v>
      </c>
      <c r="C559" s="462" t="s">
        <v>213</v>
      </c>
      <c r="D559" s="462" t="s">
        <v>1238</v>
      </c>
      <c r="E559" s="462" t="s">
        <v>273</v>
      </c>
      <c r="F559" s="459">
        <f t="shared" ref="F559:G559" si="49">F560</f>
        <v>1311</v>
      </c>
      <c r="G559" s="459">
        <f t="shared" si="49"/>
        <v>1311</v>
      </c>
    </row>
    <row r="560" spans="1:7" ht="15.75" x14ac:dyDescent="0.25">
      <c r="A560" s="466" t="s">
        <v>274</v>
      </c>
      <c r="B560" s="462" t="s">
        <v>264</v>
      </c>
      <c r="C560" s="462" t="s">
        <v>213</v>
      </c>
      <c r="D560" s="462" t="s">
        <v>1238</v>
      </c>
      <c r="E560" s="462" t="s">
        <v>275</v>
      </c>
      <c r="F560" s="459">
        <f>'пр.6.1.ведом.22-23 (2)'!G627</f>
        <v>1311</v>
      </c>
      <c r="G560" s="459">
        <f>'пр.6.1.ведом.22-23 (2)'!H627</f>
        <v>1311</v>
      </c>
    </row>
    <row r="561" spans="1:7" ht="78.75" x14ac:dyDescent="0.25">
      <c r="A561" s="31" t="s">
        <v>291</v>
      </c>
      <c r="B561" s="462" t="s">
        <v>264</v>
      </c>
      <c r="C561" s="462" t="s">
        <v>213</v>
      </c>
      <c r="D561" s="462" t="s">
        <v>1239</v>
      </c>
      <c r="E561" s="462"/>
      <c r="F561" s="459">
        <f>F562</f>
        <v>2266.6999999999998</v>
      </c>
      <c r="G561" s="459">
        <f>G562</f>
        <v>2266.6999999999998</v>
      </c>
    </row>
    <row r="562" spans="1:7" ht="47.25" x14ac:dyDescent="0.25">
      <c r="A562" s="466" t="s">
        <v>272</v>
      </c>
      <c r="B562" s="462" t="s">
        <v>264</v>
      </c>
      <c r="C562" s="462" t="s">
        <v>213</v>
      </c>
      <c r="D562" s="462" t="s">
        <v>1239</v>
      </c>
      <c r="E562" s="462" t="s">
        <v>273</v>
      </c>
      <c r="F562" s="459">
        <f t="shared" ref="F562:G562" si="50">F563</f>
        <v>2266.6999999999998</v>
      </c>
      <c r="G562" s="459">
        <f t="shared" si="50"/>
        <v>2266.6999999999998</v>
      </c>
    </row>
    <row r="563" spans="1:7" ht="15.75" x14ac:dyDescent="0.25">
      <c r="A563" s="466" t="s">
        <v>274</v>
      </c>
      <c r="B563" s="462" t="s">
        <v>264</v>
      </c>
      <c r="C563" s="462" t="s">
        <v>213</v>
      </c>
      <c r="D563" s="462" t="s">
        <v>1239</v>
      </c>
      <c r="E563" s="462" t="s">
        <v>275</v>
      </c>
      <c r="F563" s="459">
        <f>'пр.6.1.ведом.22-23 (2)'!G630</f>
        <v>2266.6999999999998</v>
      </c>
      <c r="G563" s="459">
        <f>'пр.6.1.ведом.22-23 (2)'!H630</f>
        <v>2266.6999999999998</v>
      </c>
    </row>
    <row r="564" spans="1:7" ht="47.25" x14ac:dyDescent="0.25">
      <c r="A564" s="31" t="s">
        <v>462</v>
      </c>
      <c r="B564" s="462" t="s">
        <v>264</v>
      </c>
      <c r="C564" s="462" t="s">
        <v>213</v>
      </c>
      <c r="D564" s="462" t="s">
        <v>1256</v>
      </c>
      <c r="E564" s="462"/>
      <c r="F564" s="459">
        <f>F565</f>
        <v>909.3</v>
      </c>
      <c r="G564" s="459">
        <f>G565</f>
        <v>909.3</v>
      </c>
    </row>
    <row r="565" spans="1:7" ht="47.25" x14ac:dyDescent="0.25">
      <c r="A565" s="466" t="s">
        <v>272</v>
      </c>
      <c r="B565" s="462" t="s">
        <v>264</v>
      </c>
      <c r="C565" s="462" t="s">
        <v>213</v>
      </c>
      <c r="D565" s="462" t="s">
        <v>1256</v>
      </c>
      <c r="E565" s="462" t="s">
        <v>273</v>
      </c>
      <c r="F565" s="459">
        <f t="shared" ref="F565:G565" si="51">F566</f>
        <v>909.3</v>
      </c>
      <c r="G565" s="459">
        <f t="shared" si="51"/>
        <v>909.3</v>
      </c>
    </row>
    <row r="566" spans="1:7" ht="15.75" x14ac:dyDescent="0.25">
      <c r="A566" s="466" t="s">
        <v>274</v>
      </c>
      <c r="B566" s="462" t="s">
        <v>264</v>
      </c>
      <c r="C566" s="462" t="s">
        <v>213</v>
      </c>
      <c r="D566" s="462" t="s">
        <v>1256</v>
      </c>
      <c r="E566" s="462" t="s">
        <v>275</v>
      </c>
      <c r="F566" s="459">
        <f>'пр.6.1.ведом.22-23 (2)'!G633</f>
        <v>909.3</v>
      </c>
      <c r="G566" s="459">
        <f>'пр.6.1.ведом.22-23 (2)'!H633</f>
        <v>909.3</v>
      </c>
    </row>
    <row r="567" spans="1:7" ht="31.5" x14ac:dyDescent="0.25">
      <c r="A567" s="464" t="s">
        <v>1309</v>
      </c>
      <c r="B567" s="465" t="s">
        <v>264</v>
      </c>
      <c r="C567" s="465" t="s">
        <v>213</v>
      </c>
      <c r="D567" s="465" t="s">
        <v>1242</v>
      </c>
      <c r="E567" s="465"/>
      <c r="F567" s="458">
        <f>F568+F571+F574+F577</f>
        <v>224</v>
      </c>
      <c r="G567" s="458">
        <f>G568+G571+G574+G577</f>
        <v>224</v>
      </c>
    </row>
    <row r="568" spans="1:7" ht="47.25" hidden="1" x14ac:dyDescent="0.25">
      <c r="A568" s="466" t="s">
        <v>440</v>
      </c>
      <c r="B568" s="462" t="s">
        <v>264</v>
      </c>
      <c r="C568" s="462" t="s">
        <v>213</v>
      </c>
      <c r="D568" s="462" t="s">
        <v>1324</v>
      </c>
      <c r="E568" s="462"/>
      <c r="F568" s="459">
        <f t="shared" ref="F568:G568" si="52">F569</f>
        <v>0</v>
      </c>
      <c r="G568" s="459">
        <f t="shared" si="52"/>
        <v>0</v>
      </c>
    </row>
    <row r="569" spans="1:7" ht="47.25" hidden="1" x14ac:dyDescent="0.25">
      <c r="A569" s="466" t="s">
        <v>272</v>
      </c>
      <c r="B569" s="462" t="s">
        <v>264</v>
      </c>
      <c r="C569" s="462" t="s">
        <v>213</v>
      </c>
      <c r="D569" s="462" t="s">
        <v>1324</v>
      </c>
      <c r="E569" s="462" t="s">
        <v>273</v>
      </c>
      <c r="F569" s="459">
        <f>F570</f>
        <v>0</v>
      </c>
      <c r="G569" s="459">
        <f>G570</f>
        <v>0</v>
      </c>
    </row>
    <row r="570" spans="1:7" ht="15.75" hidden="1" x14ac:dyDescent="0.25">
      <c r="A570" s="466" t="s">
        <v>274</v>
      </c>
      <c r="B570" s="462" t="s">
        <v>264</v>
      </c>
      <c r="C570" s="462" t="s">
        <v>213</v>
      </c>
      <c r="D570" s="462" t="s">
        <v>1324</v>
      </c>
      <c r="E570" s="462" t="s">
        <v>275</v>
      </c>
      <c r="F570" s="459">
        <f>'пр.6.1.ведом.22-23 (2)'!G637</f>
        <v>0</v>
      </c>
      <c r="G570" s="459">
        <f>'пр.6.1.ведом.22-23 (2)'!H637</f>
        <v>0</v>
      </c>
    </row>
    <row r="571" spans="1:7" ht="47.25" hidden="1" x14ac:dyDescent="0.25">
      <c r="A571" s="466" t="s">
        <v>278</v>
      </c>
      <c r="B571" s="462" t="s">
        <v>264</v>
      </c>
      <c r="C571" s="462" t="s">
        <v>213</v>
      </c>
      <c r="D571" s="462" t="s">
        <v>1325</v>
      </c>
      <c r="E571" s="462"/>
      <c r="F571" s="459">
        <f t="shared" ref="F571:G571" si="53">F572</f>
        <v>0</v>
      </c>
      <c r="G571" s="459">
        <f t="shared" si="53"/>
        <v>0</v>
      </c>
    </row>
    <row r="572" spans="1:7" ht="47.25" hidden="1" x14ac:dyDescent="0.25">
      <c r="A572" s="466" t="s">
        <v>272</v>
      </c>
      <c r="B572" s="462" t="s">
        <v>264</v>
      </c>
      <c r="C572" s="462" t="s">
        <v>213</v>
      </c>
      <c r="D572" s="462" t="s">
        <v>1325</v>
      </c>
      <c r="E572" s="462" t="s">
        <v>273</v>
      </c>
      <c r="F572" s="459">
        <f>F573</f>
        <v>0</v>
      </c>
      <c r="G572" s="459">
        <f>G573</f>
        <v>0</v>
      </c>
    </row>
    <row r="573" spans="1:7" ht="15.75" hidden="1" x14ac:dyDescent="0.25">
      <c r="A573" s="466" t="s">
        <v>274</v>
      </c>
      <c r="B573" s="462" t="s">
        <v>264</v>
      </c>
      <c r="C573" s="462" t="s">
        <v>213</v>
      </c>
      <c r="D573" s="462" t="s">
        <v>1325</v>
      </c>
      <c r="E573" s="462" t="s">
        <v>275</v>
      </c>
      <c r="F573" s="459">
        <f>'пр.6.1.ведом.22-23 (2)'!G640</f>
        <v>0</v>
      </c>
      <c r="G573" s="459">
        <f>'пр.6.1.ведом.22-23 (2)'!H640</f>
        <v>0</v>
      </c>
    </row>
    <row r="574" spans="1:7" ht="31.5" hidden="1" x14ac:dyDescent="0.25">
      <c r="A574" s="466" t="s">
        <v>280</v>
      </c>
      <c r="B574" s="462" t="s">
        <v>264</v>
      </c>
      <c r="C574" s="462" t="s">
        <v>213</v>
      </c>
      <c r="D574" s="462" t="s">
        <v>1326</v>
      </c>
      <c r="E574" s="462"/>
      <c r="F574" s="459">
        <f t="shared" ref="F574:G574" si="54">F575</f>
        <v>0</v>
      </c>
      <c r="G574" s="459">
        <f t="shared" si="54"/>
        <v>0</v>
      </c>
    </row>
    <row r="575" spans="1:7" ht="47.25" hidden="1" x14ac:dyDescent="0.25">
      <c r="A575" s="466" t="s">
        <v>272</v>
      </c>
      <c r="B575" s="462" t="s">
        <v>264</v>
      </c>
      <c r="C575" s="462" t="s">
        <v>213</v>
      </c>
      <c r="D575" s="462" t="s">
        <v>1326</v>
      </c>
      <c r="E575" s="462" t="s">
        <v>273</v>
      </c>
      <c r="F575" s="459">
        <f>F576</f>
        <v>0</v>
      </c>
      <c r="G575" s="459">
        <f>G576</f>
        <v>0</v>
      </c>
    </row>
    <row r="576" spans="1:7" ht="15.75" hidden="1" x14ac:dyDescent="0.25">
      <c r="A576" s="466" t="s">
        <v>274</v>
      </c>
      <c r="B576" s="462" t="s">
        <v>264</v>
      </c>
      <c r="C576" s="462" t="s">
        <v>213</v>
      </c>
      <c r="D576" s="462" t="s">
        <v>1326</v>
      </c>
      <c r="E576" s="462" t="s">
        <v>275</v>
      </c>
      <c r="F576" s="459">
        <f>'пр.6.1.ведом.22-23 (2)'!G643</f>
        <v>0</v>
      </c>
      <c r="G576" s="459">
        <f>'пр.6.1.ведом.22-23 (2)'!H643</f>
        <v>0</v>
      </c>
    </row>
    <row r="577" spans="1:7" ht="47.25" x14ac:dyDescent="0.25">
      <c r="A577" s="466" t="s">
        <v>282</v>
      </c>
      <c r="B577" s="462" t="s">
        <v>264</v>
      </c>
      <c r="C577" s="462" t="s">
        <v>213</v>
      </c>
      <c r="D577" s="462" t="s">
        <v>1258</v>
      </c>
      <c r="E577" s="462"/>
      <c r="F577" s="459">
        <f t="shared" ref="F577:G577" si="55">F578</f>
        <v>224</v>
      </c>
      <c r="G577" s="459">
        <f t="shared" si="55"/>
        <v>224</v>
      </c>
    </row>
    <row r="578" spans="1:7" ht="47.25" x14ac:dyDescent="0.25">
      <c r="A578" s="466" t="s">
        <v>272</v>
      </c>
      <c r="B578" s="462" t="s">
        <v>264</v>
      </c>
      <c r="C578" s="462" t="s">
        <v>213</v>
      </c>
      <c r="D578" s="462" t="s">
        <v>1258</v>
      </c>
      <c r="E578" s="462" t="s">
        <v>273</v>
      </c>
      <c r="F578" s="459">
        <f>F579</f>
        <v>224</v>
      </c>
      <c r="G578" s="459">
        <f>G579</f>
        <v>224</v>
      </c>
    </row>
    <row r="579" spans="1:7" ht="15.75" x14ac:dyDescent="0.25">
      <c r="A579" s="466" t="s">
        <v>274</v>
      </c>
      <c r="B579" s="462" t="s">
        <v>264</v>
      </c>
      <c r="C579" s="462" t="s">
        <v>213</v>
      </c>
      <c r="D579" s="462" t="s">
        <v>1258</v>
      </c>
      <c r="E579" s="462" t="s">
        <v>275</v>
      </c>
      <c r="F579" s="459">
        <f>'пр.6.1.ведом.22-23 (2)'!G646</f>
        <v>224</v>
      </c>
      <c r="G579" s="459">
        <f>'пр.6.1.ведом.22-23 (2)'!H646</f>
        <v>224</v>
      </c>
    </row>
    <row r="580" spans="1:7" ht="47.25" x14ac:dyDescent="0.25">
      <c r="A580" s="218" t="s">
        <v>948</v>
      </c>
      <c r="B580" s="465" t="s">
        <v>264</v>
      </c>
      <c r="C580" s="465" t="s">
        <v>213</v>
      </c>
      <c r="D580" s="465" t="s">
        <v>1245</v>
      </c>
      <c r="E580" s="465"/>
      <c r="F580" s="458">
        <f>F581+F584</f>
        <v>2888</v>
      </c>
      <c r="G580" s="458">
        <f>G581+G584</f>
        <v>2888</v>
      </c>
    </row>
    <row r="581" spans="1:7" ht="31.5" hidden="1" x14ac:dyDescent="0.25">
      <c r="A581" s="466" t="s">
        <v>284</v>
      </c>
      <c r="B581" s="462" t="s">
        <v>264</v>
      </c>
      <c r="C581" s="462" t="s">
        <v>213</v>
      </c>
      <c r="D581" s="462" t="s">
        <v>1263</v>
      </c>
      <c r="E581" s="462"/>
      <c r="F581" s="459">
        <f>F582</f>
        <v>0</v>
      </c>
      <c r="G581" s="459">
        <f>G582</f>
        <v>0</v>
      </c>
    </row>
    <row r="582" spans="1:7" ht="47.25" hidden="1" x14ac:dyDescent="0.25">
      <c r="A582" s="466" t="s">
        <v>272</v>
      </c>
      <c r="B582" s="462" t="s">
        <v>264</v>
      </c>
      <c r="C582" s="462" t="s">
        <v>213</v>
      </c>
      <c r="D582" s="462" t="s">
        <v>1263</v>
      </c>
      <c r="E582" s="462" t="s">
        <v>273</v>
      </c>
      <c r="F582" s="459">
        <f>F583</f>
        <v>0</v>
      </c>
      <c r="G582" s="459">
        <f>G583</f>
        <v>0</v>
      </c>
    </row>
    <row r="583" spans="1:7" ht="18.75" hidden="1" customHeight="1" x14ac:dyDescent="0.25">
      <c r="A583" s="466" t="s">
        <v>274</v>
      </c>
      <c r="B583" s="462" t="s">
        <v>264</v>
      </c>
      <c r="C583" s="462" t="s">
        <v>213</v>
      </c>
      <c r="D583" s="462" t="s">
        <v>1263</v>
      </c>
      <c r="E583" s="462" t="s">
        <v>275</v>
      </c>
      <c r="F583" s="459">
        <f>'пр.6.1.ведом.22-23 (2)'!G650</f>
        <v>0</v>
      </c>
      <c r="G583" s="459">
        <f>'пр.6.1.ведом.22-23 (2)'!H650</f>
        <v>0</v>
      </c>
    </row>
    <row r="584" spans="1:7" ht="47.25" x14ac:dyDescent="0.25">
      <c r="A584" s="60" t="s">
        <v>764</v>
      </c>
      <c r="B584" s="462" t="s">
        <v>264</v>
      </c>
      <c r="C584" s="462" t="s">
        <v>213</v>
      </c>
      <c r="D584" s="462" t="s">
        <v>1246</v>
      </c>
      <c r="E584" s="462"/>
      <c r="F584" s="459">
        <f>F585</f>
        <v>2888</v>
      </c>
      <c r="G584" s="459">
        <f>G585</f>
        <v>2888</v>
      </c>
    </row>
    <row r="585" spans="1:7" ht="47.25" x14ac:dyDescent="0.25">
      <c r="A585" s="29" t="s">
        <v>272</v>
      </c>
      <c r="B585" s="462" t="s">
        <v>264</v>
      </c>
      <c r="C585" s="462" t="s">
        <v>213</v>
      </c>
      <c r="D585" s="462" t="s">
        <v>1246</v>
      </c>
      <c r="E585" s="462" t="s">
        <v>273</v>
      </c>
      <c r="F585" s="459">
        <f>F586</f>
        <v>2888</v>
      </c>
      <c r="G585" s="459">
        <f>G586</f>
        <v>2888</v>
      </c>
    </row>
    <row r="586" spans="1:7" ht="15.75" x14ac:dyDescent="0.25">
      <c r="A586" s="182" t="s">
        <v>274</v>
      </c>
      <c r="B586" s="462" t="s">
        <v>264</v>
      </c>
      <c r="C586" s="462" t="s">
        <v>213</v>
      </c>
      <c r="D586" s="462" t="s">
        <v>1246</v>
      </c>
      <c r="E586" s="462" t="s">
        <v>275</v>
      </c>
      <c r="F586" s="459">
        <f>'пр.6.1.ведом.22-23 (2)'!G653</f>
        <v>2888</v>
      </c>
      <c r="G586" s="459">
        <f>'пр.6.1.ведом.22-23 (2)'!H653</f>
        <v>2888</v>
      </c>
    </row>
    <row r="587" spans="1:7" ht="31.5" x14ac:dyDescent="0.25">
      <c r="A587" s="464" t="s">
        <v>938</v>
      </c>
      <c r="B587" s="465" t="s">
        <v>264</v>
      </c>
      <c r="C587" s="465" t="s">
        <v>213</v>
      </c>
      <c r="D587" s="465" t="s">
        <v>1259</v>
      </c>
      <c r="E587" s="465"/>
      <c r="F587" s="458">
        <f t="shared" ref="F587:G589" si="56">F588</f>
        <v>3931.8</v>
      </c>
      <c r="G587" s="458">
        <f t="shared" si="56"/>
        <v>3865.2</v>
      </c>
    </row>
    <row r="588" spans="1:7" ht="47.25" x14ac:dyDescent="0.25">
      <c r="A588" s="29" t="s">
        <v>602</v>
      </c>
      <c r="B588" s="462" t="s">
        <v>264</v>
      </c>
      <c r="C588" s="462" t="s">
        <v>213</v>
      </c>
      <c r="D588" s="462" t="s">
        <v>1260</v>
      </c>
      <c r="E588" s="462"/>
      <c r="F588" s="459">
        <f t="shared" si="56"/>
        <v>3931.8</v>
      </c>
      <c r="G588" s="459">
        <f t="shared" si="56"/>
        <v>3865.2</v>
      </c>
    </row>
    <row r="589" spans="1:7" ht="47.25" x14ac:dyDescent="0.25">
      <c r="A589" s="466" t="s">
        <v>272</v>
      </c>
      <c r="B589" s="462" t="s">
        <v>264</v>
      </c>
      <c r="C589" s="462" t="s">
        <v>213</v>
      </c>
      <c r="D589" s="462" t="s">
        <v>1260</v>
      </c>
      <c r="E589" s="462" t="s">
        <v>273</v>
      </c>
      <c r="F589" s="459">
        <f t="shared" si="56"/>
        <v>3931.8</v>
      </c>
      <c r="G589" s="459">
        <f t="shared" si="56"/>
        <v>3865.2</v>
      </c>
    </row>
    <row r="590" spans="1:7" ht="15.75" x14ac:dyDescent="0.25">
      <c r="A590" s="466" t="s">
        <v>274</v>
      </c>
      <c r="B590" s="462" t="s">
        <v>264</v>
      </c>
      <c r="C590" s="462" t="s">
        <v>213</v>
      </c>
      <c r="D590" s="462" t="s">
        <v>1260</v>
      </c>
      <c r="E590" s="462" t="s">
        <v>275</v>
      </c>
      <c r="F590" s="459">
        <f>'пр.6.1.ведом.22-23 (2)'!G657</f>
        <v>3931.8</v>
      </c>
      <c r="G590" s="459">
        <f>'пр.6.1.ведом.22-23 (2)'!H657</f>
        <v>3865.2</v>
      </c>
    </row>
    <row r="591" spans="1:7" ht="31.5" x14ac:dyDescent="0.25">
      <c r="A591" s="464" t="s">
        <v>939</v>
      </c>
      <c r="B591" s="465" t="s">
        <v>264</v>
      </c>
      <c r="C591" s="465" t="s">
        <v>213</v>
      </c>
      <c r="D591" s="465" t="s">
        <v>1261</v>
      </c>
      <c r="E591" s="465"/>
      <c r="F591" s="458">
        <f t="shared" ref="F591:G593" si="57">F592</f>
        <v>1384.6</v>
      </c>
      <c r="G591" s="458">
        <f t="shared" si="57"/>
        <v>1384.6</v>
      </c>
    </row>
    <row r="592" spans="1:7" ht="63" x14ac:dyDescent="0.25">
      <c r="A592" s="466" t="s">
        <v>438</v>
      </c>
      <c r="B592" s="462" t="s">
        <v>264</v>
      </c>
      <c r="C592" s="462" t="s">
        <v>213</v>
      </c>
      <c r="D592" s="462" t="s">
        <v>1262</v>
      </c>
      <c r="E592" s="462"/>
      <c r="F592" s="459">
        <f t="shared" si="57"/>
        <v>1384.6</v>
      </c>
      <c r="G592" s="459">
        <f t="shared" si="57"/>
        <v>1384.6</v>
      </c>
    </row>
    <row r="593" spans="1:7" ht="47.25" x14ac:dyDescent="0.25">
      <c r="A593" s="466" t="s">
        <v>272</v>
      </c>
      <c r="B593" s="462" t="s">
        <v>264</v>
      </c>
      <c r="C593" s="462" t="s">
        <v>213</v>
      </c>
      <c r="D593" s="462" t="s">
        <v>1262</v>
      </c>
      <c r="E593" s="462" t="s">
        <v>273</v>
      </c>
      <c r="F593" s="459">
        <f t="shared" si="57"/>
        <v>1384.6</v>
      </c>
      <c r="G593" s="459">
        <f t="shared" si="57"/>
        <v>1384.6</v>
      </c>
    </row>
    <row r="594" spans="1:7" ht="15.75" x14ac:dyDescent="0.25">
      <c r="A594" s="466" t="s">
        <v>274</v>
      </c>
      <c r="B594" s="462" t="s">
        <v>264</v>
      </c>
      <c r="C594" s="462" t="s">
        <v>213</v>
      </c>
      <c r="D594" s="462" t="s">
        <v>1262</v>
      </c>
      <c r="E594" s="462" t="s">
        <v>275</v>
      </c>
      <c r="F594" s="459">
        <f>'пр.6.1.ведом.22-23 (2)'!G661</f>
        <v>1384.6</v>
      </c>
      <c r="G594" s="459">
        <f>'пр.6.1.ведом.22-23 (2)'!H661</f>
        <v>1384.6</v>
      </c>
    </row>
    <row r="595" spans="1:7" ht="31.5" x14ac:dyDescent="0.25">
      <c r="A595" s="216" t="s">
        <v>940</v>
      </c>
      <c r="B595" s="465" t="s">
        <v>264</v>
      </c>
      <c r="C595" s="465" t="s">
        <v>213</v>
      </c>
      <c r="D595" s="465" t="s">
        <v>1264</v>
      </c>
      <c r="E595" s="465"/>
      <c r="F595" s="458">
        <f>F596+F599</f>
        <v>755.8</v>
      </c>
      <c r="G595" s="458">
        <f>G596+G599</f>
        <v>759</v>
      </c>
    </row>
    <row r="596" spans="1:7" ht="63" x14ac:dyDescent="0.25">
      <c r="A596" s="182" t="s">
        <v>828</v>
      </c>
      <c r="B596" s="462" t="s">
        <v>264</v>
      </c>
      <c r="C596" s="462" t="s">
        <v>213</v>
      </c>
      <c r="D596" s="462" t="s">
        <v>1437</v>
      </c>
      <c r="E596" s="462"/>
      <c r="F596" s="459">
        <f t="shared" ref="F596:G596" si="58">F597</f>
        <v>755.8</v>
      </c>
      <c r="G596" s="459">
        <f t="shared" si="58"/>
        <v>759</v>
      </c>
    </row>
    <row r="597" spans="1:7" ht="47.25" x14ac:dyDescent="0.25">
      <c r="A597" s="31" t="s">
        <v>272</v>
      </c>
      <c r="B597" s="462" t="s">
        <v>264</v>
      </c>
      <c r="C597" s="462" t="s">
        <v>213</v>
      </c>
      <c r="D597" s="462" t="s">
        <v>1437</v>
      </c>
      <c r="E597" s="462" t="s">
        <v>273</v>
      </c>
      <c r="F597" s="459">
        <f>F598</f>
        <v>755.8</v>
      </c>
      <c r="G597" s="459">
        <f>G598</f>
        <v>759</v>
      </c>
    </row>
    <row r="598" spans="1:7" ht="15.75" x14ac:dyDescent="0.25">
      <c r="A598" s="31" t="s">
        <v>274</v>
      </c>
      <c r="B598" s="462" t="s">
        <v>264</v>
      </c>
      <c r="C598" s="462" t="s">
        <v>213</v>
      </c>
      <c r="D598" s="462" t="s">
        <v>1437</v>
      </c>
      <c r="E598" s="462" t="s">
        <v>275</v>
      </c>
      <c r="F598" s="459">
        <f>'пр.6.1.ведом.22-23 (2)'!G665</f>
        <v>755.8</v>
      </c>
      <c r="G598" s="459">
        <f>'пр.6.1.ведом.22-23 (2)'!H665</f>
        <v>759</v>
      </c>
    </row>
    <row r="599" spans="1:7" ht="31.5" hidden="1" x14ac:dyDescent="0.25">
      <c r="A599" s="345" t="s">
        <v>1436</v>
      </c>
      <c r="B599" s="462" t="s">
        <v>264</v>
      </c>
      <c r="C599" s="462" t="s">
        <v>213</v>
      </c>
      <c r="D599" s="462" t="s">
        <v>1438</v>
      </c>
      <c r="E599" s="462"/>
      <c r="F599" s="467">
        <f>F600</f>
        <v>0</v>
      </c>
      <c r="G599" s="459">
        <f>G600</f>
        <v>0</v>
      </c>
    </row>
    <row r="600" spans="1:7" ht="47.25" hidden="1" x14ac:dyDescent="0.25">
      <c r="A600" s="31" t="s">
        <v>272</v>
      </c>
      <c r="B600" s="462" t="s">
        <v>264</v>
      </c>
      <c r="C600" s="462" t="s">
        <v>213</v>
      </c>
      <c r="D600" s="462" t="s">
        <v>1438</v>
      </c>
      <c r="E600" s="462" t="s">
        <v>273</v>
      </c>
      <c r="F600" s="467">
        <f>F601</f>
        <v>0</v>
      </c>
      <c r="G600" s="459">
        <f>G601</f>
        <v>0</v>
      </c>
    </row>
    <row r="601" spans="1:7" ht="15.75" hidden="1" x14ac:dyDescent="0.25">
      <c r="A601" s="31" t="s">
        <v>274</v>
      </c>
      <c r="B601" s="462" t="s">
        <v>264</v>
      </c>
      <c r="C601" s="462" t="s">
        <v>213</v>
      </c>
      <c r="D601" s="462" t="s">
        <v>1438</v>
      </c>
      <c r="E601" s="462" t="s">
        <v>275</v>
      </c>
      <c r="F601" s="467">
        <v>0</v>
      </c>
      <c r="G601" s="459">
        <v>0</v>
      </c>
    </row>
    <row r="602" spans="1:7" ht="47.25" x14ac:dyDescent="0.25">
      <c r="A602" s="298" t="s">
        <v>1416</v>
      </c>
      <c r="B602" s="465" t="s">
        <v>264</v>
      </c>
      <c r="C602" s="465" t="s">
        <v>213</v>
      </c>
      <c r="D602" s="465" t="s">
        <v>1415</v>
      </c>
      <c r="E602" s="465"/>
      <c r="F602" s="463">
        <f t="shared" ref="F602:G604" si="59">F603</f>
        <v>5415.6500000000005</v>
      </c>
      <c r="G602" s="463">
        <f t="shared" si="59"/>
        <v>5142.4500000000007</v>
      </c>
    </row>
    <row r="603" spans="1:7" ht="78.75" x14ac:dyDescent="0.25">
      <c r="A603" s="297" t="s">
        <v>1402</v>
      </c>
      <c r="B603" s="462" t="s">
        <v>264</v>
      </c>
      <c r="C603" s="462" t="s">
        <v>213</v>
      </c>
      <c r="D603" s="462" t="s">
        <v>1462</v>
      </c>
      <c r="E603" s="462"/>
      <c r="F603" s="467">
        <f t="shared" si="59"/>
        <v>5415.6500000000005</v>
      </c>
      <c r="G603" s="467">
        <f t="shared" si="59"/>
        <v>5142.4500000000007</v>
      </c>
    </row>
    <row r="604" spans="1:7" ht="47.25" x14ac:dyDescent="0.25">
      <c r="A604" s="31" t="s">
        <v>272</v>
      </c>
      <c r="B604" s="462" t="s">
        <v>264</v>
      </c>
      <c r="C604" s="462" t="s">
        <v>213</v>
      </c>
      <c r="D604" s="462" t="s">
        <v>1462</v>
      </c>
      <c r="E604" s="462" t="s">
        <v>273</v>
      </c>
      <c r="F604" s="467">
        <f t="shared" si="59"/>
        <v>5415.6500000000005</v>
      </c>
      <c r="G604" s="467">
        <f t="shared" si="59"/>
        <v>5142.4500000000007</v>
      </c>
    </row>
    <row r="605" spans="1:7" ht="15.75" x14ac:dyDescent="0.25">
      <c r="A605" s="31" t="s">
        <v>274</v>
      </c>
      <c r="B605" s="462" t="s">
        <v>264</v>
      </c>
      <c r="C605" s="462" t="s">
        <v>213</v>
      </c>
      <c r="D605" s="462" t="s">
        <v>1462</v>
      </c>
      <c r="E605" s="462" t="s">
        <v>275</v>
      </c>
      <c r="F605" s="467">
        <f>'пр.6.1.ведом.22-23 (2)'!G672</f>
        <v>5415.6500000000005</v>
      </c>
      <c r="G605" s="459">
        <f>'пр.6.1.ведом.22-23 (2)'!H672</f>
        <v>5142.4500000000007</v>
      </c>
    </row>
    <row r="606" spans="1:7" ht="31.5" x14ac:dyDescent="0.25">
      <c r="A606" s="34" t="s">
        <v>1485</v>
      </c>
      <c r="B606" s="465" t="s">
        <v>264</v>
      </c>
      <c r="C606" s="465" t="s">
        <v>213</v>
      </c>
      <c r="D606" s="465" t="s">
        <v>1483</v>
      </c>
      <c r="E606" s="465"/>
      <c r="F606" s="463">
        <f t="shared" ref="F606:G608" si="60">F607</f>
        <v>1749.4499999999998</v>
      </c>
      <c r="G606" s="463">
        <f t="shared" si="60"/>
        <v>2341</v>
      </c>
    </row>
    <row r="607" spans="1:7" ht="47.25" x14ac:dyDescent="0.25">
      <c r="A607" s="31" t="s">
        <v>1538</v>
      </c>
      <c r="B607" s="462" t="s">
        <v>264</v>
      </c>
      <c r="C607" s="462" t="s">
        <v>213</v>
      </c>
      <c r="D607" s="462" t="s">
        <v>1484</v>
      </c>
      <c r="E607" s="462"/>
      <c r="F607" s="467">
        <f t="shared" si="60"/>
        <v>1749.4499999999998</v>
      </c>
      <c r="G607" s="467">
        <f t="shared" si="60"/>
        <v>2341</v>
      </c>
    </row>
    <row r="608" spans="1:7" ht="47.25" x14ac:dyDescent="0.25">
      <c r="A608" s="31" t="s">
        <v>272</v>
      </c>
      <c r="B608" s="462" t="s">
        <v>264</v>
      </c>
      <c r="C608" s="462" t="s">
        <v>213</v>
      </c>
      <c r="D608" s="462" t="s">
        <v>1484</v>
      </c>
      <c r="E608" s="462" t="s">
        <v>273</v>
      </c>
      <c r="F608" s="467">
        <f t="shared" si="60"/>
        <v>1749.4499999999998</v>
      </c>
      <c r="G608" s="467">
        <f t="shared" si="60"/>
        <v>2341</v>
      </c>
    </row>
    <row r="609" spans="1:7" ht="15.75" x14ac:dyDescent="0.25">
      <c r="A609" s="31" t="s">
        <v>274</v>
      </c>
      <c r="B609" s="462" t="s">
        <v>264</v>
      </c>
      <c r="C609" s="462" t="s">
        <v>213</v>
      </c>
      <c r="D609" s="462" t="s">
        <v>1484</v>
      </c>
      <c r="E609" s="462" t="s">
        <v>275</v>
      </c>
      <c r="F609" s="467">
        <f>'пр.6.1.ведом.22-23 (2)'!G680</f>
        <v>1749.4499999999998</v>
      </c>
      <c r="G609" s="467">
        <f>'пр.6.1.ведом.22-23 (2)'!H680</f>
        <v>2341</v>
      </c>
    </row>
    <row r="610" spans="1:7" ht="63" x14ac:dyDescent="0.25">
      <c r="A610" s="34" t="s">
        <v>1368</v>
      </c>
      <c r="B610" s="465" t="s">
        <v>264</v>
      </c>
      <c r="C610" s="465" t="s">
        <v>213</v>
      </c>
      <c r="D610" s="465" t="s">
        <v>324</v>
      </c>
      <c r="E610" s="465"/>
      <c r="F610" s="458">
        <f t="shared" ref="F610:G613" si="61">F611</f>
        <v>60</v>
      </c>
      <c r="G610" s="458">
        <f t="shared" si="61"/>
        <v>70</v>
      </c>
    </row>
    <row r="611" spans="1:7" ht="63" x14ac:dyDescent="0.25">
      <c r="A611" s="34" t="s">
        <v>1024</v>
      </c>
      <c r="B611" s="465" t="s">
        <v>264</v>
      </c>
      <c r="C611" s="465" t="s">
        <v>213</v>
      </c>
      <c r="D611" s="465" t="s">
        <v>934</v>
      </c>
      <c r="E611" s="465"/>
      <c r="F611" s="458">
        <f t="shared" si="61"/>
        <v>60</v>
      </c>
      <c r="G611" s="458">
        <f t="shared" si="61"/>
        <v>70</v>
      </c>
    </row>
    <row r="612" spans="1:7" ht="47.25" x14ac:dyDescent="0.25">
      <c r="A612" s="31" t="s">
        <v>1008</v>
      </c>
      <c r="B612" s="462" t="s">
        <v>264</v>
      </c>
      <c r="C612" s="462" t="s">
        <v>213</v>
      </c>
      <c r="D612" s="462" t="s">
        <v>935</v>
      </c>
      <c r="E612" s="462"/>
      <c r="F612" s="459">
        <f t="shared" si="61"/>
        <v>60</v>
      </c>
      <c r="G612" s="459">
        <f t="shared" si="61"/>
        <v>70</v>
      </c>
    </row>
    <row r="613" spans="1:7" ht="47.25" x14ac:dyDescent="0.25">
      <c r="A613" s="31" t="s">
        <v>272</v>
      </c>
      <c r="B613" s="462" t="s">
        <v>264</v>
      </c>
      <c r="C613" s="462" t="s">
        <v>213</v>
      </c>
      <c r="D613" s="462" t="s">
        <v>935</v>
      </c>
      <c r="E613" s="462" t="s">
        <v>273</v>
      </c>
      <c r="F613" s="459">
        <f t="shared" si="61"/>
        <v>60</v>
      </c>
      <c r="G613" s="459">
        <f t="shared" si="61"/>
        <v>70</v>
      </c>
    </row>
    <row r="614" spans="1:7" ht="15.75" x14ac:dyDescent="0.25">
      <c r="A614" s="31" t="s">
        <v>274</v>
      </c>
      <c r="B614" s="462" t="s">
        <v>264</v>
      </c>
      <c r="C614" s="462" t="s">
        <v>213</v>
      </c>
      <c r="D614" s="462" t="s">
        <v>935</v>
      </c>
      <c r="E614" s="462" t="s">
        <v>275</v>
      </c>
      <c r="F614" s="459">
        <f>'пр.7.1.МП 22-23 (2)'!G621</f>
        <v>60</v>
      </c>
      <c r="G614" s="459">
        <f>'пр.7.1.МП 22-23 (2)'!H621</f>
        <v>70</v>
      </c>
    </row>
    <row r="615" spans="1:7" ht="63" x14ac:dyDescent="0.25">
      <c r="A615" s="470" t="s">
        <v>1363</v>
      </c>
      <c r="B615" s="465" t="s">
        <v>264</v>
      </c>
      <c r="C615" s="465" t="s">
        <v>213</v>
      </c>
      <c r="D615" s="465" t="s">
        <v>705</v>
      </c>
      <c r="E615" s="474"/>
      <c r="F615" s="458">
        <f t="shared" ref="F615:G616" si="62">F616</f>
        <v>870.5</v>
      </c>
      <c r="G615" s="458">
        <f t="shared" si="62"/>
        <v>905.3</v>
      </c>
    </row>
    <row r="616" spans="1:7" ht="63" x14ac:dyDescent="0.25">
      <c r="A616" s="470" t="s">
        <v>890</v>
      </c>
      <c r="B616" s="465" t="s">
        <v>264</v>
      </c>
      <c r="C616" s="465" t="s">
        <v>213</v>
      </c>
      <c r="D616" s="465" t="s">
        <v>888</v>
      </c>
      <c r="E616" s="474"/>
      <c r="F616" s="458">
        <f t="shared" si="62"/>
        <v>870.5</v>
      </c>
      <c r="G616" s="458">
        <f t="shared" si="62"/>
        <v>905.3</v>
      </c>
    </row>
    <row r="617" spans="1:7" ht="47.25" x14ac:dyDescent="0.25">
      <c r="A617" s="98" t="s">
        <v>780</v>
      </c>
      <c r="B617" s="462" t="s">
        <v>264</v>
      </c>
      <c r="C617" s="462" t="s">
        <v>213</v>
      </c>
      <c r="D617" s="462" t="s">
        <v>936</v>
      </c>
      <c r="E617" s="468"/>
      <c r="F617" s="459">
        <f>F618</f>
        <v>870.5</v>
      </c>
      <c r="G617" s="459">
        <f>G618</f>
        <v>905.3</v>
      </c>
    </row>
    <row r="618" spans="1:7" ht="47.25" x14ac:dyDescent="0.25">
      <c r="A618" s="29" t="s">
        <v>272</v>
      </c>
      <c r="B618" s="462" t="s">
        <v>264</v>
      </c>
      <c r="C618" s="462" t="s">
        <v>213</v>
      </c>
      <c r="D618" s="462" t="s">
        <v>936</v>
      </c>
      <c r="E618" s="468" t="s">
        <v>273</v>
      </c>
      <c r="F618" s="459">
        <f>F619</f>
        <v>870.5</v>
      </c>
      <c r="G618" s="459">
        <f>G619</f>
        <v>905.3</v>
      </c>
    </row>
    <row r="619" spans="1:7" ht="15.75" x14ac:dyDescent="0.25">
      <c r="A619" s="182" t="s">
        <v>274</v>
      </c>
      <c r="B619" s="462" t="s">
        <v>264</v>
      </c>
      <c r="C619" s="462" t="s">
        <v>213</v>
      </c>
      <c r="D619" s="462" t="s">
        <v>936</v>
      </c>
      <c r="E619" s="468" t="s">
        <v>275</v>
      </c>
      <c r="F619" s="459">
        <f>'пр.6.1.ведом.22-23 (2)'!G690</f>
        <v>870.5</v>
      </c>
      <c r="G619" s="459">
        <f>'пр.6.1.ведом.22-23 (2)'!H690</f>
        <v>905.3</v>
      </c>
    </row>
    <row r="620" spans="1:7" ht="15.75" x14ac:dyDescent="0.25">
      <c r="A620" s="470" t="s">
        <v>265</v>
      </c>
      <c r="B620" s="7" t="s">
        <v>264</v>
      </c>
      <c r="C620" s="7" t="s">
        <v>215</v>
      </c>
      <c r="D620" s="465"/>
      <c r="E620" s="7"/>
      <c r="F620" s="458">
        <f>F621+F644+F681+F676</f>
        <v>60278.110000000008</v>
      </c>
      <c r="G620" s="458">
        <f>G621+G644+G681+G676</f>
        <v>60303.91</v>
      </c>
    </row>
    <row r="621" spans="1:7" ht="47.25" x14ac:dyDescent="0.25">
      <c r="A621" s="464" t="s">
        <v>1369</v>
      </c>
      <c r="B621" s="465" t="s">
        <v>264</v>
      </c>
      <c r="C621" s="465" t="s">
        <v>215</v>
      </c>
      <c r="D621" s="465" t="s">
        <v>406</v>
      </c>
      <c r="E621" s="465"/>
      <c r="F621" s="458">
        <f>F622+F626+F640</f>
        <v>40748.800000000003</v>
      </c>
      <c r="G621" s="458">
        <f>G622+G626+G640</f>
        <v>40748.800000000003</v>
      </c>
    </row>
    <row r="622" spans="1:7" ht="47.25" x14ac:dyDescent="0.25">
      <c r="A622" s="464" t="s">
        <v>937</v>
      </c>
      <c r="B622" s="465" t="s">
        <v>264</v>
      </c>
      <c r="C622" s="465" t="s">
        <v>215</v>
      </c>
      <c r="D622" s="465" t="s">
        <v>1235</v>
      </c>
      <c r="E622" s="465"/>
      <c r="F622" s="458">
        <f t="shared" ref="F622:G622" si="63">F623</f>
        <v>37056.300000000003</v>
      </c>
      <c r="G622" s="458">
        <f t="shared" si="63"/>
        <v>37056.300000000003</v>
      </c>
    </row>
    <row r="623" spans="1:7" ht="47.25" x14ac:dyDescent="0.25">
      <c r="A623" s="466" t="s">
        <v>270</v>
      </c>
      <c r="B623" s="462" t="s">
        <v>264</v>
      </c>
      <c r="C623" s="462" t="s">
        <v>215</v>
      </c>
      <c r="D623" s="462" t="s">
        <v>1265</v>
      </c>
      <c r="E623" s="462"/>
      <c r="F623" s="459">
        <f>F624</f>
        <v>37056.300000000003</v>
      </c>
      <c r="G623" s="459">
        <f>G624</f>
        <v>37056.300000000003</v>
      </c>
    </row>
    <row r="624" spans="1:7" ht="47.25" x14ac:dyDescent="0.25">
      <c r="A624" s="466" t="s">
        <v>272</v>
      </c>
      <c r="B624" s="462" t="s">
        <v>264</v>
      </c>
      <c r="C624" s="462" t="s">
        <v>215</v>
      </c>
      <c r="D624" s="462" t="s">
        <v>1265</v>
      </c>
      <c r="E624" s="462" t="s">
        <v>273</v>
      </c>
      <c r="F624" s="459">
        <f>F625</f>
        <v>37056.300000000003</v>
      </c>
      <c r="G624" s="459">
        <f>G625</f>
        <v>37056.300000000003</v>
      </c>
    </row>
    <row r="625" spans="1:7" ht="15.75" x14ac:dyDescent="0.25">
      <c r="A625" s="466" t="s">
        <v>274</v>
      </c>
      <c r="B625" s="462" t="s">
        <v>264</v>
      </c>
      <c r="C625" s="462" t="s">
        <v>215</v>
      </c>
      <c r="D625" s="462" t="s">
        <v>1265</v>
      </c>
      <c r="E625" s="462" t="s">
        <v>275</v>
      </c>
      <c r="F625" s="459">
        <f>'пр.6.1.ведом.22-23 (2)'!G696</f>
        <v>37056.300000000003</v>
      </c>
      <c r="G625" s="459">
        <f>'пр.6.1.ведом.22-23 (2)'!H696</f>
        <v>37056.300000000003</v>
      </c>
    </row>
    <row r="626" spans="1:7" ht="47.25" x14ac:dyDescent="0.25">
      <c r="A626" s="464" t="s">
        <v>900</v>
      </c>
      <c r="B626" s="465" t="s">
        <v>264</v>
      </c>
      <c r="C626" s="465" t="s">
        <v>215</v>
      </c>
      <c r="D626" s="465" t="s">
        <v>1237</v>
      </c>
      <c r="E626" s="465"/>
      <c r="F626" s="458">
        <f>F630+F633+F627</f>
        <v>2128.5</v>
      </c>
      <c r="G626" s="458">
        <f>G630+G633+G627</f>
        <v>2128.5</v>
      </c>
    </row>
    <row r="627" spans="1:7" ht="110.25" x14ac:dyDescent="0.25">
      <c r="A627" s="31" t="s">
        <v>293</v>
      </c>
      <c r="B627" s="462" t="s">
        <v>264</v>
      </c>
      <c r="C627" s="462" t="s">
        <v>215</v>
      </c>
      <c r="D627" s="462" t="s">
        <v>1401</v>
      </c>
      <c r="E627" s="462"/>
      <c r="F627" s="459">
        <f>F628</f>
        <v>1400</v>
      </c>
      <c r="G627" s="459">
        <f>G628</f>
        <v>1400</v>
      </c>
    </row>
    <row r="628" spans="1:7" ht="47.25" x14ac:dyDescent="0.25">
      <c r="A628" s="466" t="s">
        <v>272</v>
      </c>
      <c r="B628" s="462" t="s">
        <v>264</v>
      </c>
      <c r="C628" s="462" t="s">
        <v>215</v>
      </c>
      <c r="D628" s="462" t="s">
        <v>1401</v>
      </c>
      <c r="E628" s="462" t="s">
        <v>273</v>
      </c>
      <c r="F628" s="459">
        <f>F629</f>
        <v>1400</v>
      </c>
      <c r="G628" s="459">
        <f>G629</f>
        <v>1400</v>
      </c>
    </row>
    <row r="629" spans="1:7" ht="15.75" x14ac:dyDescent="0.25">
      <c r="A629" s="466" t="s">
        <v>274</v>
      </c>
      <c r="B629" s="462" t="s">
        <v>264</v>
      </c>
      <c r="C629" s="462" t="s">
        <v>215</v>
      </c>
      <c r="D629" s="462" t="s">
        <v>1401</v>
      </c>
      <c r="E629" s="462" t="s">
        <v>275</v>
      </c>
      <c r="F629" s="459">
        <f>'пр.6.1.ведом.22-23 (2)'!G700</f>
        <v>1400</v>
      </c>
      <c r="G629" s="459">
        <f>'пр.6.1.ведом.22-23 (2)'!H700</f>
        <v>1400</v>
      </c>
    </row>
    <row r="630" spans="1:7" ht="63" x14ac:dyDescent="0.25">
      <c r="A630" s="31" t="s">
        <v>289</v>
      </c>
      <c r="B630" s="462" t="s">
        <v>264</v>
      </c>
      <c r="C630" s="462" t="s">
        <v>215</v>
      </c>
      <c r="D630" s="462" t="s">
        <v>1238</v>
      </c>
      <c r="E630" s="462"/>
      <c r="F630" s="459">
        <f>F631</f>
        <v>179</v>
      </c>
      <c r="G630" s="459">
        <f>G631</f>
        <v>179</v>
      </c>
    </row>
    <row r="631" spans="1:7" ht="47.25" x14ac:dyDescent="0.25">
      <c r="A631" s="466" t="s">
        <v>272</v>
      </c>
      <c r="B631" s="462" t="s">
        <v>264</v>
      </c>
      <c r="C631" s="462" t="s">
        <v>215</v>
      </c>
      <c r="D631" s="462" t="s">
        <v>1238</v>
      </c>
      <c r="E631" s="462" t="s">
        <v>273</v>
      </c>
      <c r="F631" s="459">
        <f>F632</f>
        <v>179</v>
      </c>
      <c r="G631" s="459">
        <f>G632</f>
        <v>179</v>
      </c>
    </row>
    <row r="632" spans="1:7" ht="15.75" x14ac:dyDescent="0.25">
      <c r="A632" s="466" t="s">
        <v>274</v>
      </c>
      <c r="B632" s="462" t="s">
        <v>264</v>
      </c>
      <c r="C632" s="462" t="s">
        <v>215</v>
      </c>
      <c r="D632" s="462" t="s">
        <v>1238</v>
      </c>
      <c r="E632" s="462" t="s">
        <v>275</v>
      </c>
      <c r="F632" s="459">
        <f>'пр.6.1.ведом.22-23 (2)'!G703</f>
        <v>179</v>
      </c>
      <c r="G632" s="459">
        <f>'пр.6.1.ведом.22-23 (2)'!H703</f>
        <v>179</v>
      </c>
    </row>
    <row r="633" spans="1:7" ht="78.75" x14ac:dyDescent="0.25">
      <c r="A633" s="31" t="s">
        <v>291</v>
      </c>
      <c r="B633" s="462" t="s">
        <v>264</v>
      </c>
      <c r="C633" s="462" t="s">
        <v>215</v>
      </c>
      <c r="D633" s="462" t="s">
        <v>1239</v>
      </c>
      <c r="E633" s="462"/>
      <c r="F633" s="459">
        <f>F634</f>
        <v>549.5</v>
      </c>
      <c r="G633" s="459">
        <f>G634</f>
        <v>549.5</v>
      </c>
    </row>
    <row r="634" spans="1:7" ht="47.25" x14ac:dyDescent="0.25">
      <c r="A634" s="466" t="s">
        <v>272</v>
      </c>
      <c r="B634" s="462" t="s">
        <v>264</v>
      </c>
      <c r="C634" s="462" t="s">
        <v>215</v>
      </c>
      <c r="D634" s="462" t="s">
        <v>1239</v>
      </c>
      <c r="E634" s="462" t="s">
        <v>273</v>
      </c>
      <c r="F634" s="459">
        <f>F635</f>
        <v>549.5</v>
      </c>
      <c r="G634" s="459">
        <f>G635</f>
        <v>549.5</v>
      </c>
    </row>
    <row r="635" spans="1:7" ht="15.75" x14ac:dyDescent="0.25">
      <c r="A635" s="466" t="s">
        <v>274</v>
      </c>
      <c r="B635" s="462" t="s">
        <v>264</v>
      </c>
      <c r="C635" s="462" t="s">
        <v>215</v>
      </c>
      <c r="D635" s="462" t="s">
        <v>1239</v>
      </c>
      <c r="E635" s="462" t="s">
        <v>275</v>
      </c>
      <c r="F635" s="459">
        <f>'пр.6.1.ведом.22-23 (2)'!G706</f>
        <v>549.5</v>
      </c>
      <c r="G635" s="459">
        <f>'пр.6.1.ведом.22-23 (2)'!H706</f>
        <v>549.5</v>
      </c>
    </row>
    <row r="636" spans="1:7" ht="31.5" hidden="1" x14ac:dyDescent="0.25">
      <c r="A636" s="464" t="s">
        <v>1297</v>
      </c>
      <c r="B636" s="465" t="s">
        <v>264</v>
      </c>
      <c r="C636" s="465" t="s">
        <v>215</v>
      </c>
      <c r="D636" s="465" t="s">
        <v>1242</v>
      </c>
      <c r="E636" s="465"/>
      <c r="F636" s="458">
        <f>F637</f>
        <v>0</v>
      </c>
      <c r="G636" s="458">
        <f>G637</f>
        <v>0</v>
      </c>
    </row>
    <row r="637" spans="1:7" ht="31.5" hidden="1" x14ac:dyDescent="0.25">
      <c r="A637" s="45" t="s">
        <v>766</v>
      </c>
      <c r="B637" s="462" t="s">
        <v>264</v>
      </c>
      <c r="C637" s="462" t="s">
        <v>215</v>
      </c>
      <c r="D637" s="462" t="s">
        <v>1337</v>
      </c>
      <c r="E637" s="462"/>
      <c r="F637" s="459">
        <f>'[1]Пр.4 Рд,пр, ЦС,ВР 21'!F630</f>
        <v>0</v>
      </c>
      <c r="G637" s="459">
        <f t="shared" ref="G637:G661" si="64">F637</f>
        <v>0</v>
      </c>
    </row>
    <row r="638" spans="1:7" ht="47.25" hidden="1" x14ac:dyDescent="0.25">
      <c r="A638" s="31" t="s">
        <v>272</v>
      </c>
      <c r="B638" s="462" t="s">
        <v>264</v>
      </c>
      <c r="C638" s="462" t="s">
        <v>215</v>
      </c>
      <c r="D638" s="462" t="s">
        <v>1337</v>
      </c>
      <c r="E638" s="462" t="s">
        <v>273</v>
      </c>
      <c r="F638" s="459">
        <f>'[1]Пр.4 Рд,пр, ЦС,ВР 21'!F631</f>
        <v>0</v>
      </c>
      <c r="G638" s="459">
        <f t="shared" si="64"/>
        <v>0</v>
      </c>
    </row>
    <row r="639" spans="1:7" ht="15.75" hidden="1" x14ac:dyDescent="0.25">
      <c r="A639" s="31" t="s">
        <v>274</v>
      </c>
      <c r="B639" s="462" t="s">
        <v>264</v>
      </c>
      <c r="C639" s="462" t="s">
        <v>215</v>
      </c>
      <c r="D639" s="462" t="s">
        <v>1337</v>
      </c>
      <c r="E639" s="462" t="s">
        <v>275</v>
      </c>
      <c r="F639" s="459">
        <f>'[1]Пр.4 Рд,пр, ЦС,ВР 21'!F632</f>
        <v>0</v>
      </c>
      <c r="G639" s="459">
        <f t="shared" si="64"/>
        <v>0</v>
      </c>
    </row>
    <row r="640" spans="1:7" ht="47.25" x14ac:dyDescent="0.25">
      <c r="A640" s="218" t="s">
        <v>948</v>
      </c>
      <c r="B640" s="465" t="s">
        <v>264</v>
      </c>
      <c r="C640" s="465" t="s">
        <v>215</v>
      </c>
      <c r="D640" s="465" t="s">
        <v>1245</v>
      </c>
      <c r="E640" s="465"/>
      <c r="F640" s="458">
        <f t="shared" ref="F640:G642" si="65">F641</f>
        <v>1564</v>
      </c>
      <c r="G640" s="458">
        <f t="shared" si="65"/>
        <v>1564</v>
      </c>
    </row>
    <row r="641" spans="1:7" ht="47.25" x14ac:dyDescent="0.25">
      <c r="A641" s="45" t="s">
        <v>764</v>
      </c>
      <c r="B641" s="462" t="s">
        <v>264</v>
      </c>
      <c r="C641" s="462" t="s">
        <v>215</v>
      </c>
      <c r="D641" s="462" t="s">
        <v>1246</v>
      </c>
      <c r="E641" s="462"/>
      <c r="F641" s="459">
        <f t="shared" si="65"/>
        <v>1564</v>
      </c>
      <c r="G641" s="459">
        <f t="shared" si="65"/>
        <v>1564</v>
      </c>
    </row>
    <row r="642" spans="1:7" ht="47.25" x14ac:dyDescent="0.25">
      <c r="A642" s="466" t="s">
        <v>272</v>
      </c>
      <c r="B642" s="462" t="s">
        <v>264</v>
      </c>
      <c r="C642" s="462" t="s">
        <v>215</v>
      </c>
      <c r="D642" s="462" t="s">
        <v>1246</v>
      </c>
      <c r="E642" s="462" t="s">
        <v>273</v>
      </c>
      <c r="F642" s="459">
        <f t="shared" si="65"/>
        <v>1564</v>
      </c>
      <c r="G642" s="459">
        <f t="shared" si="65"/>
        <v>1564</v>
      </c>
    </row>
    <row r="643" spans="1:7" ht="15.75" x14ac:dyDescent="0.25">
      <c r="A643" s="31" t="s">
        <v>274</v>
      </c>
      <c r="B643" s="462" t="s">
        <v>264</v>
      </c>
      <c r="C643" s="462" t="s">
        <v>215</v>
      </c>
      <c r="D643" s="462" t="s">
        <v>1246</v>
      </c>
      <c r="E643" s="462" t="s">
        <v>275</v>
      </c>
      <c r="F643" s="459">
        <f>'пр.6.1.ведом.22-23 (2)'!G714</f>
        <v>1564</v>
      </c>
      <c r="G643" s="459">
        <f>'пр.6.1.ведом.22-23 (2)'!H714</f>
        <v>1564</v>
      </c>
    </row>
    <row r="644" spans="1:7" ht="47.25" x14ac:dyDescent="0.25">
      <c r="A644" s="464" t="s">
        <v>1362</v>
      </c>
      <c r="B644" s="465" t="s">
        <v>264</v>
      </c>
      <c r="C644" s="465" t="s">
        <v>215</v>
      </c>
      <c r="D644" s="465" t="s">
        <v>267</v>
      </c>
      <c r="E644" s="465"/>
      <c r="F644" s="458">
        <f>F645+F653+F662+F666</f>
        <v>18730.410000000003</v>
      </c>
      <c r="G644" s="458">
        <f>G645+G653+G662+G666</f>
        <v>18730.410000000003</v>
      </c>
    </row>
    <row r="645" spans="1:7" ht="47.25" x14ac:dyDescent="0.25">
      <c r="A645" s="464" t="s">
        <v>1304</v>
      </c>
      <c r="B645" s="465" t="s">
        <v>264</v>
      </c>
      <c r="C645" s="465" t="s">
        <v>215</v>
      </c>
      <c r="D645" s="465" t="s">
        <v>1208</v>
      </c>
      <c r="E645" s="465"/>
      <c r="F645" s="458">
        <f>F646</f>
        <v>15854.01</v>
      </c>
      <c r="G645" s="458">
        <f>G646</f>
        <v>15854.01</v>
      </c>
    </row>
    <row r="646" spans="1:7" ht="31.5" x14ac:dyDescent="0.25">
      <c r="A646" s="466" t="s">
        <v>800</v>
      </c>
      <c r="B646" s="462" t="s">
        <v>264</v>
      </c>
      <c r="C646" s="462" t="s">
        <v>215</v>
      </c>
      <c r="D646" s="462" t="s">
        <v>1209</v>
      </c>
      <c r="E646" s="462"/>
      <c r="F646" s="459">
        <f>F647+F649+F651</f>
        <v>15854.01</v>
      </c>
      <c r="G646" s="459">
        <f>G647+G649+G651</f>
        <v>15854.01</v>
      </c>
    </row>
    <row r="647" spans="1:7" ht="94.5" x14ac:dyDescent="0.25">
      <c r="A647" s="466" t="s">
        <v>127</v>
      </c>
      <c r="B647" s="462" t="s">
        <v>264</v>
      </c>
      <c r="C647" s="462" t="s">
        <v>215</v>
      </c>
      <c r="D647" s="462" t="s">
        <v>1209</v>
      </c>
      <c r="E647" s="462" t="s">
        <v>128</v>
      </c>
      <c r="F647" s="459">
        <f>F648</f>
        <v>14172.31</v>
      </c>
      <c r="G647" s="459">
        <f>G648</f>
        <v>14172.31</v>
      </c>
    </row>
    <row r="648" spans="1:7" ht="31.5" x14ac:dyDescent="0.25">
      <c r="A648" s="46" t="s">
        <v>342</v>
      </c>
      <c r="B648" s="462" t="s">
        <v>264</v>
      </c>
      <c r="C648" s="462" t="s">
        <v>215</v>
      </c>
      <c r="D648" s="462" t="s">
        <v>1209</v>
      </c>
      <c r="E648" s="462" t="s">
        <v>209</v>
      </c>
      <c r="F648" s="459">
        <f>'пр.6.1.ведом.22-23 (2)'!G299</f>
        <v>14172.31</v>
      </c>
      <c r="G648" s="459">
        <f>'пр.6.1.ведом.22-23 (2)'!H299</f>
        <v>14172.31</v>
      </c>
    </row>
    <row r="649" spans="1:7" ht="31.5" x14ac:dyDescent="0.25">
      <c r="A649" s="466" t="s">
        <v>131</v>
      </c>
      <c r="B649" s="462" t="s">
        <v>264</v>
      </c>
      <c r="C649" s="462" t="s">
        <v>215</v>
      </c>
      <c r="D649" s="462" t="s">
        <v>1209</v>
      </c>
      <c r="E649" s="462" t="s">
        <v>132</v>
      </c>
      <c r="F649" s="459">
        <f>F650</f>
        <v>1603.7</v>
      </c>
      <c r="G649" s="459">
        <f>G650</f>
        <v>1603.7</v>
      </c>
    </row>
    <row r="650" spans="1:7" ht="47.25" x14ac:dyDescent="0.25">
      <c r="A650" s="466" t="s">
        <v>133</v>
      </c>
      <c r="B650" s="462" t="s">
        <v>264</v>
      </c>
      <c r="C650" s="462" t="s">
        <v>215</v>
      </c>
      <c r="D650" s="462" t="s">
        <v>1209</v>
      </c>
      <c r="E650" s="462" t="s">
        <v>134</v>
      </c>
      <c r="F650" s="459">
        <f>'пр.6.1.ведом.22-23 (2)'!G301</f>
        <v>1603.7</v>
      </c>
      <c r="G650" s="459">
        <f>'пр.6.1.ведом.22-23 (2)'!H301</f>
        <v>1603.7</v>
      </c>
    </row>
    <row r="651" spans="1:7" ht="15.75" x14ac:dyDescent="0.25">
      <c r="A651" s="466" t="s">
        <v>135</v>
      </c>
      <c r="B651" s="462" t="s">
        <v>264</v>
      </c>
      <c r="C651" s="462" t="s">
        <v>215</v>
      </c>
      <c r="D651" s="462" t="s">
        <v>1209</v>
      </c>
      <c r="E651" s="462" t="s">
        <v>145</v>
      </c>
      <c r="F651" s="459">
        <f>F652</f>
        <v>78</v>
      </c>
      <c r="G651" s="459">
        <f>G652</f>
        <v>78</v>
      </c>
    </row>
    <row r="652" spans="1:7" ht="15.75" x14ac:dyDescent="0.25">
      <c r="A652" s="466" t="s">
        <v>704</v>
      </c>
      <c r="B652" s="462" t="s">
        <v>264</v>
      </c>
      <c r="C652" s="462" t="s">
        <v>215</v>
      </c>
      <c r="D652" s="462" t="s">
        <v>1209</v>
      </c>
      <c r="E652" s="462" t="s">
        <v>138</v>
      </c>
      <c r="F652" s="459">
        <f>'пр.6.1.ведом.22-23 (2)'!G303</f>
        <v>78</v>
      </c>
      <c r="G652" s="459">
        <f>'пр.6.1.ведом.22-23 (2)'!H303</f>
        <v>78</v>
      </c>
    </row>
    <row r="653" spans="1:7" ht="31.5" x14ac:dyDescent="0.25">
      <c r="A653" s="215" t="s">
        <v>1306</v>
      </c>
      <c r="B653" s="465" t="s">
        <v>264</v>
      </c>
      <c r="C653" s="465" t="s">
        <v>215</v>
      </c>
      <c r="D653" s="465" t="s">
        <v>1210</v>
      </c>
      <c r="E653" s="465"/>
      <c r="F653" s="458">
        <f>F654+F657</f>
        <v>1295</v>
      </c>
      <c r="G653" s="458">
        <f>G654+G657</f>
        <v>1295</v>
      </c>
    </row>
    <row r="654" spans="1:7" ht="31.5" x14ac:dyDescent="0.25">
      <c r="A654" s="195" t="s">
        <v>799</v>
      </c>
      <c r="B654" s="462" t="s">
        <v>264</v>
      </c>
      <c r="C654" s="462" t="s">
        <v>215</v>
      </c>
      <c r="D654" s="462" t="s">
        <v>1211</v>
      </c>
      <c r="E654" s="462"/>
      <c r="F654" s="459">
        <f t="shared" ref="F654:G655" si="66">F655</f>
        <v>45</v>
      </c>
      <c r="G654" s="459">
        <f t="shared" si="66"/>
        <v>45</v>
      </c>
    </row>
    <row r="655" spans="1:7" ht="31.5" x14ac:dyDescent="0.25">
      <c r="A655" s="466" t="s">
        <v>248</v>
      </c>
      <c r="B655" s="462" t="s">
        <v>264</v>
      </c>
      <c r="C655" s="462" t="s">
        <v>215</v>
      </c>
      <c r="D655" s="462" t="s">
        <v>1211</v>
      </c>
      <c r="E655" s="462" t="s">
        <v>249</v>
      </c>
      <c r="F655" s="459">
        <f t="shared" si="66"/>
        <v>45</v>
      </c>
      <c r="G655" s="459">
        <f t="shared" si="66"/>
        <v>45</v>
      </c>
    </row>
    <row r="656" spans="1:7" ht="15.75" x14ac:dyDescent="0.25">
      <c r="A656" s="466" t="s">
        <v>820</v>
      </c>
      <c r="B656" s="462" t="s">
        <v>264</v>
      </c>
      <c r="C656" s="462" t="s">
        <v>215</v>
      </c>
      <c r="D656" s="462" t="s">
        <v>1211</v>
      </c>
      <c r="E656" s="462" t="s">
        <v>819</v>
      </c>
      <c r="F656" s="459">
        <f>'пр.6.1.ведом.22-23 (2)'!G307</f>
        <v>45</v>
      </c>
      <c r="G656" s="459">
        <f>'пр.6.1.ведом.22-23 (2)'!H307</f>
        <v>45</v>
      </c>
    </row>
    <row r="657" spans="1:7" ht="31.5" x14ac:dyDescent="0.25">
      <c r="A657" s="31" t="s">
        <v>816</v>
      </c>
      <c r="B657" s="462" t="s">
        <v>264</v>
      </c>
      <c r="C657" s="462" t="s">
        <v>215</v>
      </c>
      <c r="D657" s="462" t="s">
        <v>1212</v>
      </c>
      <c r="E657" s="462"/>
      <c r="F657" s="459">
        <f t="shared" ref="F657:G658" si="67">F658</f>
        <v>1250</v>
      </c>
      <c r="G657" s="459">
        <f t="shared" si="67"/>
        <v>1250</v>
      </c>
    </row>
    <row r="658" spans="1:7" ht="94.5" x14ac:dyDescent="0.25">
      <c r="A658" s="466" t="s">
        <v>127</v>
      </c>
      <c r="B658" s="462" t="s">
        <v>264</v>
      </c>
      <c r="C658" s="462" t="s">
        <v>215</v>
      </c>
      <c r="D658" s="462" t="s">
        <v>1212</v>
      </c>
      <c r="E658" s="462" t="s">
        <v>128</v>
      </c>
      <c r="F658" s="459">
        <f t="shared" si="67"/>
        <v>1250</v>
      </c>
      <c r="G658" s="459">
        <f t="shared" si="67"/>
        <v>1250</v>
      </c>
    </row>
    <row r="659" spans="1:7" ht="31.5" x14ac:dyDescent="0.25">
      <c r="A659" s="46" t="s">
        <v>342</v>
      </c>
      <c r="B659" s="462" t="s">
        <v>264</v>
      </c>
      <c r="C659" s="462" t="s">
        <v>215</v>
      </c>
      <c r="D659" s="462" t="s">
        <v>1212</v>
      </c>
      <c r="E659" s="462" t="s">
        <v>209</v>
      </c>
      <c r="F659" s="459">
        <f>'пр.6.1.ведом.22-23 (2)'!G310</f>
        <v>1250</v>
      </c>
      <c r="G659" s="459">
        <f>'пр.6.1.ведом.22-23 (2)'!H310</f>
        <v>1250</v>
      </c>
    </row>
    <row r="660" spans="1:7" ht="31.5" hidden="1" x14ac:dyDescent="0.25">
      <c r="A660" s="466" t="s">
        <v>131</v>
      </c>
      <c r="B660" s="462" t="s">
        <v>264</v>
      </c>
      <c r="C660" s="462" t="s">
        <v>215</v>
      </c>
      <c r="D660" s="462" t="s">
        <v>1212</v>
      </c>
      <c r="E660" s="462" t="s">
        <v>132</v>
      </c>
      <c r="F660" s="459">
        <f>'[1]Пр.4 Рд,пр, ЦС,ВР 21'!F656</f>
        <v>0</v>
      </c>
      <c r="G660" s="459">
        <f t="shared" si="64"/>
        <v>0</v>
      </c>
    </row>
    <row r="661" spans="1:7" ht="47.25" hidden="1" x14ac:dyDescent="0.25">
      <c r="A661" s="466" t="s">
        <v>133</v>
      </c>
      <c r="B661" s="462" t="s">
        <v>264</v>
      </c>
      <c r="C661" s="462" t="s">
        <v>215</v>
      </c>
      <c r="D661" s="462" t="s">
        <v>1212</v>
      </c>
      <c r="E661" s="462" t="s">
        <v>134</v>
      </c>
      <c r="F661" s="459">
        <f>'[1]Пр.4 Рд,пр, ЦС,ВР 21'!F657</f>
        <v>0</v>
      </c>
      <c r="G661" s="459">
        <f t="shared" si="64"/>
        <v>0</v>
      </c>
    </row>
    <row r="662" spans="1:7" ht="47.25" x14ac:dyDescent="0.25">
      <c r="A662" s="464" t="s">
        <v>947</v>
      </c>
      <c r="B662" s="465" t="s">
        <v>264</v>
      </c>
      <c r="C662" s="465" t="s">
        <v>215</v>
      </c>
      <c r="D662" s="465" t="s">
        <v>1213</v>
      </c>
      <c r="E662" s="465"/>
      <c r="F662" s="458">
        <f t="shared" ref="F662:G664" si="68">F663</f>
        <v>506</v>
      </c>
      <c r="G662" s="458">
        <f t="shared" si="68"/>
        <v>506</v>
      </c>
    </row>
    <row r="663" spans="1:7" ht="47.25" x14ac:dyDescent="0.25">
      <c r="A663" s="466" t="s">
        <v>839</v>
      </c>
      <c r="B663" s="462" t="s">
        <v>264</v>
      </c>
      <c r="C663" s="462" t="s">
        <v>215</v>
      </c>
      <c r="D663" s="462" t="s">
        <v>1214</v>
      </c>
      <c r="E663" s="462"/>
      <c r="F663" s="459">
        <f t="shared" si="68"/>
        <v>506</v>
      </c>
      <c r="G663" s="459">
        <f t="shared" si="68"/>
        <v>506</v>
      </c>
    </row>
    <row r="664" spans="1:7" ht="94.5" x14ac:dyDescent="0.25">
      <c r="A664" s="466" t="s">
        <v>127</v>
      </c>
      <c r="B664" s="462" t="s">
        <v>264</v>
      </c>
      <c r="C664" s="462" t="s">
        <v>215</v>
      </c>
      <c r="D664" s="462" t="s">
        <v>1214</v>
      </c>
      <c r="E664" s="462" t="s">
        <v>128</v>
      </c>
      <c r="F664" s="459">
        <f t="shared" si="68"/>
        <v>506</v>
      </c>
      <c r="G664" s="459">
        <f t="shared" si="68"/>
        <v>506</v>
      </c>
    </row>
    <row r="665" spans="1:7" ht="31.5" x14ac:dyDescent="0.25">
      <c r="A665" s="466" t="s">
        <v>129</v>
      </c>
      <c r="B665" s="462" t="s">
        <v>264</v>
      </c>
      <c r="C665" s="462" t="s">
        <v>215</v>
      </c>
      <c r="D665" s="462" t="s">
        <v>1214</v>
      </c>
      <c r="E665" s="462" t="s">
        <v>209</v>
      </c>
      <c r="F665" s="459">
        <f>'пр.6.1.ведом.22-23 (2)'!G316</f>
        <v>506</v>
      </c>
      <c r="G665" s="459">
        <f>'пр.6.1.ведом.22-23 (2)'!H316</f>
        <v>506</v>
      </c>
    </row>
    <row r="666" spans="1:7" ht="56.25" customHeight="1" x14ac:dyDescent="0.25">
      <c r="A666" s="464" t="s">
        <v>900</v>
      </c>
      <c r="B666" s="465" t="s">
        <v>264</v>
      </c>
      <c r="C666" s="465" t="s">
        <v>215</v>
      </c>
      <c r="D666" s="465" t="s">
        <v>1215</v>
      </c>
      <c r="E666" s="465"/>
      <c r="F666" s="458">
        <f>F670+F673+F667</f>
        <v>1075.4000000000001</v>
      </c>
      <c r="G666" s="458">
        <f>G670+G673+G667</f>
        <v>1075.4000000000001</v>
      </c>
    </row>
    <row r="667" spans="1:7" ht="120.95" customHeight="1" x14ac:dyDescent="0.25">
      <c r="A667" s="31" t="s">
        <v>293</v>
      </c>
      <c r="B667" s="462" t="s">
        <v>264</v>
      </c>
      <c r="C667" s="462" t="s">
        <v>215</v>
      </c>
      <c r="D667" s="462" t="s">
        <v>1414</v>
      </c>
      <c r="E667" s="462"/>
      <c r="F667" s="459">
        <f>F668</f>
        <v>671</v>
      </c>
      <c r="G667" s="459">
        <f>G668</f>
        <v>671</v>
      </c>
    </row>
    <row r="668" spans="1:7" ht="93.75" customHeight="1" x14ac:dyDescent="0.25">
      <c r="A668" s="466" t="s">
        <v>127</v>
      </c>
      <c r="B668" s="462" t="s">
        <v>264</v>
      </c>
      <c r="C668" s="462" t="s">
        <v>215</v>
      </c>
      <c r="D668" s="462" t="s">
        <v>1414</v>
      </c>
      <c r="E668" s="462" t="s">
        <v>128</v>
      </c>
      <c r="F668" s="459">
        <f>F669</f>
        <v>671</v>
      </c>
      <c r="G668" s="459">
        <f>G669</f>
        <v>671</v>
      </c>
    </row>
    <row r="669" spans="1:7" ht="39.4" customHeight="1" x14ac:dyDescent="0.25">
      <c r="A669" s="46" t="s">
        <v>342</v>
      </c>
      <c r="B669" s="462" t="s">
        <v>264</v>
      </c>
      <c r="C669" s="462" t="s">
        <v>215</v>
      </c>
      <c r="D669" s="462" t="s">
        <v>1414</v>
      </c>
      <c r="E669" s="462" t="s">
        <v>209</v>
      </c>
      <c r="F669" s="459">
        <f>'пр.6.1.ведом.22-23 (2)'!G320</f>
        <v>671</v>
      </c>
      <c r="G669" s="459">
        <f>'пр.6.1.ведом.22-23 (2)'!H320</f>
        <v>671</v>
      </c>
    </row>
    <row r="670" spans="1:7" ht="63" x14ac:dyDescent="0.25">
      <c r="A670" s="31" t="s">
        <v>289</v>
      </c>
      <c r="B670" s="462" t="s">
        <v>264</v>
      </c>
      <c r="C670" s="462" t="s">
        <v>215</v>
      </c>
      <c r="D670" s="462" t="s">
        <v>1216</v>
      </c>
      <c r="E670" s="462"/>
      <c r="F670" s="459">
        <f>F671</f>
        <v>106</v>
      </c>
      <c r="G670" s="459">
        <f>G671</f>
        <v>106</v>
      </c>
    </row>
    <row r="671" spans="1:7" ht="94.5" x14ac:dyDescent="0.25">
      <c r="A671" s="466" t="s">
        <v>127</v>
      </c>
      <c r="B671" s="462" t="s">
        <v>264</v>
      </c>
      <c r="C671" s="462" t="s">
        <v>215</v>
      </c>
      <c r="D671" s="462" t="s">
        <v>1216</v>
      </c>
      <c r="E671" s="462" t="s">
        <v>128</v>
      </c>
      <c r="F671" s="459">
        <f>F672</f>
        <v>106</v>
      </c>
      <c r="G671" s="459">
        <f>G672</f>
        <v>106</v>
      </c>
    </row>
    <row r="672" spans="1:7" ht="31.5" x14ac:dyDescent="0.25">
      <c r="A672" s="46" t="s">
        <v>342</v>
      </c>
      <c r="B672" s="462" t="s">
        <v>264</v>
      </c>
      <c r="C672" s="462" t="s">
        <v>215</v>
      </c>
      <c r="D672" s="462" t="s">
        <v>1216</v>
      </c>
      <c r="E672" s="462" t="s">
        <v>209</v>
      </c>
      <c r="F672" s="459">
        <f>'пр.6.1.ведом.22-23 (2)'!G323</f>
        <v>106</v>
      </c>
      <c r="G672" s="459">
        <f>'пр.6.1.ведом.22-23 (2)'!H323</f>
        <v>106</v>
      </c>
    </row>
    <row r="673" spans="1:7" ht="78.75" x14ac:dyDescent="0.25">
      <c r="A673" s="31" t="s">
        <v>291</v>
      </c>
      <c r="B673" s="462" t="s">
        <v>264</v>
      </c>
      <c r="C673" s="462" t="s">
        <v>215</v>
      </c>
      <c r="D673" s="462" t="s">
        <v>1217</v>
      </c>
      <c r="E673" s="462"/>
      <c r="F673" s="459">
        <f>F674</f>
        <v>298.39999999999998</v>
      </c>
      <c r="G673" s="459">
        <f>G674</f>
        <v>298.39999999999998</v>
      </c>
    </row>
    <row r="674" spans="1:7" ht="94.5" x14ac:dyDescent="0.25">
      <c r="A674" s="466" t="s">
        <v>127</v>
      </c>
      <c r="B674" s="462" t="s">
        <v>264</v>
      </c>
      <c r="C674" s="462" t="s">
        <v>215</v>
      </c>
      <c r="D674" s="462" t="s">
        <v>1217</v>
      </c>
      <c r="E674" s="462" t="s">
        <v>128</v>
      </c>
      <c r="F674" s="459">
        <f>F675</f>
        <v>298.39999999999998</v>
      </c>
      <c r="G674" s="459">
        <f>G675</f>
        <v>298.39999999999998</v>
      </c>
    </row>
    <row r="675" spans="1:7" ht="31.5" x14ac:dyDescent="0.25">
      <c r="A675" s="46" t="s">
        <v>342</v>
      </c>
      <c r="B675" s="462" t="s">
        <v>264</v>
      </c>
      <c r="C675" s="462" t="s">
        <v>215</v>
      </c>
      <c r="D675" s="462" t="s">
        <v>1217</v>
      </c>
      <c r="E675" s="462" t="s">
        <v>209</v>
      </c>
      <c r="F675" s="459">
        <f>'пр.6.1.ведом.22-23 (2)'!G326</f>
        <v>298.39999999999998</v>
      </c>
      <c r="G675" s="459">
        <f>'пр.6.1.ведом.22-23 (2)'!H326</f>
        <v>298.39999999999998</v>
      </c>
    </row>
    <row r="676" spans="1:7" ht="63" x14ac:dyDescent="0.25">
      <c r="A676" s="34" t="s">
        <v>1225</v>
      </c>
      <c r="B676" s="465" t="s">
        <v>264</v>
      </c>
      <c r="C676" s="465" t="s">
        <v>215</v>
      </c>
      <c r="D676" s="465" t="s">
        <v>324</v>
      </c>
      <c r="E676" s="465"/>
      <c r="F676" s="463">
        <f>F678</f>
        <v>6</v>
      </c>
      <c r="G676" s="463">
        <f>G678</f>
        <v>0</v>
      </c>
    </row>
    <row r="677" spans="1:7" ht="63" x14ac:dyDescent="0.25">
      <c r="A677" s="34" t="s">
        <v>1025</v>
      </c>
      <c r="B677" s="465" t="s">
        <v>264</v>
      </c>
      <c r="C677" s="465" t="s">
        <v>215</v>
      </c>
      <c r="D677" s="465" t="s">
        <v>934</v>
      </c>
      <c r="E677" s="465"/>
      <c r="F677" s="463">
        <f>F680</f>
        <v>6</v>
      </c>
      <c r="G677" s="463">
        <f>G680</f>
        <v>0</v>
      </c>
    </row>
    <row r="678" spans="1:7" ht="47.25" x14ac:dyDescent="0.25">
      <c r="A678" s="31" t="s">
        <v>1083</v>
      </c>
      <c r="B678" s="462" t="s">
        <v>264</v>
      </c>
      <c r="C678" s="462" t="s">
        <v>215</v>
      </c>
      <c r="D678" s="462" t="s">
        <v>1026</v>
      </c>
      <c r="E678" s="462"/>
      <c r="F678" s="467">
        <f>F679</f>
        <v>6</v>
      </c>
      <c r="G678" s="467">
        <f>G679</f>
        <v>0</v>
      </c>
    </row>
    <row r="679" spans="1:7" ht="31.5" x14ac:dyDescent="0.25">
      <c r="A679" s="466" t="s">
        <v>131</v>
      </c>
      <c r="B679" s="462" t="s">
        <v>264</v>
      </c>
      <c r="C679" s="462" t="s">
        <v>215</v>
      </c>
      <c r="D679" s="462" t="s">
        <v>1026</v>
      </c>
      <c r="E679" s="462" t="s">
        <v>132</v>
      </c>
      <c r="F679" s="467">
        <f>F680</f>
        <v>6</v>
      </c>
      <c r="G679" s="467">
        <f>G680</f>
        <v>0</v>
      </c>
    </row>
    <row r="680" spans="1:7" ht="47.25" x14ac:dyDescent="0.25">
      <c r="A680" s="466" t="s">
        <v>133</v>
      </c>
      <c r="B680" s="462" t="s">
        <v>264</v>
      </c>
      <c r="C680" s="462" t="s">
        <v>215</v>
      </c>
      <c r="D680" s="462" t="s">
        <v>1026</v>
      </c>
      <c r="E680" s="462" t="s">
        <v>134</v>
      </c>
      <c r="F680" s="467">
        <f>'пр.6.1.ведом.22-23 (2)'!G331</f>
        <v>6</v>
      </c>
      <c r="G680" s="467">
        <f>'пр.6.1.ведом.22-23 (2)'!H331</f>
        <v>0</v>
      </c>
    </row>
    <row r="681" spans="1:7" ht="63" x14ac:dyDescent="0.25">
      <c r="A681" s="470" t="s">
        <v>1363</v>
      </c>
      <c r="B681" s="465" t="s">
        <v>264</v>
      </c>
      <c r="C681" s="465" t="s">
        <v>215</v>
      </c>
      <c r="D681" s="465" t="s">
        <v>705</v>
      </c>
      <c r="E681" s="465"/>
      <c r="F681" s="458">
        <f>F682</f>
        <v>792.9</v>
      </c>
      <c r="G681" s="458">
        <f>G682</f>
        <v>824.7</v>
      </c>
    </row>
    <row r="682" spans="1:7" ht="63" x14ac:dyDescent="0.25">
      <c r="A682" s="470" t="s">
        <v>890</v>
      </c>
      <c r="B682" s="465" t="s">
        <v>264</v>
      </c>
      <c r="C682" s="465" t="s">
        <v>215</v>
      </c>
      <c r="D682" s="465" t="s">
        <v>888</v>
      </c>
      <c r="E682" s="465"/>
      <c r="F682" s="458">
        <f>F683+F686</f>
        <v>792.9</v>
      </c>
      <c r="G682" s="458">
        <f>G683+G686</f>
        <v>824.7</v>
      </c>
    </row>
    <row r="683" spans="1:7" ht="47.25" x14ac:dyDescent="0.25">
      <c r="A683" s="98" t="s">
        <v>1004</v>
      </c>
      <c r="B683" s="462" t="s">
        <v>264</v>
      </c>
      <c r="C683" s="462" t="s">
        <v>215</v>
      </c>
      <c r="D683" s="462" t="s">
        <v>889</v>
      </c>
      <c r="E683" s="468"/>
      <c r="F683" s="459">
        <f>F684</f>
        <v>490.2</v>
      </c>
      <c r="G683" s="459">
        <f>G684</f>
        <v>509.8</v>
      </c>
    </row>
    <row r="684" spans="1:7" ht="31.5" x14ac:dyDescent="0.25">
      <c r="A684" s="466" t="s">
        <v>131</v>
      </c>
      <c r="B684" s="462" t="s">
        <v>264</v>
      </c>
      <c r="C684" s="462" t="s">
        <v>215</v>
      </c>
      <c r="D684" s="462" t="s">
        <v>889</v>
      </c>
      <c r="E684" s="468" t="s">
        <v>132</v>
      </c>
      <c r="F684" s="459">
        <f>F685</f>
        <v>490.2</v>
      </c>
      <c r="G684" s="459">
        <f>G685</f>
        <v>509.8</v>
      </c>
    </row>
    <row r="685" spans="1:7" ht="47.25" x14ac:dyDescent="0.25">
      <c r="A685" s="466" t="s">
        <v>133</v>
      </c>
      <c r="B685" s="462" t="s">
        <v>264</v>
      </c>
      <c r="C685" s="462" t="s">
        <v>215</v>
      </c>
      <c r="D685" s="462" t="s">
        <v>889</v>
      </c>
      <c r="E685" s="468" t="s">
        <v>134</v>
      </c>
      <c r="F685" s="459">
        <f>'пр.6.1.ведом.22-23 (2)'!G336</f>
        <v>490.2</v>
      </c>
      <c r="G685" s="459">
        <f>'пр.6.1.ведом.22-23 (2)'!H336</f>
        <v>509.8</v>
      </c>
    </row>
    <row r="686" spans="1:7" ht="47.25" x14ac:dyDescent="0.25">
      <c r="A686" s="98" t="s">
        <v>780</v>
      </c>
      <c r="B686" s="462" t="s">
        <v>264</v>
      </c>
      <c r="C686" s="462" t="s">
        <v>215</v>
      </c>
      <c r="D686" s="462" t="s">
        <v>936</v>
      </c>
      <c r="E686" s="468"/>
      <c r="F686" s="459">
        <f>F687</f>
        <v>302.7</v>
      </c>
      <c r="G686" s="459">
        <f>G687</f>
        <v>314.89999999999998</v>
      </c>
    </row>
    <row r="687" spans="1:7" ht="47.25" x14ac:dyDescent="0.25">
      <c r="A687" s="29" t="s">
        <v>272</v>
      </c>
      <c r="B687" s="462" t="s">
        <v>264</v>
      </c>
      <c r="C687" s="462" t="s">
        <v>215</v>
      </c>
      <c r="D687" s="462" t="s">
        <v>936</v>
      </c>
      <c r="E687" s="468" t="s">
        <v>273</v>
      </c>
      <c r="F687" s="459">
        <f>F688</f>
        <v>302.7</v>
      </c>
      <c r="G687" s="459">
        <f>G688</f>
        <v>314.89999999999998</v>
      </c>
    </row>
    <row r="688" spans="1:7" ht="15.75" x14ac:dyDescent="0.25">
      <c r="A688" s="182" t="s">
        <v>274</v>
      </c>
      <c r="B688" s="462" t="s">
        <v>264</v>
      </c>
      <c r="C688" s="462" t="s">
        <v>215</v>
      </c>
      <c r="D688" s="462" t="s">
        <v>936</v>
      </c>
      <c r="E688" s="468" t="s">
        <v>275</v>
      </c>
      <c r="F688" s="459">
        <f>'пр.6.1.ведом.22-23 (2)'!G719</f>
        <v>302.7</v>
      </c>
      <c r="G688" s="459">
        <f>'пр.6.1.ведом.22-23 (2)'!H719</f>
        <v>314.89999999999998</v>
      </c>
    </row>
    <row r="689" spans="1:7" ht="21.2" customHeight="1" x14ac:dyDescent="0.25">
      <c r="A689" s="464" t="s">
        <v>466</v>
      </c>
      <c r="B689" s="465" t="s">
        <v>264</v>
      </c>
      <c r="C689" s="465" t="s">
        <v>264</v>
      </c>
      <c r="D689" s="465"/>
      <c r="E689" s="474"/>
      <c r="F689" s="458">
        <f>F690+F709</f>
        <v>6505.1</v>
      </c>
      <c r="G689" s="458">
        <f>G690+G709</f>
        <v>6570.1</v>
      </c>
    </row>
    <row r="690" spans="1:7" ht="47.25" x14ac:dyDescent="0.25">
      <c r="A690" s="464" t="s">
        <v>1383</v>
      </c>
      <c r="B690" s="465" t="s">
        <v>264</v>
      </c>
      <c r="C690" s="465" t="s">
        <v>264</v>
      </c>
      <c r="D690" s="465" t="s">
        <v>344</v>
      </c>
      <c r="E690" s="465"/>
      <c r="F690" s="458">
        <f>F691</f>
        <v>760</v>
      </c>
      <c r="G690" s="458">
        <f>G691</f>
        <v>825</v>
      </c>
    </row>
    <row r="691" spans="1:7" ht="31.5" x14ac:dyDescent="0.25">
      <c r="A691" s="464" t="s">
        <v>345</v>
      </c>
      <c r="B691" s="465" t="s">
        <v>264</v>
      </c>
      <c r="C691" s="465" t="s">
        <v>264</v>
      </c>
      <c r="D691" s="465" t="s">
        <v>346</v>
      </c>
      <c r="E691" s="465"/>
      <c r="F691" s="458">
        <f>F692+F699+F705</f>
        <v>760</v>
      </c>
      <c r="G691" s="458">
        <f>G692+G699+G705</f>
        <v>825</v>
      </c>
    </row>
    <row r="692" spans="1:7" ht="63" x14ac:dyDescent="0.25">
      <c r="A692" s="210" t="s">
        <v>1031</v>
      </c>
      <c r="B692" s="465" t="s">
        <v>264</v>
      </c>
      <c r="C692" s="465" t="s">
        <v>264</v>
      </c>
      <c r="D692" s="465" t="s">
        <v>892</v>
      </c>
      <c r="E692" s="465"/>
      <c r="F692" s="458">
        <f>F693+F696</f>
        <v>280</v>
      </c>
      <c r="G692" s="458">
        <f>G693+G696</f>
        <v>280</v>
      </c>
    </row>
    <row r="693" spans="1:7" ht="31.5" x14ac:dyDescent="0.25">
      <c r="A693" s="98" t="s">
        <v>1037</v>
      </c>
      <c r="B693" s="462" t="s">
        <v>264</v>
      </c>
      <c r="C693" s="462" t="s">
        <v>264</v>
      </c>
      <c r="D693" s="462" t="s">
        <v>893</v>
      </c>
      <c r="E693" s="462"/>
      <c r="F693" s="459">
        <f>F694</f>
        <v>280</v>
      </c>
      <c r="G693" s="459">
        <f>G694</f>
        <v>280</v>
      </c>
    </row>
    <row r="694" spans="1:7" ht="94.5" x14ac:dyDescent="0.25">
      <c r="A694" s="466" t="s">
        <v>127</v>
      </c>
      <c r="B694" s="462" t="s">
        <v>264</v>
      </c>
      <c r="C694" s="462" t="s">
        <v>264</v>
      </c>
      <c r="D694" s="462" t="s">
        <v>893</v>
      </c>
      <c r="E694" s="462" t="s">
        <v>128</v>
      </c>
      <c r="F694" s="459">
        <f>F695</f>
        <v>280</v>
      </c>
      <c r="G694" s="459">
        <f>G695</f>
        <v>280</v>
      </c>
    </row>
    <row r="695" spans="1:7" ht="31.5" x14ac:dyDescent="0.25">
      <c r="A695" s="466" t="s">
        <v>342</v>
      </c>
      <c r="B695" s="462" t="s">
        <v>264</v>
      </c>
      <c r="C695" s="462" t="s">
        <v>264</v>
      </c>
      <c r="D695" s="462" t="s">
        <v>893</v>
      </c>
      <c r="E695" s="462" t="s">
        <v>209</v>
      </c>
      <c r="F695" s="459">
        <f>'пр.6.1.ведом.22-23 (2)'!G343</f>
        <v>280</v>
      </c>
      <c r="G695" s="459">
        <f>'пр.6.1.ведом.22-23 (2)'!H343</f>
        <v>280</v>
      </c>
    </row>
    <row r="696" spans="1:7" ht="31.5" hidden="1" x14ac:dyDescent="0.25">
      <c r="A696" s="466" t="s">
        <v>1032</v>
      </c>
      <c r="B696" s="462" t="s">
        <v>264</v>
      </c>
      <c r="C696" s="462" t="s">
        <v>264</v>
      </c>
      <c r="D696" s="462" t="s">
        <v>1049</v>
      </c>
      <c r="E696" s="462"/>
      <c r="F696" s="459">
        <f>'[1]Пр.4 Рд,пр, ЦС,ВР 21'!F692</f>
        <v>0</v>
      </c>
      <c r="G696" s="459">
        <f t="shared" ref="G696:G698" si="69">F696</f>
        <v>0</v>
      </c>
    </row>
    <row r="697" spans="1:7" ht="31.5" hidden="1" x14ac:dyDescent="0.25">
      <c r="A697" s="466" t="s">
        <v>131</v>
      </c>
      <c r="B697" s="462" t="s">
        <v>264</v>
      </c>
      <c r="C697" s="462" t="s">
        <v>264</v>
      </c>
      <c r="D697" s="462" t="s">
        <v>1049</v>
      </c>
      <c r="E697" s="462" t="s">
        <v>132</v>
      </c>
      <c r="F697" s="459">
        <f>'[1]Пр.4 Рд,пр, ЦС,ВР 21'!F693</f>
        <v>0</v>
      </c>
      <c r="G697" s="459">
        <f t="shared" si="69"/>
        <v>0</v>
      </c>
    </row>
    <row r="698" spans="1:7" ht="47.25" hidden="1" x14ac:dyDescent="0.25">
      <c r="A698" s="466" t="s">
        <v>133</v>
      </c>
      <c r="B698" s="462" t="s">
        <v>264</v>
      </c>
      <c r="C698" s="462" t="s">
        <v>264</v>
      </c>
      <c r="D698" s="462" t="s">
        <v>1049</v>
      </c>
      <c r="E698" s="462" t="s">
        <v>134</v>
      </c>
      <c r="F698" s="459">
        <f>'[1]Пр.4 Рд,пр, ЦС,ВР 21'!F694</f>
        <v>0</v>
      </c>
      <c r="G698" s="459">
        <f t="shared" si="69"/>
        <v>0</v>
      </c>
    </row>
    <row r="699" spans="1:7" ht="78.75" x14ac:dyDescent="0.25">
      <c r="A699" s="464" t="s">
        <v>1033</v>
      </c>
      <c r="B699" s="465" t="s">
        <v>264</v>
      </c>
      <c r="C699" s="465" t="s">
        <v>264</v>
      </c>
      <c r="D699" s="465" t="s">
        <v>894</v>
      </c>
      <c r="E699" s="465"/>
      <c r="F699" s="458">
        <f>F700</f>
        <v>455</v>
      </c>
      <c r="G699" s="458">
        <f>G700</f>
        <v>520</v>
      </c>
    </row>
    <row r="700" spans="1:7" ht="31.5" x14ac:dyDescent="0.25">
      <c r="A700" s="466" t="s">
        <v>1034</v>
      </c>
      <c r="B700" s="462" t="s">
        <v>264</v>
      </c>
      <c r="C700" s="462" t="s">
        <v>264</v>
      </c>
      <c r="D700" s="462" t="s">
        <v>901</v>
      </c>
      <c r="E700" s="462"/>
      <c r="F700" s="459">
        <f>F701+F704</f>
        <v>455</v>
      </c>
      <c r="G700" s="459">
        <f>G701+G704</f>
        <v>520</v>
      </c>
    </row>
    <row r="701" spans="1:7" ht="94.5" x14ac:dyDescent="0.25">
      <c r="A701" s="466" t="s">
        <v>127</v>
      </c>
      <c r="B701" s="462" t="s">
        <v>264</v>
      </c>
      <c r="C701" s="462" t="s">
        <v>264</v>
      </c>
      <c r="D701" s="462" t="s">
        <v>901</v>
      </c>
      <c r="E701" s="462" t="s">
        <v>128</v>
      </c>
      <c r="F701" s="459">
        <f>F702</f>
        <v>40</v>
      </c>
      <c r="G701" s="459">
        <f>G702</f>
        <v>40</v>
      </c>
    </row>
    <row r="702" spans="1:7" ht="31.5" x14ac:dyDescent="0.25">
      <c r="A702" s="466" t="s">
        <v>342</v>
      </c>
      <c r="B702" s="462" t="s">
        <v>264</v>
      </c>
      <c r="C702" s="462" t="s">
        <v>264</v>
      </c>
      <c r="D702" s="462" t="s">
        <v>901</v>
      </c>
      <c r="E702" s="462" t="s">
        <v>209</v>
      </c>
      <c r="F702" s="459">
        <f>'пр.6.1.ведом.22-23 (2)'!G350</f>
        <v>40</v>
      </c>
      <c r="G702" s="459">
        <f>'пр.6.1.ведом.22-23 (2)'!H350</f>
        <v>40</v>
      </c>
    </row>
    <row r="703" spans="1:7" ht="31.5" x14ac:dyDescent="0.25">
      <c r="A703" s="466" t="s">
        <v>131</v>
      </c>
      <c r="B703" s="462" t="s">
        <v>264</v>
      </c>
      <c r="C703" s="462" t="s">
        <v>264</v>
      </c>
      <c r="D703" s="462" t="s">
        <v>901</v>
      </c>
      <c r="E703" s="462" t="s">
        <v>132</v>
      </c>
      <c r="F703" s="459">
        <f>F704</f>
        <v>415</v>
      </c>
      <c r="G703" s="459">
        <f>G704</f>
        <v>480</v>
      </c>
    </row>
    <row r="704" spans="1:7" ht="47.25" x14ac:dyDescent="0.25">
      <c r="A704" s="466" t="s">
        <v>133</v>
      </c>
      <c r="B704" s="462" t="s">
        <v>264</v>
      </c>
      <c r="C704" s="462" t="s">
        <v>264</v>
      </c>
      <c r="D704" s="462" t="s">
        <v>901</v>
      </c>
      <c r="E704" s="462" t="s">
        <v>134</v>
      </c>
      <c r="F704" s="459">
        <f>'пр.6.1.ведом.22-23 (2)'!G352</f>
        <v>415</v>
      </c>
      <c r="G704" s="459">
        <f>'пр.6.1.ведом.22-23 (2)'!H352</f>
        <v>480</v>
      </c>
    </row>
    <row r="705" spans="1:7" ht="47.25" x14ac:dyDescent="0.25">
      <c r="A705" s="464" t="s">
        <v>1039</v>
      </c>
      <c r="B705" s="465" t="s">
        <v>264</v>
      </c>
      <c r="C705" s="465" t="s">
        <v>264</v>
      </c>
      <c r="D705" s="465" t="s">
        <v>1035</v>
      </c>
      <c r="E705" s="465"/>
      <c r="F705" s="458">
        <f t="shared" ref="F705:G707" si="70">F706</f>
        <v>25</v>
      </c>
      <c r="G705" s="458">
        <f t="shared" si="70"/>
        <v>25</v>
      </c>
    </row>
    <row r="706" spans="1:7" ht="47.25" x14ac:dyDescent="0.25">
      <c r="A706" s="230" t="s">
        <v>1036</v>
      </c>
      <c r="B706" s="462" t="s">
        <v>264</v>
      </c>
      <c r="C706" s="462" t="s">
        <v>264</v>
      </c>
      <c r="D706" s="462" t="s">
        <v>1050</v>
      </c>
      <c r="E706" s="462"/>
      <c r="F706" s="459">
        <f t="shared" si="70"/>
        <v>25</v>
      </c>
      <c r="G706" s="459">
        <f t="shared" si="70"/>
        <v>25</v>
      </c>
    </row>
    <row r="707" spans="1:7" ht="31.5" x14ac:dyDescent="0.25">
      <c r="A707" s="466" t="s">
        <v>248</v>
      </c>
      <c r="B707" s="462" t="s">
        <v>264</v>
      </c>
      <c r="C707" s="462" t="s">
        <v>264</v>
      </c>
      <c r="D707" s="462" t="s">
        <v>1050</v>
      </c>
      <c r="E707" s="462" t="s">
        <v>249</v>
      </c>
      <c r="F707" s="459">
        <f t="shared" si="70"/>
        <v>25</v>
      </c>
      <c r="G707" s="459">
        <f t="shared" si="70"/>
        <v>25</v>
      </c>
    </row>
    <row r="708" spans="1:7" ht="37.5" customHeight="1" x14ac:dyDescent="0.25">
      <c r="A708" s="466" t="s">
        <v>1201</v>
      </c>
      <c r="B708" s="462" t="s">
        <v>264</v>
      </c>
      <c r="C708" s="462" t="s">
        <v>264</v>
      </c>
      <c r="D708" s="462" t="s">
        <v>1050</v>
      </c>
      <c r="E708" s="462" t="s">
        <v>1200</v>
      </c>
      <c r="F708" s="459">
        <f>'пр.6.1.ведом.22-23 (2)'!G356</f>
        <v>25</v>
      </c>
      <c r="G708" s="459">
        <f>'пр.6.1.ведом.22-23 (2)'!H356</f>
        <v>25</v>
      </c>
    </row>
    <row r="709" spans="1:7" ht="47.25" x14ac:dyDescent="0.25">
      <c r="A709" s="464" t="s">
        <v>1369</v>
      </c>
      <c r="B709" s="465" t="s">
        <v>264</v>
      </c>
      <c r="C709" s="465" t="s">
        <v>264</v>
      </c>
      <c r="D709" s="465" t="s">
        <v>406</v>
      </c>
      <c r="E709" s="465"/>
      <c r="F709" s="458">
        <f t="shared" ref="F709:G712" si="71">F710</f>
        <v>5745.1</v>
      </c>
      <c r="G709" s="458">
        <f t="shared" si="71"/>
        <v>5745.1</v>
      </c>
    </row>
    <row r="710" spans="1:7" ht="31.5" x14ac:dyDescent="0.25">
      <c r="A710" s="464" t="s">
        <v>943</v>
      </c>
      <c r="B710" s="465" t="s">
        <v>264</v>
      </c>
      <c r="C710" s="465" t="s">
        <v>264</v>
      </c>
      <c r="D710" s="465" t="s">
        <v>1244</v>
      </c>
      <c r="E710" s="465"/>
      <c r="F710" s="458">
        <f t="shared" si="71"/>
        <v>5745.1</v>
      </c>
      <c r="G710" s="458">
        <f t="shared" si="71"/>
        <v>5745.1</v>
      </c>
    </row>
    <row r="711" spans="1:7" ht="47.25" x14ac:dyDescent="0.25">
      <c r="A711" s="31" t="s">
        <v>1062</v>
      </c>
      <c r="B711" s="462" t="s">
        <v>264</v>
      </c>
      <c r="C711" s="462" t="s">
        <v>264</v>
      </c>
      <c r="D711" s="462" t="s">
        <v>1266</v>
      </c>
      <c r="E711" s="462"/>
      <c r="F711" s="459">
        <f t="shared" si="71"/>
        <v>5745.1</v>
      </c>
      <c r="G711" s="459">
        <f t="shared" si="71"/>
        <v>5745.1</v>
      </c>
    </row>
    <row r="712" spans="1:7" ht="47.25" x14ac:dyDescent="0.25">
      <c r="A712" s="466" t="s">
        <v>272</v>
      </c>
      <c r="B712" s="462" t="s">
        <v>264</v>
      </c>
      <c r="C712" s="462" t="s">
        <v>264</v>
      </c>
      <c r="D712" s="462" t="s">
        <v>1266</v>
      </c>
      <c r="E712" s="462" t="s">
        <v>273</v>
      </c>
      <c r="F712" s="459">
        <f t="shared" si="71"/>
        <v>5745.1</v>
      </c>
      <c r="G712" s="459">
        <f t="shared" si="71"/>
        <v>5745.1</v>
      </c>
    </row>
    <row r="713" spans="1:7" ht="15.75" x14ac:dyDescent="0.25">
      <c r="A713" s="466" t="s">
        <v>274</v>
      </c>
      <c r="B713" s="462" t="s">
        <v>264</v>
      </c>
      <c r="C713" s="462" t="s">
        <v>264</v>
      </c>
      <c r="D713" s="462" t="s">
        <v>1266</v>
      </c>
      <c r="E713" s="462" t="s">
        <v>275</v>
      </c>
      <c r="F713" s="459">
        <f>'пр.6.1.ведом.22-23 (2)'!G725</f>
        <v>5745.1</v>
      </c>
      <c r="G713" s="459">
        <f>'пр.6.1.ведом.22-23 (2)'!H725</f>
        <v>5745.1</v>
      </c>
    </row>
    <row r="714" spans="1:7" ht="15.75" x14ac:dyDescent="0.25">
      <c r="A714" s="464" t="s">
        <v>295</v>
      </c>
      <c r="B714" s="465" t="s">
        <v>264</v>
      </c>
      <c r="C714" s="465" t="s">
        <v>219</v>
      </c>
      <c r="D714" s="465"/>
      <c r="E714" s="465"/>
      <c r="F714" s="458">
        <f>F715+F725</f>
        <v>19831.8</v>
      </c>
      <c r="G714" s="458">
        <f>G715+G725</f>
        <v>19831.8</v>
      </c>
    </row>
    <row r="715" spans="1:7" ht="31.5" x14ac:dyDescent="0.25">
      <c r="A715" s="464" t="s">
        <v>917</v>
      </c>
      <c r="B715" s="465" t="s">
        <v>264</v>
      </c>
      <c r="C715" s="465" t="s">
        <v>219</v>
      </c>
      <c r="D715" s="465" t="s">
        <v>858</v>
      </c>
      <c r="E715" s="465"/>
      <c r="F715" s="458">
        <f>F716</f>
        <v>6048.7</v>
      </c>
      <c r="G715" s="458">
        <f>G716</f>
        <v>6048.7</v>
      </c>
    </row>
    <row r="716" spans="1:7" ht="15.75" x14ac:dyDescent="0.25">
      <c r="A716" s="464" t="s">
        <v>918</v>
      </c>
      <c r="B716" s="465" t="s">
        <v>264</v>
      </c>
      <c r="C716" s="465" t="s">
        <v>219</v>
      </c>
      <c r="D716" s="465" t="s">
        <v>859</v>
      </c>
      <c r="E716" s="465"/>
      <c r="F716" s="458">
        <f>F717+F722</f>
        <v>6048.7</v>
      </c>
      <c r="G716" s="458">
        <f>G717+G722</f>
        <v>6048.7</v>
      </c>
    </row>
    <row r="717" spans="1:7" ht="31.5" x14ac:dyDescent="0.25">
      <c r="A717" s="466" t="s">
        <v>897</v>
      </c>
      <c r="B717" s="462" t="s">
        <v>264</v>
      </c>
      <c r="C717" s="462" t="s">
        <v>219</v>
      </c>
      <c r="D717" s="462" t="s">
        <v>860</v>
      </c>
      <c r="E717" s="462"/>
      <c r="F717" s="459">
        <f>F718+F720</f>
        <v>5922.7</v>
      </c>
      <c r="G717" s="459">
        <f>G718+G720</f>
        <v>5922.7</v>
      </c>
    </row>
    <row r="718" spans="1:7" ht="94.5" x14ac:dyDescent="0.25">
      <c r="A718" s="466" t="s">
        <v>127</v>
      </c>
      <c r="B718" s="462" t="s">
        <v>264</v>
      </c>
      <c r="C718" s="462" t="s">
        <v>219</v>
      </c>
      <c r="D718" s="462" t="s">
        <v>860</v>
      </c>
      <c r="E718" s="462" t="s">
        <v>128</v>
      </c>
      <c r="F718" s="459">
        <f>F719</f>
        <v>5710.7</v>
      </c>
      <c r="G718" s="459">
        <f>G719</f>
        <v>5710.7</v>
      </c>
    </row>
    <row r="719" spans="1:7" ht="31.5" x14ac:dyDescent="0.25">
      <c r="A719" s="466" t="s">
        <v>129</v>
      </c>
      <c r="B719" s="462" t="s">
        <v>264</v>
      </c>
      <c r="C719" s="462" t="s">
        <v>219</v>
      </c>
      <c r="D719" s="462" t="s">
        <v>860</v>
      </c>
      <c r="E719" s="462" t="s">
        <v>130</v>
      </c>
      <c r="F719" s="459">
        <f>'пр.6.1.ведом.22-23 (2)'!G734</f>
        <v>5710.7</v>
      </c>
      <c r="G719" s="459">
        <f>'пр.6.1.ведом.22-23 (2)'!H734</f>
        <v>5710.7</v>
      </c>
    </row>
    <row r="720" spans="1:7" ht="31.5" x14ac:dyDescent="0.25">
      <c r="A720" s="466" t="s">
        <v>131</v>
      </c>
      <c r="B720" s="462" t="s">
        <v>264</v>
      </c>
      <c r="C720" s="462" t="s">
        <v>219</v>
      </c>
      <c r="D720" s="462" t="s">
        <v>860</v>
      </c>
      <c r="E720" s="462" t="s">
        <v>132</v>
      </c>
      <c r="F720" s="459">
        <f>F721</f>
        <v>212</v>
      </c>
      <c r="G720" s="459">
        <f>G721</f>
        <v>212</v>
      </c>
    </row>
    <row r="721" spans="1:7" ht="47.25" x14ac:dyDescent="0.25">
      <c r="A721" s="466" t="s">
        <v>133</v>
      </c>
      <c r="B721" s="462" t="s">
        <v>264</v>
      </c>
      <c r="C721" s="462" t="s">
        <v>219</v>
      </c>
      <c r="D721" s="462" t="s">
        <v>860</v>
      </c>
      <c r="E721" s="462" t="s">
        <v>134</v>
      </c>
      <c r="F721" s="459">
        <f>'пр.6.1.ведом.22-23 (2)'!G736</f>
        <v>212</v>
      </c>
      <c r="G721" s="459">
        <f>'пр.6.1.ведом.22-23 (2)'!H736</f>
        <v>212</v>
      </c>
    </row>
    <row r="722" spans="1:7" ht="47.25" x14ac:dyDescent="0.25">
      <c r="A722" s="466" t="s">
        <v>839</v>
      </c>
      <c r="B722" s="462" t="s">
        <v>264</v>
      </c>
      <c r="C722" s="462" t="s">
        <v>219</v>
      </c>
      <c r="D722" s="462" t="s">
        <v>862</v>
      </c>
      <c r="E722" s="462"/>
      <c r="F722" s="459">
        <f>F723</f>
        <v>126</v>
      </c>
      <c r="G722" s="459">
        <f>G723</f>
        <v>126</v>
      </c>
    </row>
    <row r="723" spans="1:7" ht="94.5" x14ac:dyDescent="0.25">
      <c r="A723" s="466" t="s">
        <v>127</v>
      </c>
      <c r="B723" s="462" t="s">
        <v>264</v>
      </c>
      <c r="C723" s="462" t="s">
        <v>219</v>
      </c>
      <c r="D723" s="462" t="s">
        <v>862</v>
      </c>
      <c r="E723" s="462" t="s">
        <v>128</v>
      </c>
      <c r="F723" s="459">
        <f>F724</f>
        <v>126</v>
      </c>
      <c r="G723" s="459">
        <f>G724</f>
        <v>126</v>
      </c>
    </row>
    <row r="724" spans="1:7" ht="31.5" x14ac:dyDescent="0.25">
      <c r="A724" s="466" t="s">
        <v>129</v>
      </c>
      <c r="B724" s="462" t="s">
        <v>264</v>
      </c>
      <c r="C724" s="462" t="s">
        <v>219</v>
      </c>
      <c r="D724" s="462" t="s">
        <v>862</v>
      </c>
      <c r="E724" s="462" t="s">
        <v>130</v>
      </c>
      <c r="F724" s="459">
        <f>'пр.6.1.ведом.22-23 (2)'!G739</f>
        <v>126</v>
      </c>
      <c r="G724" s="459">
        <f>'пр.6.1.ведом.22-23 (2)'!H739</f>
        <v>126</v>
      </c>
    </row>
    <row r="725" spans="1:7" ht="15.75" x14ac:dyDescent="0.25">
      <c r="A725" s="464" t="s">
        <v>141</v>
      </c>
      <c r="B725" s="465" t="s">
        <v>264</v>
      </c>
      <c r="C725" s="465" t="s">
        <v>219</v>
      </c>
      <c r="D725" s="465" t="s">
        <v>866</v>
      </c>
      <c r="E725" s="465"/>
      <c r="F725" s="458">
        <f>F726+F730</f>
        <v>13783.1</v>
      </c>
      <c r="G725" s="458">
        <f>G726+G730</f>
        <v>13783.1</v>
      </c>
    </row>
    <row r="726" spans="1:7" ht="31.5" x14ac:dyDescent="0.25">
      <c r="A726" s="464" t="s">
        <v>870</v>
      </c>
      <c r="B726" s="465" t="s">
        <v>264</v>
      </c>
      <c r="C726" s="465" t="s">
        <v>219</v>
      </c>
      <c r="D726" s="465" t="s">
        <v>865</v>
      </c>
      <c r="E726" s="465"/>
      <c r="F726" s="458">
        <f t="shared" ref="F726:G728" si="72">F727</f>
        <v>300</v>
      </c>
      <c r="G726" s="458">
        <f t="shared" si="72"/>
        <v>300</v>
      </c>
    </row>
    <row r="727" spans="1:7" ht="21.2" customHeight="1" x14ac:dyDescent="0.25">
      <c r="A727" s="466" t="s">
        <v>478</v>
      </c>
      <c r="B727" s="462" t="s">
        <v>264</v>
      </c>
      <c r="C727" s="462" t="s">
        <v>219</v>
      </c>
      <c r="D727" s="462" t="s">
        <v>944</v>
      </c>
      <c r="E727" s="462"/>
      <c r="F727" s="459">
        <f t="shared" si="72"/>
        <v>300</v>
      </c>
      <c r="G727" s="459">
        <f t="shared" si="72"/>
        <v>300</v>
      </c>
    </row>
    <row r="728" spans="1:7" ht="31.5" x14ac:dyDescent="0.25">
      <c r="A728" s="466" t="s">
        <v>131</v>
      </c>
      <c r="B728" s="462" t="s">
        <v>264</v>
      </c>
      <c r="C728" s="462" t="s">
        <v>219</v>
      </c>
      <c r="D728" s="462" t="s">
        <v>944</v>
      </c>
      <c r="E728" s="462" t="s">
        <v>132</v>
      </c>
      <c r="F728" s="459">
        <f t="shared" si="72"/>
        <v>300</v>
      </c>
      <c r="G728" s="459">
        <f t="shared" si="72"/>
        <v>300</v>
      </c>
    </row>
    <row r="729" spans="1:7" ht="47.25" x14ac:dyDescent="0.25">
      <c r="A729" s="466" t="s">
        <v>133</v>
      </c>
      <c r="B729" s="462" t="s">
        <v>264</v>
      </c>
      <c r="C729" s="462" t="s">
        <v>219</v>
      </c>
      <c r="D729" s="462" t="s">
        <v>944</v>
      </c>
      <c r="E729" s="462" t="s">
        <v>134</v>
      </c>
      <c r="F729" s="459">
        <f>'пр.6.1.ведом.22-23 (2)'!G744</f>
        <v>300</v>
      </c>
      <c r="G729" s="459">
        <f>'пр.6.1.ведом.22-23 (2)'!H744</f>
        <v>300</v>
      </c>
    </row>
    <row r="730" spans="1:7" ht="36" customHeight="1" x14ac:dyDescent="0.25">
      <c r="A730" s="464" t="s">
        <v>929</v>
      </c>
      <c r="B730" s="465" t="s">
        <v>264</v>
      </c>
      <c r="C730" s="465" t="s">
        <v>219</v>
      </c>
      <c r="D730" s="465" t="s">
        <v>914</v>
      </c>
      <c r="E730" s="465"/>
      <c r="F730" s="458">
        <f>F731+F738</f>
        <v>13483.1</v>
      </c>
      <c r="G730" s="458">
        <f>G731+G738</f>
        <v>13483.1</v>
      </c>
    </row>
    <row r="731" spans="1:7" ht="31.5" x14ac:dyDescent="0.25">
      <c r="A731" s="466" t="s">
        <v>903</v>
      </c>
      <c r="B731" s="462" t="s">
        <v>264</v>
      </c>
      <c r="C731" s="462" t="s">
        <v>219</v>
      </c>
      <c r="D731" s="462" t="s">
        <v>915</v>
      </c>
      <c r="E731" s="462"/>
      <c r="F731" s="459">
        <f>F732+F734+F736</f>
        <v>12977.1</v>
      </c>
      <c r="G731" s="459">
        <f>G732+G734+G736</f>
        <v>12977.1</v>
      </c>
    </row>
    <row r="732" spans="1:7" ht="94.5" x14ac:dyDescent="0.25">
      <c r="A732" s="466" t="s">
        <v>127</v>
      </c>
      <c r="B732" s="462" t="s">
        <v>264</v>
      </c>
      <c r="C732" s="462" t="s">
        <v>219</v>
      </c>
      <c r="D732" s="462" t="s">
        <v>915</v>
      </c>
      <c r="E732" s="462" t="s">
        <v>128</v>
      </c>
      <c r="F732" s="459">
        <f>F733</f>
        <v>11885.1</v>
      </c>
      <c r="G732" s="459">
        <f>G733</f>
        <v>11885.1</v>
      </c>
    </row>
    <row r="733" spans="1:7" ht="31.5" x14ac:dyDescent="0.25">
      <c r="A733" s="466" t="s">
        <v>342</v>
      </c>
      <c r="B733" s="462" t="s">
        <v>264</v>
      </c>
      <c r="C733" s="462" t="s">
        <v>219</v>
      </c>
      <c r="D733" s="462" t="s">
        <v>915</v>
      </c>
      <c r="E733" s="462" t="s">
        <v>209</v>
      </c>
      <c r="F733" s="459">
        <f>'пр.6.1.ведом.22-23 (2)'!G748</f>
        <v>11885.1</v>
      </c>
      <c r="G733" s="459">
        <f>'пр.6.1.ведом.22-23 (2)'!H748</f>
        <v>11885.1</v>
      </c>
    </row>
    <row r="734" spans="1:7" ht="31.5" x14ac:dyDescent="0.25">
      <c r="A734" s="466" t="s">
        <v>131</v>
      </c>
      <c r="B734" s="462" t="s">
        <v>264</v>
      </c>
      <c r="C734" s="462" t="s">
        <v>219</v>
      </c>
      <c r="D734" s="462" t="s">
        <v>915</v>
      </c>
      <c r="E734" s="462" t="s">
        <v>132</v>
      </c>
      <c r="F734" s="459">
        <f>F735</f>
        <v>1077</v>
      </c>
      <c r="G734" s="459">
        <f>G735</f>
        <v>1077</v>
      </c>
    </row>
    <row r="735" spans="1:7" ht="47.25" x14ac:dyDescent="0.25">
      <c r="A735" s="466" t="s">
        <v>133</v>
      </c>
      <c r="B735" s="462" t="s">
        <v>264</v>
      </c>
      <c r="C735" s="462" t="s">
        <v>219</v>
      </c>
      <c r="D735" s="462" t="s">
        <v>915</v>
      </c>
      <c r="E735" s="462" t="s">
        <v>134</v>
      </c>
      <c r="F735" s="459">
        <f>'пр.6.1.ведом.22-23 (2)'!G750</f>
        <v>1077</v>
      </c>
      <c r="G735" s="459">
        <f>'пр.6.1.ведом.22-23 (2)'!H750</f>
        <v>1077</v>
      </c>
    </row>
    <row r="736" spans="1:7" ht="15.75" x14ac:dyDescent="0.25">
      <c r="A736" s="466" t="s">
        <v>135</v>
      </c>
      <c r="B736" s="462" t="s">
        <v>264</v>
      </c>
      <c r="C736" s="462" t="s">
        <v>219</v>
      </c>
      <c r="D736" s="462" t="s">
        <v>915</v>
      </c>
      <c r="E736" s="462" t="s">
        <v>145</v>
      </c>
      <c r="F736" s="459">
        <f>F737</f>
        <v>15</v>
      </c>
      <c r="G736" s="459">
        <f>G737</f>
        <v>15</v>
      </c>
    </row>
    <row r="737" spans="1:9" ht="15.75" customHeight="1" x14ac:dyDescent="0.25">
      <c r="A737" s="466" t="s">
        <v>568</v>
      </c>
      <c r="B737" s="462" t="s">
        <v>264</v>
      </c>
      <c r="C737" s="462" t="s">
        <v>219</v>
      </c>
      <c r="D737" s="462" t="s">
        <v>915</v>
      </c>
      <c r="E737" s="462" t="s">
        <v>138</v>
      </c>
      <c r="F737" s="459">
        <f>'пр.6.1.ведом.22-23 (2)'!G752</f>
        <v>15</v>
      </c>
      <c r="G737" s="459">
        <f>'пр.6.1.ведом.22-23 (2)'!H752</f>
        <v>15</v>
      </c>
    </row>
    <row r="738" spans="1:9" ht="47.25" x14ac:dyDescent="0.25">
      <c r="A738" s="466" t="s">
        <v>839</v>
      </c>
      <c r="B738" s="462" t="s">
        <v>264</v>
      </c>
      <c r="C738" s="462" t="s">
        <v>219</v>
      </c>
      <c r="D738" s="462" t="s">
        <v>916</v>
      </c>
      <c r="E738" s="462"/>
      <c r="F738" s="459">
        <f>F739</f>
        <v>506</v>
      </c>
      <c r="G738" s="459">
        <f>G739</f>
        <v>506</v>
      </c>
    </row>
    <row r="739" spans="1:9" ht="94.5" x14ac:dyDescent="0.25">
      <c r="A739" s="466" t="s">
        <v>127</v>
      </c>
      <c r="B739" s="462" t="s">
        <v>264</v>
      </c>
      <c r="C739" s="462" t="s">
        <v>219</v>
      </c>
      <c r="D739" s="462" t="s">
        <v>916</v>
      </c>
      <c r="E739" s="462" t="s">
        <v>128</v>
      </c>
      <c r="F739" s="459">
        <f>F740</f>
        <v>506</v>
      </c>
      <c r="G739" s="459">
        <f>G740</f>
        <v>506</v>
      </c>
    </row>
    <row r="740" spans="1:9" ht="31.5" x14ac:dyDescent="0.25">
      <c r="A740" s="466" t="s">
        <v>129</v>
      </c>
      <c r="B740" s="462" t="s">
        <v>264</v>
      </c>
      <c r="C740" s="462" t="s">
        <v>219</v>
      </c>
      <c r="D740" s="462" t="s">
        <v>916</v>
      </c>
      <c r="E740" s="462" t="s">
        <v>130</v>
      </c>
      <c r="F740" s="459">
        <f>'пр.6.1.ведом.22-23 (2)'!G755</f>
        <v>506</v>
      </c>
      <c r="G740" s="459">
        <f>'пр.6.1.ведом.22-23 (2)'!H755</f>
        <v>506</v>
      </c>
    </row>
    <row r="741" spans="1:9" ht="15.75" x14ac:dyDescent="0.25">
      <c r="A741" s="470" t="s">
        <v>298</v>
      </c>
      <c r="B741" s="7" t="s">
        <v>299</v>
      </c>
      <c r="C741" s="7"/>
      <c r="D741" s="7"/>
      <c r="E741" s="7"/>
      <c r="F741" s="458">
        <f>F742+F795</f>
        <v>76411.28</v>
      </c>
      <c r="G741" s="458">
        <f>G742+G795</f>
        <v>77665.48</v>
      </c>
      <c r="H741" s="457">
        <v>72370</v>
      </c>
      <c r="I741" s="457">
        <v>73630.2</v>
      </c>
    </row>
    <row r="742" spans="1:9" ht="15.75" x14ac:dyDescent="0.25">
      <c r="A742" s="470" t="s">
        <v>300</v>
      </c>
      <c r="B742" s="7" t="s">
        <v>299</v>
      </c>
      <c r="C742" s="7" t="s">
        <v>118</v>
      </c>
      <c r="D742" s="7"/>
      <c r="E742" s="7"/>
      <c r="F742" s="458">
        <f>F743+F785+F790</f>
        <v>57844.87999999999</v>
      </c>
      <c r="G742" s="458">
        <f>G743+G785+G790</f>
        <v>59070.079999999994</v>
      </c>
      <c r="H742" s="231">
        <f>H741-F741</f>
        <v>-4041.2799999999988</v>
      </c>
      <c r="I742" s="231">
        <f>I741-G741</f>
        <v>-4035.2799999999988</v>
      </c>
    </row>
    <row r="743" spans="1:9" ht="47.25" x14ac:dyDescent="0.25">
      <c r="A743" s="464" t="s">
        <v>1362</v>
      </c>
      <c r="B743" s="465" t="s">
        <v>299</v>
      </c>
      <c r="C743" s="465" t="s">
        <v>118</v>
      </c>
      <c r="D743" s="465" t="s">
        <v>267</v>
      </c>
      <c r="E743" s="465"/>
      <c r="F743" s="458">
        <f>F744+F752+F758+F762+F769+F773+F777+F781</f>
        <v>56956.179999999993</v>
      </c>
      <c r="G743" s="458">
        <f>G744+G752+G758+G762+G769+G773+G777+G781</f>
        <v>58156.179999999993</v>
      </c>
    </row>
    <row r="744" spans="1:9" ht="47.25" x14ac:dyDescent="0.25">
      <c r="A744" s="464" t="s">
        <v>1304</v>
      </c>
      <c r="B744" s="465" t="s">
        <v>299</v>
      </c>
      <c r="C744" s="465" t="s">
        <v>118</v>
      </c>
      <c r="D744" s="465" t="s">
        <v>1208</v>
      </c>
      <c r="E744" s="465"/>
      <c r="F744" s="458">
        <f>F745</f>
        <v>51840.479999999996</v>
      </c>
      <c r="G744" s="458">
        <f>G745</f>
        <v>51840.479999999996</v>
      </c>
    </row>
    <row r="745" spans="1:9" ht="31.5" x14ac:dyDescent="0.25">
      <c r="A745" s="466" t="s">
        <v>800</v>
      </c>
      <c r="B745" s="462" t="s">
        <v>299</v>
      </c>
      <c r="C745" s="462" t="s">
        <v>118</v>
      </c>
      <c r="D745" s="462" t="s">
        <v>1209</v>
      </c>
      <c r="E745" s="462"/>
      <c r="F745" s="459">
        <f>F746+F748+F750</f>
        <v>51840.479999999996</v>
      </c>
      <c r="G745" s="459">
        <f>G746+G748+G750</f>
        <v>51840.479999999996</v>
      </c>
    </row>
    <row r="746" spans="1:9" ht="94.5" x14ac:dyDescent="0.25">
      <c r="A746" s="466" t="s">
        <v>127</v>
      </c>
      <c r="B746" s="462" t="s">
        <v>299</v>
      </c>
      <c r="C746" s="462" t="s">
        <v>118</v>
      </c>
      <c r="D746" s="462" t="s">
        <v>1209</v>
      </c>
      <c r="E746" s="462" t="s">
        <v>128</v>
      </c>
      <c r="F746" s="459">
        <f>F747</f>
        <v>43271.28</v>
      </c>
      <c r="G746" s="459">
        <f>G747</f>
        <v>43271.28</v>
      </c>
    </row>
    <row r="747" spans="1:9" ht="31.5" x14ac:dyDescent="0.25">
      <c r="A747" s="466" t="s">
        <v>208</v>
      </c>
      <c r="B747" s="462" t="s">
        <v>299</v>
      </c>
      <c r="C747" s="462" t="s">
        <v>118</v>
      </c>
      <c r="D747" s="462" t="s">
        <v>1209</v>
      </c>
      <c r="E747" s="462" t="s">
        <v>209</v>
      </c>
      <c r="F747" s="459">
        <f>'пр.6.1.ведом.22-23 (2)'!G363</f>
        <v>43271.28</v>
      </c>
      <c r="G747" s="459">
        <f>'пр.6.1.ведом.22-23 (2)'!H363</f>
        <v>43271.28</v>
      </c>
    </row>
    <row r="748" spans="1:9" ht="31.5" x14ac:dyDescent="0.25">
      <c r="A748" s="466" t="s">
        <v>131</v>
      </c>
      <c r="B748" s="462" t="s">
        <v>299</v>
      </c>
      <c r="C748" s="462" t="s">
        <v>118</v>
      </c>
      <c r="D748" s="462" t="s">
        <v>1209</v>
      </c>
      <c r="E748" s="462" t="s">
        <v>132</v>
      </c>
      <c r="F748" s="459">
        <f>F749</f>
        <v>8506.2000000000007</v>
      </c>
      <c r="G748" s="459">
        <f>G749</f>
        <v>8506.2000000000007</v>
      </c>
    </row>
    <row r="749" spans="1:9" ht="47.25" x14ac:dyDescent="0.25">
      <c r="A749" s="466" t="s">
        <v>133</v>
      </c>
      <c r="B749" s="462" t="s">
        <v>299</v>
      </c>
      <c r="C749" s="462" t="s">
        <v>118</v>
      </c>
      <c r="D749" s="462" t="s">
        <v>1209</v>
      </c>
      <c r="E749" s="462" t="s">
        <v>134</v>
      </c>
      <c r="F749" s="459">
        <f>'пр.6.1.ведом.22-23 (2)'!G365</f>
        <v>8506.2000000000007</v>
      </c>
      <c r="G749" s="459">
        <f>'пр.6.1.ведом.22-23 (2)'!H365</f>
        <v>8506.2000000000007</v>
      </c>
    </row>
    <row r="750" spans="1:9" ht="15.75" x14ac:dyDescent="0.25">
      <c r="A750" s="466" t="s">
        <v>135</v>
      </c>
      <c r="B750" s="462" t="s">
        <v>299</v>
      </c>
      <c r="C750" s="462" t="s">
        <v>118</v>
      </c>
      <c r="D750" s="462" t="s">
        <v>1209</v>
      </c>
      <c r="E750" s="462" t="s">
        <v>145</v>
      </c>
      <c r="F750" s="459">
        <f>F751</f>
        <v>63</v>
      </c>
      <c r="G750" s="459">
        <f>G751</f>
        <v>63</v>
      </c>
    </row>
    <row r="751" spans="1:9" ht="15.75" x14ac:dyDescent="0.25">
      <c r="A751" s="466" t="s">
        <v>568</v>
      </c>
      <c r="B751" s="462" t="s">
        <v>299</v>
      </c>
      <c r="C751" s="462" t="s">
        <v>118</v>
      </c>
      <c r="D751" s="462" t="s">
        <v>1209</v>
      </c>
      <c r="E751" s="462" t="s">
        <v>138</v>
      </c>
      <c r="F751" s="459">
        <f>'пр.6.1.ведом.22-23 (2)'!G367</f>
        <v>63</v>
      </c>
      <c r="G751" s="459">
        <f>'пр.6.1.ведом.22-23 (2)'!H367</f>
        <v>63</v>
      </c>
    </row>
    <row r="752" spans="1:9" ht="31.5" x14ac:dyDescent="0.25">
      <c r="A752" s="216" t="s">
        <v>1306</v>
      </c>
      <c r="B752" s="465" t="s">
        <v>299</v>
      </c>
      <c r="C752" s="465" t="s">
        <v>118</v>
      </c>
      <c r="D752" s="465" t="s">
        <v>1210</v>
      </c>
      <c r="E752" s="465"/>
      <c r="F752" s="458">
        <f>F753</f>
        <v>1380</v>
      </c>
      <c r="G752" s="458">
        <f>G753</f>
        <v>1380</v>
      </c>
    </row>
    <row r="753" spans="1:7" ht="31.5" x14ac:dyDescent="0.25">
      <c r="A753" s="31" t="s">
        <v>816</v>
      </c>
      <c r="B753" s="462" t="s">
        <v>299</v>
      </c>
      <c r="C753" s="462" t="s">
        <v>118</v>
      </c>
      <c r="D753" s="462" t="s">
        <v>1212</v>
      </c>
      <c r="E753" s="462"/>
      <c r="F753" s="459">
        <f>F756</f>
        <v>1380</v>
      </c>
      <c r="G753" s="459">
        <f>G756</f>
        <v>1380</v>
      </c>
    </row>
    <row r="754" spans="1:7" ht="94.5" hidden="1" x14ac:dyDescent="0.25">
      <c r="A754" s="466" t="s">
        <v>127</v>
      </c>
      <c r="B754" s="462" t="s">
        <v>299</v>
      </c>
      <c r="C754" s="462" t="s">
        <v>118</v>
      </c>
      <c r="D754" s="462" t="s">
        <v>1212</v>
      </c>
      <c r="E754" s="462" t="s">
        <v>128</v>
      </c>
      <c r="F754" s="459">
        <f>'[1]Пр.4 Рд,пр, ЦС,ВР 21'!F753</f>
        <v>983</v>
      </c>
      <c r="G754" s="459">
        <f>'[1]Пр.4 Рд,пр, ЦС,ВР 21'!G753</f>
        <v>0</v>
      </c>
    </row>
    <row r="755" spans="1:7" ht="31.5" hidden="1" x14ac:dyDescent="0.25">
      <c r="A755" s="466" t="s">
        <v>208</v>
      </c>
      <c r="B755" s="462" t="s">
        <v>299</v>
      </c>
      <c r="C755" s="462" t="s">
        <v>118</v>
      </c>
      <c r="D755" s="462" t="s">
        <v>1212</v>
      </c>
      <c r="E755" s="462" t="s">
        <v>209</v>
      </c>
      <c r="F755" s="459">
        <f>'[1]Пр.4 Рд,пр, ЦС,ВР 21'!F754</f>
        <v>983</v>
      </c>
      <c r="G755" s="459">
        <f>'[1]Пр.4 Рд,пр, ЦС,ВР 21'!G754</f>
        <v>0</v>
      </c>
    </row>
    <row r="756" spans="1:7" ht="31.5" x14ac:dyDescent="0.25">
      <c r="A756" s="466" t="s">
        <v>131</v>
      </c>
      <c r="B756" s="462" t="s">
        <v>299</v>
      </c>
      <c r="C756" s="462" t="s">
        <v>118</v>
      </c>
      <c r="D756" s="462" t="s">
        <v>1212</v>
      </c>
      <c r="E756" s="462" t="s">
        <v>132</v>
      </c>
      <c r="F756" s="459">
        <f>F757</f>
        <v>1380</v>
      </c>
      <c r="G756" s="459">
        <f>G757</f>
        <v>1380</v>
      </c>
    </row>
    <row r="757" spans="1:7" ht="47.25" x14ac:dyDescent="0.25">
      <c r="A757" s="466" t="s">
        <v>133</v>
      </c>
      <c r="B757" s="462" t="s">
        <v>299</v>
      </c>
      <c r="C757" s="462" t="s">
        <v>118</v>
      </c>
      <c r="D757" s="462" t="s">
        <v>1212</v>
      </c>
      <c r="E757" s="462" t="s">
        <v>134</v>
      </c>
      <c r="F757" s="459">
        <f>'пр.6.1.ведом.22-23 (2)'!G373</f>
        <v>1380</v>
      </c>
      <c r="G757" s="459">
        <f>'пр.6.1.ведом.22-23 (2)'!H373</f>
        <v>1380</v>
      </c>
    </row>
    <row r="758" spans="1:7" ht="47.25" x14ac:dyDescent="0.25">
      <c r="A758" s="464" t="s">
        <v>947</v>
      </c>
      <c r="B758" s="465" t="s">
        <v>299</v>
      </c>
      <c r="C758" s="465" t="s">
        <v>118</v>
      </c>
      <c r="D758" s="465" t="s">
        <v>1213</v>
      </c>
      <c r="E758" s="465"/>
      <c r="F758" s="458">
        <f t="shared" ref="F758:G760" si="73">F759</f>
        <v>875</v>
      </c>
      <c r="G758" s="458">
        <f t="shared" si="73"/>
        <v>875</v>
      </c>
    </row>
    <row r="759" spans="1:7" ht="47.25" x14ac:dyDescent="0.25">
      <c r="A759" s="466" t="s">
        <v>839</v>
      </c>
      <c r="B759" s="462" t="s">
        <v>299</v>
      </c>
      <c r="C759" s="462" t="s">
        <v>118</v>
      </c>
      <c r="D759" s="462" t="s">
        <v>1214</v>
      </c>
      <c r="E759" s="462"/>
      <c r="F759" s="459">
        <f t="shared" si="73"/>
        <v>875</v>
      </c>
      <c r="G759" s="459">
        <f t="shared" si="73"/>
        <v>875</v>
      </c>
    </row>
    <row r="760" spans="1:7" ht="94.5" x14ac:dyDescent="0.25">
      <c r="A760" s="466" t="s">
        <v>127</v>
      </c>
      <c r="B760" s="462" t="s">
        <v>299</v>
      </c>
      <c r="C760" s="462" t="s">
        <v>118</v>
      </c>
      <c r="D760" s="462" t="s">
        <v>1214</v>
      </c>
      <c r="E760" s="462" t="s">
        <v>128</v>
      </c>
      <c r="F760" s="459">
        <f t="shared" si="73"/>
        <v>875</v>
      </c>
      <c r="G760" s="459">
        <f t="shared" si="73"/>
        <v>875</v>
      </c>
    </row>
    <row r="761" spans="1:7" ht="33.75" customHeight="1" x14ac:dyDescent="0.25">
      <c r="A761" s="466" t="s">
        <v>129</v>
      </c>
      <c r="B761" s="462" t="s">
        <v>299</v>
      </c>
      <c r="C761" s="462" t="s">
        <v>118</v>
      </c>
      <c r="D761" s="462" t="s">
        <v>1214</v>
      </c>
      <c r="E761" s="462" t="s">
        <v>209</v>
      </c>
      <c r="F761" s="459">
        <f>'пр.6.1.ведом.22-23 (2)'!G377</f>
        <v>875</v>
      </c>
      <c r="G761" s="459">
        <f>'пр.6.1.ведом.22-23 (2)'!H377</f>
        <v>875</v>
      </c>
    </row>
    <row r="762" spans="1:7" ht="50.25" customHeight="1" x14ac:dyDescent="0.25">
      <c r="A762" s="217" t="s">
        <v>900</v>
      </c>
      <c r="B762" s="465" t="s">
        <v>299</v>
      </c>
      <c r="C762" s="465" t="s">
        <v>118</v>
      </c>
      <c r="D762" s="465" t="s">
        <v>1215</v>
      </c>
      <c r="E762" s="465"/>
      <c r="F762" s="458">
        <f>F763+F766</f>
        <v>2442</v>
      </c>
      <c r="G762" s="458">
        <f>G763+G766</f>
        <v>2442</v>
      </c>
    </row>
    <row r="763" spans="1:7" ht="110.85" customHeight="1" x14ac:dyDescent="0.25">
      <c r="A763" s="31" t="s">
        <v>293</v>
      </c>
      <c r="B763" s="462" t="s">
        <v>299</v>
      </c>
      <c r="C763" s="462" t="s">
        <v>118</v>
      </c>
      <c r="D763" s="462" t="s">
        <v>1414</v>
      </c>
      <c r="E763" s="462"/>
      <c r="F763" s="459">
        <f t="shared" ref="F763:G764" si="74">F764</f>
        <v>2100.6</v>
      </c>
      <c r="G763" s="459">
        <f t="shared" si="74"/>
        <v>2100.6</v>
      </c>
    </row>
    <row r="764" spans="1:7" ht="100.15" customHeight="1" x14ac:dyDescent="0.25">
      <c r="A764" s="466" t="s">
        <v>127</v>
      </c>
      <c r="B764" s="462" t="s">
        <v>299</v>
      </c>
      <c r="C764" s="462" t="s">
        <v>118</v>
      </c>
      <c r="D764" s="462" t="s">
        <v>1414</v>
      </c>
      <c r="E764" s="462" t="s">
        <v>128</v>
      </c>
      <c r="F764" s="459">
        <f t="shared" si="74"/>
        <v>2100.6</v>
      </c>
      <c r="G764" s="459">
        <f t="shared" si="74"/>
        <v>2100.6</v>
      </c>
    </row>
    <row r="765" spans="1:7" ht="40.15" customHeight="1" x14ac:dyDescent="0.25">
      <c r="A765" s="466" t="s">
        <v>208</v>
      </c>
      <c r="B765" s="462" t="s">
        <v>299</v>
      </c>
      <c r="C765" s="462" t="s">
        <v>118</v>
      </c>
      <c r="D765" s="462" t="s">
        <v>1414</v>
      </c>
      <c r="E765" s="462" t="s">
        <v>209</v>
      </c>
      <c r="F765" s="459">
        <f>'пр.6.1.ведом.22-23 (2)'!G381</f>
        <v>2100.6</v>
      </c>
      <c r="G765" s="459">
        <f>'пр.6.1.ведом.22-23 (2)'!H381</f>
        <v>2100.6</v>
      </c>
    </row>
    <row r="766" spans="1:7" ht="78" customHeight="1" x14ac:dyDescent="0.25">
      <c r="A766" s="466" t="s">
        <v>331</v>
      </c>
      <c r="B766" s="462" t="s">
        <v>299</v>
      </c>
      <c r="C766" s="462" t="s">
        <v>118</v>
      </c>
      <c r="D766" s="462" t="s">
        <v>1296</v>
      </c>
      <c r="E766" s="462"/>
      <c r="F766" s="467">
        <f>F767</f>
        <v>341.4</v>
      </c>
      <c r="G766" s="467">
        <f>G767</f>
        <v>341.4</v>
      </c>
    </row>
    <row r="767" spans="1:7" ht="98.45" customHeight="1" x14ac:dyDescent="0.25">
      <c r="A767" s="466" t="s">
        <v>127</v>
      </c>
      <c r="B767" s="462" t="s">
        <v>299</v>
      </c>
      <c r="C767" s="462" t="s">
        <v>118</v>
      </c>
      <c r="D767" s="462" t="s">
        <v>1296</v>
      </c>
      <c r="E767" s="462" t="s">
        <v>128</v>
      </c>
      <c r="F767" s="467">
        <f>F768</f>
        <v>341.4</v>
      </c>
      <c r="G767" s="467">
        <f>G768</f>
        <v>341.4</v>
      </c>
    </row>
    <row r="768" spans="1:7" ht="50.25" customHeight="1" x14ac:dyDescent="0.25">
      <c r="A768" s="466" t="s">
        <v>208</v>
      </c>
      <c r="B768" s="462" t="s">
        <v>299</v>
      </c>
      <c r="C768" s="462" t="s">
        <v>118</v>
      </c>
      <c r="D768" s="462" t="s">
        <v>1296</v>
      </c>
      <c r="E768" s="462" t="s">
        <v>209</v>
      </c>
      <c r="F768" s="467">
        <f>'пр.6.1.ведом.22-23 (2)'!G384</f>
        <v>341.4</v>
      </c>
      <c r="G768" s="467">
        <f>'пр.6.1.ведом.22-23 (2)'!H384</f>
        <v>341.4</v>
      </c>
    </row>
    <row r="769" spans="1:7" ht="31.5" x14ac:dyDescent="0.25">
      <c r="A769" s="464" t="s">
        <v>902</v>
      </c>
      <c r="B769" s="465" t="s">
        <v>299</v>
      </c>
      <c r="C769" s="465" t="s">
        <v>118</v>
      </c>
      <c r="D769" s="465" t="s">
        <v>1220</v>
      </c>
      <c r="E769" s="465"/>
      <c r="F769" s="463">
        <f t="shared" ref="F769:G771" si="75">F770</f>
        <v>50</v>
      </c>
      <c r="G769" s="463">
        <f t="shared" si="75"/>
        <v>50</v>
      </c>
    </row>
    <row r="770" spans="1:7" ht="31.5" x14ac:dyDescent="0.25">
      <c r="A770" s="466" t="s">
        <v>821</v>
      </c>
      <c r="B770" s="462" t="s">
        <v>299</v>
      </c>
      <c r="C770" s="462" t="s">
        <v>118</v>
      </c>
      <c r="D770" s="462" t="s">
        <v>1221</v>
      </c>
      <c r="E770" s="462"/>
      <c r="F770" s="467">
        <f t="shared" si="75"/>
        <v>50</v>
      </c>
      <c r="G770" s="467">
        <f t="shared" si="75"/>
        <v>50</v>
      </c>
    </row>
    <row r="771" spans="1:7" ht="31.5" x14ac:dyDescent="0.25">
      <c r="A771" s="466" t="s">
        <v>131</v>
      </c>
      <c r="B771" s="462" t="s">
        <v>299</v>
      </c>
      <c r="C771" s="462" t="s">
        <v>118</v>
      </c>
      <c r="D771" s="462" t="s">
        <v>1221</v>
      </c>
      <c r="E771" s="462" t="s">
        <v>132</v>
      </c>
      <c r="F771" s="467">
        <f t="shared" si="75"/>
        <v>50</v>
      </c>
      <c r="G771" s="467">
        <f t="shared" si="75"/>
        <v>50</v>
      </c>
    </row>
    <row r="772" spans="1:7" ht="47.25" x14ac:dyDescent="0.25">
      <c r="A772" s="466" t="s">
        <v>133</v>
      </c>
      <c r="B772" s="462" t="s">
        <v>299</v>
      </c>
      <c r="C772" s="462" t="s">
        <v>118</v>
      </c>
      <c r="D772" s="462" t="s">
        <v>1221</v>
      </c>
      <c r="E772" s="462" t="s">
        <v>134</v>
      </c>
      <c r="F772" s="467">
        <f>'пр.6.1.ведом.22-23 (2)'!G388</f>
        <v>50</v>
      </c>
      <c r="G772" s="467">
        <f>'пр.6.1.ведом.22-23 (2)'!H388</f>
        <v>50</v>
      </c>
    </row>
    <row r="773" spans="1:7" ht="31.5" x14ac:dyDescent="0.25">
      <c r="A773" s="464" t="s">
        <v>1010</v>
      </c>
      <c r="B773" s="465" t="s">
        <v>299</v>
      </c>
      <c r="C773" s="465" t="s">
        <v>118</v>
      </c>
      <c r="D773" s="465" t="s">
        <v>1222</v>
      </c>
      <c r="E773" s="465"/>
      <c r="F773" s="463">
        <f t="shared" ref="F773:G775" si="76">F774</f>
        <v>68.7</v>
      </c>
      <c r="G773" s="463">
        <f t="shared" si="76"/>
        <v>68.7</v>
      </c>
    </row>
    <row r="774" spans="1:7" ht="47.25" x14ac:dyDescent="0.25">
      <c r="A774" s="466" t="s">
        <v>1497</v>
      </c>
      <c r="B774" s="462" t="s">
        <v>299</v>
      </c>
      <c r="C774" s="462" t="s">
        <v>118</v>
      </c>
      <c r="D774" s="462" t="s">
        <v>1223</v>
      </c>
      <c r="E774" s="462"/>
      <c r="F774" s="467">
        <f t="shared" si="76"/>
        <v>68.7</v>
      </c>
      <c r="G774" s="467">
        <f t="shared" si="76"/>
        <v>68.7</v>
      </c>
    </row>
    <row r="775" spans="1:7" ht="31.5" x14ac:dyDescent="0.25">
      <c r="A775" s="466" t="s">
        <v>131</v>
      </c>
      <c r="B775" s="462" t="s">
        <v>299</v>
      </c>
      <c r="C775" s="462" t="s">
        <v>118</v>
      </c>
      <c r="D775" s="462" t="s">
        <v>1223</v>
      </c>
      <c r="E775" s="462" t="s">
        <v>132</v>
      </c>
      <c r="F775" s="467">
        <f t="shared" si="76"/>
        <v>68.7</v>
      </c>
      <c r="G775" s="467">
        <f t="shared" si="76"/>
        <v>68.7</v>
      </c>
    </row>
    <row r="776" spans="1:7" ht="47.25" x14ac:dyDescent="0.25">
      <c r="A776" s="466" t="s">
        <v>133</v>
      </c>
      <c r="B776" s="462" t="s">
        <v>299</v>
      </c>
      <c r="C776" s="462" t="s">
        <v>118</v>
      </c>
      <c r="D776" s="462" t="s">
        <v>1223</v>
      </c>
      <c r="E776" s="462" t="s">
        <v>134</v>
      </c>
      <c r="F776" s="467">
        <f>'пр.6.1.ведом.22-23 (2)'!G392</f>
        <v>68.7</v>
      </c>
      <c r="G776" s="467">
        <f>'пр.6.1.ведом.22-23 (2)'!H392</f>
        <v>68.7</v>
      </c>
    </row>
    <row r="777" spans="1:7" ht="31.5" x14ac:dyDescent="0.25">
      <c r="A777" s="210" t="s">
        <v>1184</v>
      </c>
      <c r="B777" s="465" t="s">
        <v>299</v>
      </c>
      <c r="C777" s="465" t="s">
        <v>118</v>
      </c>
      <c r="D777" s="465" t="s">
        <v>1317</v>
      </c>
      <c r="E777" s="465"/>
      <c r="F777" s="463">
        <f t="shared" ref="F777:G777" si="77">F778</f>
        <v>300</v>
      </c>
      <c r="G777" s="463">
        <f t="shared" si="77"/>
        <v>1500</v>
      </c>
    </row>
    <row r="778" spans="1:7" ht="63" x14ac:dyDescent="0.25">
      <c r="A778" s="98" t="s">
        <v>1172</v>
      </c>
      <c r="B778" s="462" t="s">
        <v>299</v>
      </c>
      <c r="C778" s="462" t="s">
        <v>118</v>
      </c>
      <c r="D778" s="462" t="s">
        <v>1219</v>
      </c>
      <c r="E778" s="462"/>
      <c r="F778" s="467">
        <f>F779</f>
        <v>300</v>
      </c>
      <c r="G778" s="467">
        <f>G779</f>
        <v>1500</v>
      </c>
    </row>
    <row r="779" spans="1:7" ht="31.5" x14ac:dyDescent="0.25">
      <c r="A779" s="466" t="s">
        <v>131</v>
      </c>
      <c r="B779" s="462" t="s">
        <v>299</v>
      </c>
      <c r="C779" s="462" t="s">
        <v>118</v>
      </c>
      <c r="D779" s="462" t="s">
        <v>1219</v>
      </c>
      <c r="E779" s="462" t="s">
        <v>132</v>
      </c>
      <c r="F779" s="467">
        <f>F780</f>
        <v>300</v>
      </c>
      <c r="G779" s="467">
        <f>G780</f>
        <v>1500</v>
      </c>
    </row>
    <row r="780" spans="1:7" ht="47.25" x14ac:dyDescent="0.25">
      <c r="A780" s="466" t="s">
        <v>133</v>
      </c>
      <c r="B780" s="462" t="s">
        <v>299</v>
      </c>
      <c r="C780" s="462" t="s">
        <v>118</v>
      </c>
      <c r="D780" s="462" t="s">
        <v>1219</v>
      </c>
      <c r="E780" s="462" t="s">
        <v>134</v>
      </c>
      <c r="F780" s="467">
        <f>'пр.6.1.ведом.22-23 (2)'!G396</f>
        <v>300</v>
      </c>
      <c r="G780" s="467">
        <f>'пр.6.1.ведом.22-23 (2)'!H396</f>
        <v>1500</v>
      </c>
    </row>
    <row r="781" spans="1:7" ht="31.5" hidden="1" x14ac:dyDescent="0.25">
      <c r="A781" s="346" t="s">
        <v>1340</v>
      </c>
      <c r="B781" s="465" t="s">
        <v>299</v>
      </c>
      <c r="C781" s="465" t="s">
        <v>118</v>
      </c>
      <c r="D781" s="465"/>
      <c r="E781" s="465"/>
      <c r="F781" s="463">
        <f t="shared" ref="F781:G783" si="78">F782</f>
        <v>0</v>
      </c>
      <c r="G781" s="463">
        <f t="shared" si="78"/>
        <v>0</v>
      </c>
    </row>
    <row r="782" spans="1:7" ht="15.75" hidden="1" x14ac:dyDescent="0.25">
      <c r="A782" s="466"/>
      <c r="B782" s="462" t="s">
        <v>299</v>
      </c>
      <c r="C782" s="462" t="s">
        <v>118</v>
      </c>
      <c r="D782" s="462"/>
      <c r="E782" s="462"/>
      <c r="F782" s="467">
        <f t="shared" si="78"/>
        <v>0</v>
      </c>
      <c r="G782" s="467">
        <f t="shared" si="78"/>
        <v>0</v>
      </c>
    </row>
    <row r="783" spans="1:7" ht="15.75" hidden="1" x14ac:dyDescent="0.25">
      <c r="A783" s="466"/>
      <c r="B783" s="462" t="s">
        <v>299</v>
      </c>
      <c r="C783" s="462" t="s">
        <v>118</v>
      </c>
      <c r="D783" s="462"/>
      <c r="E783" s="462" t="s">
        <v>132</v>
      </c>
      <c r="F783" s="467">
        <f t="shared" si="78"/>
        <v>0</v>
      </c>
      <c r="G783" s="467">
        <f t="shared" si="78"/>
        <v>0</v>
      </c>
    </row>
    <row r="784" spans="1:7" ht="15.75" hidden="1" x14ac:dyDescent="0.25">
      <c r="A784" s="466"/>
      <c r="B784" s="462" t="s">
        <v>299</v>
      </c>
      <c r="C784" s="462" t="s">
        <v>118</v>
      </c>
      <c r="D784" s="462"/>
      <c r="E784" s="462" t="s">
        <v>134</v>
      </c>
      <c r="F784" s="467">
        <f>'пр.6.1.ведом.22-23 (2)'!G400</f>
        <v>0</v>
      </c>
      <c r="G784" s="467">
        <f>'пр.6.1.ведом.22-23 (2)'!H400</f>
        <v>0</v>
      </c>
    </row>
    <row r="785" spans="1:7" ht="63" x14ac:dyDescent="0.25">
      <c r="A785" s="34" t="s">
        <v>1368</v>
      </c>
      <c r="B785" s="465" t="s">
        <v>299</v>
      </c>
      <c r="C785" s="465" t="s">
        <v>118</v>
      </c>
      <c r="D785" s="465" t="s">
        <v>324</v>
      </c>
      <c r="E785" s="465"/>
      <c r="F785" s="380">
        <f t="shared" ref="F785:G788" si="79">F786</f>
        <v>10</v>
      </c>
      <c r="G785" s="380">
        <f t="shared" si="79"/>
        <v>0</v>
      </c>
    </row>
    <row r="786" spans="1:7" ht="63" x14ac:dyDescent="0.25">
      <c r="A786" s="34" t="s">
        <v>1025</v>
      </c>
      <c r="B786" s="465" t="s">
        <v>299</v>
      </c>
      <c r="C786" s="465" t="s">
        <v>118</v>
      </c>
      <c r="D786" s="465" t="s">
        <v>934</v>
      </c>
      <c r="E786" s="465"/>
      <c r="F786" s="458">
        <f t="shared" si="79"/>
        <v>10</v>
      </c>
      <c r="G786" s="458">
        <f t="shared" si="79"/>
        <v>0</v>
      </c>
    </row>
    <row r="787" spans="1:7" ht="47.25" x14ac:dyDescent="0.25">
      <c r="A787" s="31" t="s">
        <v>1082</v>
      </c>
      <c r="B787" s="462" t="s">
        <v>299</v>
      </c>
      <c r="C787" s="462" t="s">
        <v>118</v>
      </c>
      <c r="D787" s="462" t="s">
        <v>1026</v>
      </c>
      <c r="E787" s="462"/>
      <c r="F787" s="459">
        <f t="shared" si="79"/>
        <v>10</v>
      </c>
      <c r="G787" s="459">
        <f t="shared" si="79"/>
        <v>0</v>
      </c>
    </row>
    <row r="788" spans="1:7" ht="31.5" x14ac:dyDescent="0.25">
      <c r="A788" s="466" t="s">
        <v>131</v>
      </c>
      <c r="B788" s="462" t="s">
        <v>299</v>
      </c>
      <c r="C788" s="462" t="s">
        <v>118</v>
      </c>
      <c r="D788" s="462" t="s">
        <v>1026</v>
      </c>
      <c r="E788" s="462" t="s">
        <v>132</v>
      </c>
      <c r="F788" s="459">
        <f t="shared" si="79"/>
        <v>10</v>
      </c>
      <c r="G788" s="459">
        <f t="shared" si="79"/>
        <v>0</v>
      </c>
    </row>
    <row r="789" spans="1:7" ht="47.25" x14ac:dyDescent="0.25">
      <c r="A789" s="466" t="s">
        <v>133</v>
      </c>
      <c r="B789" s="462" t="s">
        <v>299</v>
      </c>
      <c r="C789" s="462" t="s">
        <v>118</v>
      </c>
      <c r="D789" s="462" t="s">
        <v>1026</v>
      </c>
      <c r="E789" s="462" t="s">
        <v>134</v>
      </c>
      <c r="F789" s="459">
        <f>'пр.6.1.ведом.22-23 (2)'!G405</f>
        <v>10</v>
      </c>
      <c r="G789" s="459">
        <f>'пр.6.1.ведом.22-23 (2)'!H405</f>
        <v>0</v>
      </c>
    </row>
    <row r="790" spans="1:7" ht="63" x14ac:dyDescent="0.25">
      <c r="A790" s="470" t="s">
        <v>1363</v>
      </c>
      <c r="B790" s="465" t="s">
        <v>299</v>
      </c>
      <c r="C790" s="465" t="s">
        <v>118</v>
      </c>
      <c r="D790" s="465" t="s">
        <v>705</v>
      </c>
      <c r="E790" s="474"/>
      <c r="F790" s="458">
        <f t="shared" ref="F790:G793" si="80">F791</f>
        <v>878.7</v>
      </c>
      <c r="G790" s="458">
        <f t="shared" si="80"/>
        <v>913.9</v>
      </c>
    </row>
    <row r="791" spans="1:7" ht="63" x14ac:dyDescent="0.25">
      <c r="A791" s="470" t="s">
        <v>890</v>
      </c>
      <c r="B791" s="465" t="s">
        <v>299</v>
      </c>
      <c r="C791" s="465" t="s">
        <v>118</v>
      </c>
      <c r="D791" s="465" t="s">
        <v>888</v>
      </c>
      <c r="E791" s="474"/>
      <c r="F791" s="458">
        <f t="shared" si="80"/>
        <v>878.7</v>
      </c>
      <c r="G791" s="458">
        <f t="shared" si="80"/>
        <v>913.9</v>
      </c>
    </row>
    <row r="792" spans="1:7" ht="47.25" x14ac:dyDescent="0.25">
      <c r="A792" s="98" t="s">
        <v>1022</v>
      </c>
      <c r="B792" s="462" t="s">
        <v>299</v>
      </c>
      <c r="C792" s="462" t="s">
        <v>118</v>
      </c>
      <c r="D792" s="462" t="s">
        <v>889</v>
      </c>
      <c r="E792" s="468"/>
      <c r="F792" s="459">
        <f t="shared" si="80"/>
        <v>878.7</v>
      </c>
      <c r="G792" s="459">
        <f t="shared" si="80"/>
        <v>913.9</v>
      </c>
    </row>
    <row r="793" spans="1:7" ht="31.5" x14ac:dyDescent="0.25">
      <c r="A793" s="466" t="s">
        <v>131</v>
      </c>
      <c r="B793" s="462" t="s">
        <v>299</v>
      </c>
      <c r="C793" s="462" t="s">
        <v>118</v>
      </c>
      <c r="D793" s="462" t="s">
        <v>889</v>
      </c>
      <c r="E793" s="468" t="s">
        <v>132</v>
      </c>
      <c r="F793" s="459">
        <f t="shared" si="80"/>
        <v>878.7</v>
      </c>
      <c r="G793" s="459">
        <f t="shared" si="80"/>
        <v>913.9</v>
      </c>
    </row>
    <row r="794" spans="1:7" ht="47.25" x14ac:dyDescent="0.25">
      <c r="A794" s="466" t="s">
        <v>133</v>
      </c>
      <c r="B794" s="462" t="s">
        <v>299</v>
      </c>
      <c r="C794" s="462" t="s">
        <v>118</v>
      </c>
      <c r="D794" s="462" t="s">
        <v>889</v>
      </c>
      <c r="E794" s="468" t="s">
        <v>134</v>
      </c>
      <c r="F794" s="459">
        <f>'пр.6.1.ведом.22-23 (2)'!G410</f>
        <v>878.7</v>
      </c>
      <c r="G794" s="459">
        <f>'пр.6.1.ведом.22-23 (2)'!H410</f>
        <v>913.9</v>
      </c>
    </row>
    <row r="795" spans="1:7" ht="31.5" x14ac:dyDescent="0.25">
      <c r="A795" s="464" t="s">
        <v>333</v>
      </c>
      <c r="B795" s="465" t="s">
        <v>299</v>
      </c>
      <c r="C795" s="465" t="s">
        <v>150</v>
      </c>
      <c r="D795" s="465"/>
      <c r="E795" s="468"/>
      <c r="F795" s="458">
        <f>F796+F806+F818+F824</f>
        <v>18566.400000000001</v>
      </c>
      <c r="G795" s="458">
        <f>G796+G806+G818+G824</f>
        <v>18595.400000000001</v>
      </c>
    </row>
    <row r="796" spans="1:7" ht="31.5" x14ac:dyDescent="0.25">
      <c r="A796" s="464" t="s">
        <v>917</v>
      </c>
      <c r="B796" s="465" t="s">
        <v>299</v>
      </c>
      <c r="C796" s="465" t="s">
        <v>150</v>
      </c>
      <c r="D796" s="465" t="s">
        <v>858</v>
      </c>
      <c r="E796" s="468"/>
      <c r="F796" s="458">
        <f>F797</f>
        <v>7291.6</v>
      </c>
      <c r="G796" s="458">
        <f>G797</f>
        <v>7291.6</v>
      </c>
    </row>
    <row r="797" spans="1:7" ht="15.75" x14ac:dyDescent="0.25">
      <c r="A797" s="464" t="s">
        <v>918</v>
      </c>
      <c r="B797" s="465" t="s">
        <v>299</v>
      </c>
      <c r="C797" s="465" t="s">
        <v>150</v>
      </c>
      <c r="D797" s="465" t="s">
        <v>859</v>
      </c>
      <c r="E797" s="468"/>
      <c r="F797" s="458">
        <f>F798+F803</f>
        <v>7291.6</v>
      </c>
      <c r="G797" s="458">
        <f>G798+G803</f>
        <v>7291.6</v>
      </c>
    </row>
    <row r="798" spans="1:7" ht="31.5" x14ac:dyDescent="0.25">
      <c r="A798" s="466" t="s">
        <v>897</v>
      </c>
      <c r="B798" s="462" t="s">
        <v>299</v>
      </c>
      <c r="C798" s="462" t="s">
        <v>150</v>
      </c>
      <c r="D798" s="462" t="s">
        <v>860</v>
      </c>
      <c r="E798" s="468"/>
      <c r="F798" s="459">
        <f>F799</f>
        <v>7015.6</v>
      </c>
      <c r="G798" s="459">
        <f>G799</f>
        <v>7015.6</v>
      </c>
    </row>
    <row r="799" spans="1:7" ht="94.5" x14ac:dyDescent="0.25">
      <c r="A799" s="466" t="s">
        <v>127</v>
      </c>
      <c r="B799" s="462" t="s">
        <v>299</v>
      </c>
      <c r="C799" s="462" t="s">
        <v>150</v>
      </c>
      <c r="D799" s="462" t="s">
        <v>860</v>
      </c>
      <c r="E799" s="468" t="s">
        <v>128</v>
      </c>
      <c r="F799" s="459">
        <f>F800</f>
        <v>7015.6</v>
      </c>
      <c r="G799" s="459">
        <f>G800</f>
        <v>7015.6</v>
      </c>
    </row>
    <row r="800" spans="1:7" ht="31.5" x14ac:dyDescent="0.25">
      <c r="A800" s="466" t="s">
        <v>129</v>
      </c>
      <c r="B800" s="462" t="s">
        <v>299</v>
      </c>
      <c r="C800" s="462" t="s">
        <v>150</v>
      </c>
      <c r="D800" s="462" t="s">
        <v>860</v>
      </c>
      <c r="E800" s="469" t="s">
        <v>130</v>
      </c>
      <c r="F800" s="459">
        <f>'пр.6.1.ведом.22-23 (2)'!G416</f>
        <v>7015.6</v>
      </c>
      <c r="G800" s="459">
        <f>'пр.6.1.ведом.22-23 (2)'!H416</f>
        <v>7015.6</v>
      </c>
    </row>
    <row r="801" spans="1:7" ht="31.5" hidden="1" x14ac:dyDescent="0.25">
      <c r="A801" s="466" t="s">
        <v>131</v>
      </c>
      <c r="B801" s="462" t="s">
        <v>299</v>
      </c>
      <c r="C801" s="462" t="s">
        <v>150</v>
      </c>
      <c r="D801" s="462" t="s">
        <v>860</v>
      </c>
      <c r="E801" s="469" t="s">
        <v>132</v>
      </c>
      <c r="F801" s="459">
        <f>'[1]Пр.4 Рд,пр, ЦС,ВР 21'!F800</f>
        <v>0</v>
      </c>
      <c r="G801" s="459">
        <f>'[1]Пр.4 Рд,пр, ЦС,ВР 21'!G800</f>
        <v>0</v>
      </c>
    </row>
    <row r="802" spans="1:7" ht="47.25" hidden="1" x14ac:dyDescent="0.25">
      <c r="A802" s="466" t="s">
        <v>133</v>
      </c>
      <c r="B802" s="462" t="s">
        <v>299</v>
      </c>
      <c r="C802" s="462" t="s">
        <v>150</v>
      </c>
      <c r="D802" s="462" t="s">
        <v>860</v>
      </c>
      <c r="E802" s="469" t="s">
        <v>134</v>
      </c>
      <c r="F802" s="459">
        <f>'[1]Пр.4 Рд,пр, ЦС,ВР 21'!F801</f>
        <v>0</v>
      </c>
      <c r="G802" s="459">
        <f>'[1]Пр.4 Рд,пр, ЦС,ВР 21'!G801</f>
        <v>0</v>
      </c>
    </row>
    <row r="803" spans="1:7" ht="47.25" x14ac:dyDescent="0.25">
      <c r="A803" s="466" t="s">
        <v>839</v>
      </c>
      <c r="B803" s="462" t="s">
        <v>299</v>
      </c>
      <c r="C803" s="462" t="s">
        <v>150</v>
      </c>
      <c r="D803" s="462" t="s">
        <v>862</v>
      </c>
      <c r="E803" s="469"/>
      <c r="F803" s="459">
        <f>F804</f>
        <v>276</v>
      </c>
      <c r="G803" s="459">
        <f>G804</f>
        <v>276</v>
      </c>
    </row>
    <row r="804" spans="1:7" ht="94.5" x14ac:dyDescent="0.25">
      <c r="A804" s="466" t="s">
        <v>127</v>
      </c>
      <c r="B804" s="462" t="s">
        <v>299</v>
      </c>
      <c r="C804" s="462" t="s">
        <v>150</v>
      </c>
      <c r="D804" s="462" t="s">
        <v>862</v>
      </c>
      <c r="E804" s="469" t="s">
        <v>128</v>
      </c>
      <c r="F804" s="459">
        <f>F805</f>
        <v>276</v>
      </c>
      <c r="G804" s="459">
        <f>G805</f>
        <v>276</v>
      </c>
    </row>
    <row r="805" spans="1:7" ht="31.5" x14ac:dyDescent="0.25">
      <c r="A805" s="466" t="s">
        <v>129</v>
      </c>
      <c r="B805" s="462" t="s">
        <v>299</v>
      </c>
      <c r="C805" s="462" t="s">
        <v>150</v>
      </c>
      <c r="D805" s="462" t="s">
        <v>862</v>
      </c>
      <c r="E805" s="469" t="s">
        <v>130</v>
      </c>
      <c r="F805" s="459">
        <f>'пр.6.1.ведом.22-23 (2)'!G421</f>
        <v>276</v>
      </c>
      <c r="G805" s="459">
        <f>'пр.6.1.ведом.22-23 (2)'!H421</f>
        <v>276</v>
      </c>
    </row>
    <row r="806" spans="1:7" ht="15.75" x14ac:dyDescent="0.25">
      <c r="A806" s="464" t="s">
        <v>926</v>
      </c>
      <c r="B806" s="465" t="s">
        <v>299</v>
      </c>
      <c r="C806" s="465" t="s">
        <v>150</v>
      </c>
      <c r="D806" s="465" t="s">
        <v>866</v>
      </c>
      <c r="E806" s="469"/>
      <c r="F806" s="458">
        <f t="shared" ref="F806:G806" si="81">F807</f>
        <v>11014.8</v>
      </c>
      <c r="G806" s="458">
        <f t="shared" si="81"/>
        <v>11014.8</v>
      </c>
    </row>
    <row r="807" spans="1:7" ht="36.75" customHeight="1" x14ac:dyDescent="0.25">
      <c r="A807" s="464" t="s">
        <v>929</v>
      </c>
      <c r="B807" s="465" t="s">
        <v>299</v>
      </c>
      <c r="C807" s="465" t="s">
        <v>150</v>
      </c>
      <c r="D807" s="465" t="s">
        <v>914</v>
      </c>
      <c r="E807" s="469"/>
      <c r="F807" s="458">
        <f>F808+F815</f>
        <v>11014.8</v>
      </c>
      <c r="G807" s="458">
        <f>G808+G815</f>
        <v>11014.8</v>
      </c>
    </row>
    <row r="808" spans="1:7" ht="31.5" x14ac:dyDescent="0.25">
      <c r="A808" s="466" t="s">
        <v>903</v>
      </c>
      <c r="B808" s="462" t="s">
        <v>299</v>
      </c>
      <c r="C808" s="462" t="s">
        <v>150</v>
      </c>
      <c r="D808" s="462" t="s">
        <v>915</v>
      </c>
      <c r="E808" s="469"/>
      <c r="F808" s="459">
        <f>F809+F811+F813</f>
        <v>10804.8</v>
      </c>
      <c r="G808" s="459">
        <f>G809+G811+G813</f>
        <v>10804.8</v>
      </c>
    </row>
    <row r="809" spans="1:7" ht="94.5" x14ac:dyDescent="0.25">
      <c r="A809" s="466" t="s">
        <v>127</v>
      </c>
      <c r="B809" s="462" t="s">
        <v>299</v>
      </c>
      <c r="C809" s="462" t="s">
        <v>150</v>
      </c>
      <c r="D809" s="462" t="s">
        <v>915</v>
      </c>
      <c r="E809" s="469" t="s">
        <v>128</v>
      </c>
      <c r="F809" s="459">
        <f>F810</f>
        <v>8853.7999999999993</v>
      </c>
      <c r="G809" s="459">
        <f>G810</f>
        <v>8853.7999999999993</v>
      </c>
    </row>
    <row r="810" spans="1:7" ht="31.5" x14ac:dyDescent="0.25">
      <c r="A810" s="466" t="s">
        <v>342</v>
      </c>
      <c r="B810" s="462" t="s">
        <v>299</v>
      </c>
      <c r="C810" s="462" t="s">
        <v>150</v>
      </c>
      <c r="D810" s="462" t="s">
        <v>915</v>
      </c>
      <c r="E810" s="469" t="s">
        <v>209</v>
      </c>
      <c r="F810" s="459">
        <f>'пр.6.1.ведом.22-23 (2)'!G426</f>
        <v>8853.7999999999993</v>
      </c>
      <c r="G810" s="459">
        <f>'пр.6.1.ведом.22-23 (2)'!H426</f>
        <v>8853.7999999999993</v>
      </c>
    </row>
    <row r="811" spans="1:7" ht="31.5" x14ac:dyDescent="0.25">
      <c r="A811" s="466" t="s">
        <v>131</v>
      </c>
      <c r="B811" s="462" t="s">
        <v>299</v>
      </c>
      <c r="C811" s="462" t="s">
        <v>150</v>
      </c>
      <c r="D811" s="462" t="s">
        <v>915</v>
      </c>
      <c r="E811" s="469" t="s">
        <v>132</v>
      </c>
      <c r="F811" s="459">
        <f>F812</f>
        <v>1937</v>
      </c>
      <c r="G811" s="459">
        <f>G812</f>
        <v>1937</v>
      </c>
    </row>
    <row r="812" spans="1:7" ht="47.25" x14ac:dyDescent="0.25">
      <c r="A812" s="466" t="s">
        <v>133</v>
      </c>
      <c r="B812" s="462" t="s">
        <v>299</v>
      </c>
      <c r="C812" s="462" t="s">
        <v>150</v>
      </c>
      <c r="D812" s="462" t="s">
        <v>915</v>
      </c>
      <c r="E812" s="469" t="s">
        <v>134</v>
      </c>
      <c r="F812" s="459">
        <f>'пр.6.1.ведом.22-23 (2)'!G428</f>
        <v>1937</v>
      </c>
      <c r="G812" s="459">
        <f>'пр.6.1.ведом.22-23 (2)'!H428</f>
        <v>1937</v>
      </c>
    </row>
    <row r="813" spans="1:7" ht="15.75" x14ac:dyDescent="0.25">
      <c r="A813" s="466" t="s">
        <v>135</v>
      </c>
      <c r="B813" s="462" t="s">
        <v>299</v>
      </c>
      <c r="C813" s="462" t="s">
        <v>150</v>
      </c>
      <c r="D813" s="462" t="s">
        <v>915</v>
      </c>
      <c r="E813" s="469" t="s">
        <v>145</v>
      </c>
      <c r="F813" s="459">
        <f>F814</f>
        <v>14</v>
      </c>
      <c r="G813" s="459">
        <f>G814</f>
        <v>14</v>
      </c>
    </row>
    <row r="814" spans="1:7" ht="15.75" x14ac:dyDescent="0.25">
      <c r="A814" s="466" t="s">
        <v>568</v>
      </c>
      <c r="B814" s="462" t="s">
        <v>299</v>
      </c>
      <c r="C814" s="462" t="s">
        <v>150</v>
      </c>
      <c r="D814" s="462" t="s">
        <v>915</v>
      </c>
      <c r="E814" s="469" t="s">
        <v>138</v>
      </c>
      <c r="F814" s="459">
        <f>'пр.6.1.ведом.22-23 (2)'!G430</f>
        <v>14</v>
      </c>
      <c r="G814" s="459">
        <f>'пр.6.1.ведом.22-23 (2)'!H430</f>
        <v>14</v>
      </c>
    </row>
    <row r="815" spans="1:7" ht="47.25" x14ac:dyDescent="0.25">
      <c r="A815" s="466" t="s">
        <v>839</v>
      </c>
      <c r="B815" s="462" t="s">
        <v>299</v>
      </c>
      <c r="C815" s="462" t="s">
        <v>150</v>
      </c>
      <c r="D815" s="462" t="s">
        <v>916</v>
      </c>
      <c r="E815" s="469"/>
      <c r="F815" s="459">
        <f>F816</f>
        <v>210</v>
      </c>
      <c r="G815" s="459">
        <f>G816</f>
        <v>210</v>
      </c>
    </row>
    <row r="816" spans="1:7" ht="94.5" x14ac:dyDescent="0.25">
      <c r="A816" s="466" t="s">
        <v>127</v>
      </c>
      <c r="B816" s="462" t="s">
        <v>299</v>
      </c>
      <c r="C816" s="462" t="s">
        <v>150</v>
      </c>
      <c r="D816" s="462" t="s">
        <v>916</v>
      </c>
      <c r="E816" s="469" t="s">
        <v>128</v>
      </c>
      <c r="F816" s="459">
        <f>F817</f>
        <v>210</v>
      </c>
      <c r="G816" s="459">
        <f>G817</f>
        <v>210</v>
      </c>
    </row>
    <row r="817" spans="1:9" ht="31.5" x14ac:dyDescent="0.25">
      <c r="A817" s="466" t="s">
        <v>129</v>
      </c>
      <c r="B817" s="462" t="s">
        <v>299</v>
      </c>
      <c r="C817" s="462" t="s">
        <v>150</v>
      </c>
      <c r="D817" s="462" t="s">
        <v>916</v>
      </c>
      <c r="E817" s="469" t="s">
        <v>209</v>
      </c>
      <c r="F817" s="459">
        <f>'пр.6.1.ведом.22-23 (2)'!G433</f>
        <v>210</v>
      </c>
      <c r="G817" s="459">
        <f>'пр.6.1.ведом.22-23 (2)'!H433</f>
        <v>210</v>
      </c>
    </row>
    <row r="818" spans="1:9" ht="50.25" customHeight="1" x14ac:dyDescent="0.25">
      <c r="A818" s="464" t="s">
        <v>1358</v>
      </c>
      <c r="B818" s="465" t="s">
        <v>299</v>
      </c>
      <c r="C818" s="465" t="s">
        <v>150</v>
      </c>
      <c r="D818" s="465" t="s">
        <v>344</v>
      </c>
      <c r="E818" s="469"/>
      <c r="F818" s="458">
        <f>F819</f>
        <v>260</v>
      </c>
      <c r="G818" s="458">
        <f>G819</f>
        <v>285</v>
      </c>
    </row>
    <row r="819" spans="1:9" ht="54" customHeight="1" x14ac:dyDescent="0.25">
      <c r="A819" s="464" t="s">
        <v>1364</v>
      </c>
      <c r="B819" s="465" t="s">
        <v>299</v>
      </c>
      <c r="C819" s="465" t="s">
        <v>150</v>
      </c>
      <c r="D819" s="465" t="s">
        <v>362</v>
      </c>
      <c r="E819" s="465"/>
      <c r="F819" s="463">
        <f t="shared" ref="F819:G820" si="82">F820</f>
        <v>260</v>
      </c>
      <c r="G819" s="463">
        <f t="shared" si="82"/>
        <v>285</v>
      </c>
    </row>
    <row r="820" spans="1:9" ht="31.5" x14ac:dyDescent="0.25">
      <c r="A820" s="464" t="s">
        <v>997</v>
      </c>
      <c r="B820" s="465" t="s">
        <v>299</v>
      </c>
      <c r="C820" s="465" t="s">
        <v>150</v>
      </c>
      <c r="D820" s="465" t="s">
        <v>1226</v>
      </c>
      <c r="E820" s="465"/>
      <c r="F820" s="463">
        <f t="shared" si="82"/>
        <v>260</v>
      </c>
      <c r="G820" s="463">
        <f t="shared" si="82"/>
        <v>285</v>
      </c>
    </row>
    <row r="821" spans="1:9" ht="31.5" x14ac:dyDescent="0.25">
      <c r="A821" s="466" t="s">
        <v>996</v>
      </c>
      <c r="B821" s="462" t="s">
        <v>299</v>
      </c>
      <c r="C821" s="462" t="s">
        <v>150</v>
      </c>
      <c r="D821" s="462" t="s">
        <v>1227</v>
      </c>
      <c r="E821" s="462"/>
      <c r="F821" s="467">
        <f>F822</f>
        <v>260</v>
      </c>
      <c r="G821" s="467">
        <f>G822</f>
        <v>285</v>
      </c>
    </row>
    <row r="822" spans="1:9" ht="31.5" x14ac:dyDescent="0.25">
      <c r="A822" s="466" t="s">
        <v>131</v>
      </c>
      <c r="B822" s="462" t="s">
        <v>299</v>
      </c>
      <c r="C822" s="462" t="s">
        <v>150</v>
      </c>
      <c r="D822" s="462" t="s">
        <v>1227</v>
      </c>
      <c r="E822" s="462" t="s">
        <v>132</v>
      </c>
      <c r="F822" s="467">
        <f>F823</f>
        <v>260</v>
      </c>
      <c r="G822" s="467">
        <f>G823</f>
        <v>285</v>
      </c>
    </row>
    <row r="823" spans="1:9" ht="47.25" x14ac:dyDescent="0.25">
      <c r="A823" s="466" t="s">
        <v>133</v>
      </c>
      <c r="B823" s="462" t="s">
        <v>299</v>
      </c>
      <c r="C823" s="462" t="s">
        <v>150</v>
      </c>
      <c r="D823" s="462" t="s">
        <v>1227</v>
      </c>
      <c r="E823" s="462" t="s">
        <v>134</v>
      </c>
      <c r="F823" s="467">
        <f>'пр.6.1.ведом.22-23 (2)'!G439</f>
        <v>260</v>
      </c>
      <c r="G823" s="467">
        <f>'пр.6.1.ведом.22-23 (2)'!H439</f>
        <v>285</v>
      </c>
    </row>
    <row r="824" spans="1:9" ht="63" x14ac:dyDescent="0.25">
      <c r="A824" s="34" t="s">
        <v>1447</v>
      </c>
      <c r="B824" s="465" t="s">
        <v>299</v>
      </c>
      <c r="C824" s="465" t="s">
        <v>150</v>
      </c>
      <c r="D824" s="465" t="s">
        <v>324</v>
      </c>
      <c r="E824" s="465"/>
      <c r="F824" s="463">
        <f>F826</f>
        <v>0</v>
      </c>
      <c r="G824" s="463">
        <f>G825</f>
        <v>4</v>
      </c>
    </row>
    <row r="825" spans="1:9" ht="63" x14ac:dyDescent="0.25">
      <c r="A825" s="34" t="s">
        <v>1025</v>
      </c>
      <c r="B825" s="465" t="s">
        <v>299</v>
      </c>
      <c r="C825" s="465" t="s">
        <v>150</v>
      </c>
      <c r="D825" s="465" t="s">
        <v>934</v>
      </c>
      <c r="E825" s="465"/>
      <c r="F825" s="463">
        <f>F828</f>
        <v>0</v>
      </c>
      <c r="G825" s="463">
        <f>G826</f>
        <v>4</v>
      </c>
    </row>
    <row r="826" spans="1:9" ht="47.25" x14ac:dyDescent="0.25">
      <c r="A826" s="31" t="s">
        <v>1083</v>
      </c>
      <c r="B826" s="462" t="s">
        <v>299</v>
      </c>
      <c r="C826" s="462" t="s">
        <v>150</v>
      </c>
      <c r="D826" s="462" t="s">
        <v>1026</v>
      </c>
      <c r="E826" s="462"/>
      <c r="F826" s="467">
        <f>F827</f>
        <v>0</v>
      </c>
      <c r="G826" s="467">
        <f>G827</f>
        <v>4</v>
      </c>
    </row>
    <row r="827" spans="1:9" ht="31.5" x14ac:dyDescent="0.25">
      <c r="A827" s="466" t="s">
        <v>131</v>
      </c>
      <c r="B827" s="462" t="s">
        <v>299</v>
      </c>
      <c r="C827" s="462" t="s">
        <v>150</v>
      </c>
      <c r="D827" s="462" t="s">
        <v>1026</v>
      </c>
      <c r="E827" s="462" t="s">
        <v>132</v>
      </c>
      <c r="F827" s="467">
        <f>F828</f>
        <v>0</v>
      </c>
      <c r="G827" s="467">
        <f>G828</f>
        <v>4</v>
      </c>
    </row>
    <row r="828" spans="1:9" ht="47.25" x14ac:dyDescent="0.25">
      <c r="A828" s="466" t="s">
        <v>133</v>
      </c>
      <c r="B828" s="462" t="s">
        <v>299</v>
      </c>
      <c r="C828" s="462" t="s">
        <v>150</v>
      </c>
      <c r="D828" s="462" t="s">
        <v>1026</v>
      </c>
      <c r="E828" s="462" t="s">
        <v>134</v>
      </c>
      <c r="F828" s="467">
        <f>'пр.6.1.ведом.22-23 (2)'!G444</f>
        <v>0</v>
      </c>
      <c r="G828" s="467">
        <f>'пр.6.1.ведом.22-23 (2)'!H444</f>
        <v>4</v>
      </c>
    </row>
    <row r="829" spans="1:9" ht="15.75" x14ac:dyDescent="0.25">
      <c r="A829" s="464" t="s">
        <v>243</v>
      </c>
      <c r="B829" s="465" t="s">
        <v>244</v>
      </c>
      <c r="C829" s="465"/>
      <c r="D829" s="465"/>
      <c r="E829" s="204"/>
      <c r="F829" s="458">
        <f>F830+F836+F872+F866</f>
        <v>18033.41</v>
      </c>
      <c r="G829" s="458">
        <f>G830+G836+G872+G866</f>
        <v>26348.010000000002</v>
      </c>
      <c r="H829" s="457">
        <v>17738.8</v>
      </c>
      <c r="I829" s="22">
        <v>26058.9</v>
      </c>
    </row>
    <row r="830" spans="1:9" ht="15.75" x14ac:dyDescent="0.25">
      <c r="A830" s="464" t="s">
        <v>245</v>
      </c>
      <c r="B830" s="465" t="s">
        <v>244</v>
      </c>
      <c r="C830" s="465" t="s">
        <v>118</v>
      </c>
      <c r="D830" s="465"/>
      <c r="E830" s="465"/>
      <c r="F830" s="458">
        <f t="shared" ref="F830:G832" si="83">F831</f>
        <v>9815.2999999999993</v>
      </c>
      <c r="G830" s="458">
        <f t="shared" si="83"/>
        <v>9815.2999999999993</v>
      </c>
      <c r="H830" s="231">
        <f>H829-F829</f>
        <v>-294.61000000000058</v>
      </c>
      <c r="I830" s="231">
        <f>I829-G829</f>
        <v>-289.11000000000058</v>
      </c>
    </row>
    <row r="831" spans="1:9" ht="15.75" x14ac:dyDescent="0.25">
      <c r="A831" s="464" t="s">
        <v>141</v>
      </c>
      <c r="B831" s="465" t="s">
        <v>244</v>
      </c>
      <c r="C831" s="465" t="s">
        <v>118</v>
      </c>
      <c r="D831" s="465" t="s">
        <v>866</v>
      </c>
      <c r="E831" s="465"/>
      <c r="F831" s="458">
        <f t="shared" si="83"/>
        <v>9815.2999999999993</v>
      </c>
      <c r="G831" s="458">
        <f t="shared" si="83"/>
        <v>9815.2999999999993</v>
      </c>
    </row>
    <row r="832" spans="1:9" ht="31.5" x14ac:dyDescent="0.25">
      <c r="A832" s="464" t="s">
        <v>870</v>
      </c>
      <c r="B832" s="465" t="s">
        <v>244</v>
      </c>
      <c r="C832" s="465" t="s">
        <v>118</v>
      </c>
      <c r="D832" s="465" t="s">
        <v>865</v>
      </c>
      <c r="E832" s="465"/>
      <c r="F832" s="458">
        <f t="shared" si="83"/>
        <v>9815.2999999999993</v>
      </c>
      <c r="G832" s="458">
        <f t="shared" si="83"/>
        <v>9815.2999999999993</v>
      </c>
    </row>
    <row r="833" spans="1:7" ht="15.75" x14ac:dyDescent="0.25">
      <c r="A833" s="466" t="s">
        <v>246</v>
      </c>
      <c r="B833" s="462" t="s">
        <v>244</v>
      </c>
      <c r="C833" s="462" t="s">
        <v>118</v>
      </c>
      <c r="D833" s="462" t="s">
        <v>881</v>
      </c>
      <c r="E833" s="462"/>
      <c r="F833" s="459">
        <f>F834</f>
        <v>9815.2999999999993</v>
      </c>
      <c r="G833" s="459">
        <f>G834</f>
        <v>9815.2999999999993</v>
      </c>
    </row>
    <row r="834" spans="1:7" ht="31.5" x14ac:dyDescent="0.25">
      <c r="A834" s="466" t="s">
        <v>248</v>
      </c>
      <c r="B834" s="462" t="s">
        <v>244</v>
      </c>
      <c r="C834" s="462" t="s">
        <v>118</v>
      </c>
      <c r="D834" s="462" t="s">
        <v>881</v>
      </c>
      <c r="E834" s="462" t="s">
        <v>249</v>
      </c>
      <c r="F834" s="459">
        <f>F835</f>
        <v>9815.2999999999993</v>
      </c>
      <c r="G834" s="459">
        <f>G835</f>
        <v>9815.2999999999993</v>
      </c>
    </row>
    <row r="835" spans="1:7" ht="31.5" x14ac:dyDescent="0.25">
      <c r="A835" s="466" t="s">
        <v>250</v>
      </c>
      <c r="B835" s="462" t="s">
        <v>244</v>
      </c>
      <c r="C835" s="462" t="s">
        <v>118</v>
      </c>
      <c r="D835" s="462" t="s">
        <v>881</v>
      </c>
      <c r="E835" s="462" t="s">
        <v>251</v>
      </c>
      <c r="F835" s="459">
        <f>'пр.6.1.ведом.22-23 (2)'!G224</f>
        <v>9815.2999999999993</v>
      </c>
      <c r="G835" s="459">
        <f>'пр.6.1.ведом.22-23 (2)'!H224</f>
        <v>9815.2999999999993</v>
      </c>
    </row>
    <row r="836" spans="1:7" ht="15.75" x14ac:dyDescent="0.25">
      <c r="A836" s="464" t="s">
        <v>252</v>
      </c>
      <c r="B836" s="465" t="s">
        <v>244</v>
      </c>
      <c r="C836" s="465" t="s">
        <v>215</v>
      </c>
      <c r="D836" s="465"/>
      <c r="E836" s="465"/>
      <c r="F836" s="458">
        <f>F837+F858</f>
        <v>2011.6100000000001</v>
      </c>
      <c r="G836" s="458">
        <f>G837+G858</f>
        <v>2036.1100000000001</v>
      </c>
    </row>
    <row r="837" spans="1:7" ht="50.25" customHeight="1" x14ac:dyDescent="0.25">
      <c r="A837" s="464" t="s">
        <v>1389</v>
      </c>
      <c r="B837" s="465" t="s">
        <v>244</v>
      </c>
      <c r="C837" s="465" t="s">
        <v>215</v>
      </c>
      <c r="D837" s="465" t="s">
        <v>344</v>
      </c>
      <c r="E837" s="465"/>
      <c r="F837" s="458">
        <f>F838+F843</f>
        <v>2001.6100000000001</v>
      </c>
      <c r="G837" s="458">
        <f>G838+G843</f>
        <v>2026.1100000000001</v>
      </c>
    </row>
    <row r="838" spans="1:7" ht="31.5" x14ac:dyDescent="0.25">
      <c r="A838" s="464" t="s">
        <v>352</v>
      </c>
      <c r="B838" s="465" t="s">
        <v>244</v>
      </c>
      <c r="C838" s="465" t="s">
        <v>215</v>
      </c>
      <c r="D838" s="465" t="s">
        <v>353</v>
      </c>
      <c r="E838" s="465"/>
      <c r="F838" s="463">
        <f t="shared" ref="F838:G841" si="84">F839</f>
        <v>294.61</v>
      </c>
      <c r="G838" s="463">
        <f t="shared" si="84"/>
        <v>289.11</v>
      </c>
    </row>
    <row r="839" spans="1:7" ht="31.5" x14ac:dyDescent="0.25">
      <c r="A839" s="464" t="s">
        <v>905</v>
      </c>
      <c r="B839" s="465" t="s">
        <v>244</v>
      </c>
      <c r="C839" s="465" t="s">
        <v>215</v>
      </c>
      <c r="D839" s="465" t="s">
        <v>904</v>
      </c>
      <c r="E839" s="465"/>
      <c r="F839" s="463">
        <f t="shared" si="84"/>
        <v>294.61</v>
      </c>
      <c r="G839" s="463">
        <f t="shared" si="84"/>
        <v>289.11</v>
      </c>
    </row>
    <row r="840" spans="1:7" ht="31.5" x14ac:dyDescent="0.25">
      <c r="A840" s="466" t="s">
        <v>824</v>
      </c>
      <c r="B840" s="462" t="s">
        <v>244</v>
      </c>
      <c r="C840" s="462" t="s">
        <v>215</v>
      </c>
      <c r="D840" s="462" t="s">
        <v>906</v>
      </c>
      <c r="E840" s="462"/>
      <c r="F840" s="467">
        <f t="shared" si="84"/>
        <v>294.61</v>
      </c>
      <c r="G840" s="467">
        <f t="shared" si="84"/>
        <v>289.11</v>
      </c>
    </row>
    <row r="841" spans="1:7" ht="31.5" x14ac:dyDescent="0.25">
      <c r="A841" s="466" t="s">
        <v>248</v>
      </c>
      <c r="B841" s="462" t="s">
        <v>244</v>
      </c>
      <c r="C841" s="462" t="s">
        <v>215</v>
      </c>
      <c r="D841" s="462" t="s">
        <v>906</v>
      </c>
      <c r="E841" s="462" t="s">
        <v>249</v>
      </c>
      <c r="F841" s="467">
        <f>F842</f>
        <v>294.61</v>
      </c>
      <c r="G841" s="467">
        <f t="shared" si="84"/>
        <v>289.11</v>
      </c>
    </row>
    <row r="842" spans="1:7" ht="31.5" x14ac:dyDescent="0.25">
      <c r="A842" s="466" t="s">
        <v>250</v>
      </c>
      <c r="B842" s="462" t="s">
        <v>244</v>
      </c>
      <c r="C842" s="462" t="s">
        <v>215</v>
      </c>
      <c r="D842" s="462" t="s">
        <v>906</v>
      </c>
      <c r="E842" s="462" t="s">
        <v>251</v>
      </c>
      <c r="F842" s="467">
        <f>'пр.6.1.ведом.22-23 (2)'!G452</f>
        <v>294.61</v>
      </c>
      <c r="G842" s="467">
        <f>'пр.6.1.ведом.22-23 (2)'!H452</f>
        <v>289.11</v>
      </c>
    </row>
    <row r="843" spans="1:7" ht="47.25" x14ac:dyDescent="0.25">
      <c r="A843" s="464" t="s">
        <v>355</v>
      </c>
      <c r="B843" s="461">
        <v>10</v>
      </c>
      <c r="C843" s="465" t="s">
        <v>215</v>
      </c>
      <c r="D843" s="465" t="s">
        <v>362</v>
      </c>
      <c r="E843" s="465"/>
      <c r="F843" s="463">
        <f>F845+F848+F854</f>
        <v>1707</v>
      </c>
      <c r="G843" s="463">
        <f>G845+G848+G854</f>
        <v>1737</v>
      </c>
    </row>
    <row r="844" spans="1:7" ht="31.5" x14ac:dyDescent="0.25">
      <c r="A844" s="464" t="s">
        <v>1040</v>
      </c>
      <c r="B844" s="461">
        <v>10</v>
      </c>
      <c r="C844" s="465" t="s">
        <v>215</v>
      </c>
      <c r="D844" s="465" t="s">
        <v>913</v>
      </c>
      <c r="E844" s="465"/>
      <c r="F844" s="463">
        <f t="shared" ref="F844:G846" si="85">F845</f>
        <v>630</v>
      </c>
      <c r="G844" s="463">
        <f t="shared" si="85"/>
        <v>630</v>
      </c>
    </row>
    <row r="845" spans="1:7" ht="47.25" x14ac:dyDescent="0.25">
      <c r="A845" s="98" t="s">
        <v>1041</v>
      </c>
      <c r="B845" s="462" t="s">
        <v>244</v>
      </c>
      <c r="C845" s="462" t="s">
        <v>215</v>
      </c>
      <c r="D845" s="462" t="s">
        <v>1229</v>
      </c>
      <c r="E845" s="462"/>
      <c r="F845" s="467">
        <f t="shared" si="85"/>
        <v>630</v>
      </c>
      <c r="G845" s="467">
        <f t="shared" si="85"/>
        <v>630</v>
      </c>
    </row>
    <row r="846" spans="1:7" ht="31.5" x14ac:dyDescent="0.25">
      <c r="A846" s="466" t="s">
        <v>248</v>
      </c>
      <c r="B846" s="462" t="s">
        <v>244</v>
      </c>
      <c r="C846" s="462" t="s">
        <v>215</v>
      </c>
      <c r="D846" s="462" t="s">
        <v>1229</v>
      </c>
      <c r="E846" s="462" t="s">
        <v>249</v>
      </c>
      <c r="F846" s="467">
        <f t="shared" si="85"/>
        <v>630</v>
      </c>
      <c r="G846" s="467">
        <f t="shared" si="85"/>
        <v>630</v>
      </c>
    </row>
    <row r="847" spans="1:7" ht="31.5" x14ac:dyDescent="0.25">
      <c r="A847" s="466" t="s">
        <v>348</v>
      </c>
      <c r="B847" s="462" t="s">
        <v>244</v>
      </c>
      <c r="C847" s="462" t="s">
        <v>215</v>
      </c>
      <c r="D847" s="462" t="s">
        <v>1229</v>
      </c>
      <c r="E847" s="462" t="s">
        <v>349</v>
      </c>
      <c r="F847" s="467">
        <f>'пр.6.1.ведом.22-23 (2)'!G457</f>
        <v>630</v>
      </c>
      <c r="G847" s="467">
        <f>'пр.6.1.ведом.22-23 (2)'!H457</f>
        <v>630</v>
      </c>
    </row>
    <row r="848" spans="1:7" ht="31.5" x14ac:dyDescent="0.25">
      <c r="A848" s="464" t="s">
        <v>1233</v>
      </c>
      <c r="B848" s="461">
        <v>10</v>
      </c>
      <c r="C848" s="465" t="s">
        <v>215</v>
      </c>
      <c r="D848" s="465" t="s">
        <v>1231</v>
      </c>
      <c r="E848" s="465"/>
      <c r="F848" s="463">
        <f>F849+F852</f>
        <v>657</v>
      </c>
      <c r="G848" s="463">
        <f>G849+G852</f>
        <v>657</v>
      </c>
    </row>
    <row r="849" spans="1:7" ht="31.5" x14ac:dyDescent="0.25">
      <c r="A849" s="466" t="s">
        <v>1230</v>
      </c>
      <c r="B849" s="462" t="s">
        <v>244</v>
      </c>
      <c r="C849" s="462" t="s">
        <v>215</v>
      </c>
      <c r="D849" s="462" t="s">
        <v>1232</v>
      </c>
      <c r="E849" s="462"/>
      <c r="F849" s="467">
        <f>F850</f>
        <v>400</v>
      </c>
      <c r="G849" s="467">
        <f>G850</f>
        <v>400</v>
      </c>
    </row>
    <row r="850" spans="1:7" ht="31.5" x14ac:dyDescent="0.25">
      <c r="A850" s="466" t="s">
        <v>131</v>
      </c>
      <c r="B850" s="462" t="s">
        <v>244</v>
      </c>
      <c r="C850" s="462" t="s">
        <v>215</v>
      </c>
      <c r="D850" s="462" t="s">
        <v>1232</v>
      </c>
      <c r="E850" s="462" t="s">
        <v>132</v>
      </c>
      <c r="F850" s="467">
        <f>F851</f>
        <v>400</v>
      </c>
      <c r="G850" s="467">
        <f>G851</f>
        <v>400</v>
      </c>
    </row>
    <row r="851" spans="1:7" ht="47.25" x14ac:dyDescent="0.25">
      <c r="A851" s="466" t="s">
        <v>133</v>
      </c>
      <c r="B851" s="462" t="s">
        <v>244</v>
      </c>
      <c r="C851" s="462" t="s">
        <v>215</v>
      </c>
      <c r="D851" s="462" t="s">
        <v>1232</v>
      </c>
      <c r="E851" s="462" t="s">
        <v>134</v>
      </c>
      <c r="F851" s="467">
        <f>'пр.6.1.ведом.22-23 (2)'!G461</f>
        <v>400</v>
      </c>
      <c r="G851" s="467">
        <f>'пр.6.1.ведом.22-23 (2)'!H461</f>
        <v>400</v>
      </c>
    </row>
    <row r="852" spans="1:7" ht="31.5" x14ac:dyDescent="0.25">
      <c r="A852" s="466" t="s">
        <v>248</v>
      </c>
      <c r="B852" s="462" t="s">
        <v>244</v>
      </c>
      <c r="C852" s="462" t="s">
        <v>215</v>
      </c>
      <c r="D852" s="462" t="s">
        <v>1232</v>
      </c>
      <c r="E852" s="462" t="s">
        <v>249</v>
      </c>
      <c r="F852" s="467">
        <f>F853</f>
        <v>257</v>
      </c>
      <c r="G852" s="467">
        <f>G853</f>
        <v>257</v>
      </c>
    </row>
    <row r="853" spans="1:7" ht="31.5" x14ac:dyDescent="0.25">
      <c r="A853" s="466" t="s">
        <v>348</v>
      </c>
      <c r="B853" s="462" t="s">
        <v>244</v>
      </c>
      <c r="C853" s="462" t="s">
        <v>215</v>
      </c>
      <c r="D853" s="462" t="s">
        <v>1232</v>
      </c>
      <c r="E853" s="462" t="s">
        <v>349</v>
      </c>
      <c r="F853" s="467">
        <f>'пр.6.1.ведом.22-23 (2)'!G463</f>
        <v>257</v>
      </c>
      <c r="G853" s="467">
        <f>'пр.6.1.ведом.22-23 (2)'!H463</f>
        <v>257</v>
      </c>
    </row>
    <row r="854" spans="1:7" ht="31.5" x14ac:dyDescent="0.25">
      <c r="A854" s="464" t="s">
        <v>997</v>
      </c>
      <c r="B854" s="461">
        <v>10</v>
      </c>
      <c r="C854" s="465" t="s">
        <v>215</v>
      </c>
      <c r="D854" s="465" t="s">
        <v>1226</v>
      </c>
      <c r="E854" s="465"/>
      <c r="F854" s="463">
        <f>F855</f>
        <v>420</v>
      </c>
      <c r="G854" s="463">
        <f t="shared" ref="G854:G856" si="86">G855</f>
        <v>450</v>
      </c>
    </row>
    <row r="855" spans="1:7" ht="22.7" customHeight="1" x14ac:dyDescent="0.25">
      <c r="A855" s="466" t="s">
        <v>1038</v>
      </c>
      <c r="B855" s="462" t="s">
        <v>244</v>
      </c>
      <c r="C855" s="462" t="s">
        <v>215</v>
      </c>
      <c r="D855" s="462" t="s">
        <v>1228</v>
      </c>
      <c r="E855" s="462"/>
      <c r="F855" s="467">
        <f>F856</f>
        <v>420</v>
      </c>
      <c r="G855" s="467">
        <f t="shared" si="86"/>
        <v>450</v>
      </c>
    </row>
    <row r="856" spans="1:7" ht="31.5" x14ac:dyDescent="0.25">
      <c r="A856" s="466" t="s">
        <v>248</v>
      </c>
      <c r="B856" s="462" t="s">
        <v>244</v>
      </c>
      <c r="C856" s="462" t="s">
        <v>215</v>
      </c>
      <c r="D856" s="462" t="s">
        <v>1228</v>
      </c>
      <c r="E856" s="462" t="s">
        <v>249</v>
      </c>
      <c r="F856" s="467">
        <f>F857</f>
        <v>420</v>
      </c>
      <c r="G856" s="467">
        <f t="shared" si="86"/>
        <v>450</v>
      </c>
    </row>
    <row r="857" spans="1:7" ht="31.5" x14ac:dyDescent="0.25">
      <c r="A857" s="466" t="s">
        <v>348</v>
      </c>
      <c r="B857" s="462" t="s">
        <v>244</v>
      </c>
      <c r="C857" s="462" t="s">
        <v>215</v>
      </c>
      <c r="D857" s="462" t="s">
        <v>1228</v>
      </c>
      <c r="E857" s="462" t="s">
        <v>349</v>
      </c>
      <c r="F857" s="467">
        <f>'пр.6.1.ведом.22-23 (2)'!G467</f>
        <v>420</v>
      </c>
      <c r="G857" s="467">
        <f>'пр.6.1.ведом.22-23 (2)'!H467</f>
        <v>450</v>
      </c>
    </row>
    <row r="858" spans="1:7" ht="63" x14ac:dyDescent="0.25">
      <c r="A858" s="464" t="s">
        <v>1357</v>
      </c>
      <c r="B858" s="465" t="s">
        <v>244</v>
      </c>
      <c r="C858" s="465" t="s">
        <v>215</v>
      </c>
      <c r="D858" s="465" t="s">
        <v>254</v>
      </c>
      <c r="E858" s="465"/>
      <c r="F858" s="458">
        <f t="shared" ref="F858:G858" si="87">F859</f>
        <v>10</v>
      </c>
      <c r="G858" s="458">
        <f t="shared" si="87"/>
        <v>10</v>
      </c>
    </row>
    <row r="859" spans="1:7" ht="53.45" customHeight="1" x14ac:dyDescent="0.25">
      <c r="A859" s="464" t="s">
        <v>884</v>
      </c>
      <c r="B859" s="465" t="s">
        <v>244</v>
      </c>
      <c r="C859" s="465" t="s">
        <v>215</v>
      </c>
      <c r="D859" s="465" t="s">
        <v>882</v>
      </c>
      <c r="E859" s="465"/>
      <c r="F859" s="458">
        <f>F860+F863</f>
        <v>10</v>
      </c>
      <c r="G859" s="458">
        <f>G860+G863</f>
        <v>10</v>
      </c>
    </row>
    <row r="860" spans="1:7" ht="31.5" x14ac:dyDescent="0.25">
      <c r="A860" s="466" t="s">
        <v>883</v>
      </c>
      <c r="B860" s="462" t="s">
        <v>244</v>
      </c>
      <c r="C860" s="462" t="s">
        <v>215</v>
      </c>
      <c r="D860" s="462" t="s">
        <v>1193</v>
      </c>
      <c r="E860" s="462"/>
      <c r="F860" s="459">
        <f>F861</f>
        <v>10</v>
      </c>
      <c r="G860" s="459">
        <f>G861</f>
        <v>10</v>
      </c>
    </row>
    <row r="861" spans="1:7" ht="31.5" x14ac:dyDescent="0.25">
      <c r="A861" s="466" t="s">
        <v>248</v>
      </c>
      <c r="B861" s="462" t="s">
        <v>244</v>
      </c>
      <c r="C861" s="462" t="s">
        <v>215</v>
      </c>
      <c r="D861" s="462" t="s">
        <v>1193</v>
      </c>
      <c r="E861" s="462" t="s">
        <v>249</v>
      </c>
      <c r="F861" s="459">
        <f>F862</f>
        <v>10</v>
      </c>
      <c r="G861" s="459">
        <f>G862</f>
        <v>10</v>
      </c>
    </row>
    <row r="862" spans="1:7" ht="31.5" x14ac:dyDescent="0.25">
      <c r="A862" s="466" t="s">
        <v>250</v>
      </c>
      <c r="B862" s="462" t="s">
        <v>244</v>
      </c>
      <c r="C862" s="462" t="s">
        <v>215</v>
      </c>
      <c r="D862" s="462" t="s">
        <v>1193</v>
      </c>
      <c r="E862" s="462" t="s">
        <v>251</v>
      </c>
      <c r="F862" s="459">
        <f>'пр.6.1.ведом.22-23 (2)'!G230</f>
        <v>10</v>
      </c>
      <c r="G862" s="459">
        <f>'пр.6.1.ведом.22-23 (2)'!H230</f>
        <v>10</v>
      </c>
    </row>
    <row r="863" spans="1:7" ht="63" hidden="1" x14ac:dyDescent="0.25">
      <c r="A863" s="466" t="s">
        <v>1181</v>
      </c>
      <c r="B863" s="462" t="s">
        <v>244</v>
      </c>
      <c r="C863" s="462" t="s">
        <v>215</v>
      </c>
      <c r="D863" s="462" t="s">
        <v>1180</v>
      </c>
      <c r="E863" s="462"/>
      <c r="F863" s="467">
        <f>F864</f>
        <v>0</v>
      </c>
      <c r="G863" s="467">
        <f>G864</f>
        <v>0</v>
      </c>
    </row>
    <row r="864" spans="1:7" ht="31.5" hidden="1" x14ac:dyDescent="0.25">
      <c r="A864" s="466" t="s">
        <v>248</v>
      </c>
      <c r="B864" s="462" t="s">
        <v>244</v>
      </c>
      <c r="C864" s="462" t="s">
        <v>215</v>
      </c>
      <c r="D864" s="462" t="s">
        <v>1180</v>
      </c>
      <c r="E864" s="462" t="s">
        <v>249</v>
      </c>
      <c r="F864" s="467">
        <f>F865</f>
        <v>0</v>
      </c>
      <c r="G864" s="467">
        <f>G865</f>
        <v>0</v>
      </c>
    </row>
    <row r="865" spans="1:7" ht="31.5" hidden="1" x14ac:dyDescent="0.25">
      <c r="A865" s="466" t="s">
        <v>250</v>
      </c>
      <c r="B865" s="462" t="s">
        <v>244</v>
      </c>
      <c r="C865" s="462" t="s">
        <v>215</v>
      </c>
      <c r="D865" s="462" t="s">
        <v>1180</v>
      </c>
      <c r="E865" s="462" t="s">
        <v>251</v>
      </c>
      <c r="F865" s="467">
        <f>'пр.6.1.ведом.22-23 (2)'!G233</f>
        <v>0</v>
      </c>
      <c r="G865" s="467">
        <f>'пр.6.1.ведом.22-23 (2)'!H233</f>
        <v>0</v>
      </c>
    </row>
    <row r="866" spans="1:7" ht="15.75" x14ac:dyDescent="0.25">
      <c r="A866" s="464" t="s">
        <v>243</v>
      </c>
      <c r="B866" s="465" t="s">
        <v>244</v>
      </c>
      <c r="C866" s="462"/>
      <c r="D866" s="462"/>
      <c r="E866" s="462"/>
      <c r="F866" s="463">
        <f t="shared" ref="F866:G870" si="88">F867</f>
        <v>2469.1</v>
      </c>
      <c r="G866" s="463">
        <f t="shared" si="88"/>
        <v>10803.2</v>
      </c>
    </row>
    <row r="867" spans="1:7" ht="15.75" x14ac:dyDescent="0.25">
      <c r="A867" s="464" t="s">
        <v>400</v>
      </c>
      <c r="B867" s="465" t="s">
        <v>244</v>
      </c>
      <c r="C867" s="465" t="s">
        <v>150</v>
      </c>
      <c r="D867" s="462"/>
      <c r="E867" s="462"/>
      <c r="F867" s="463">
        <f t="shared" si="88"/>
        <v>2469.1</v>
      </c>
      <c r="G867" s="463">
        <f t="shared" si="88"/>
        <v>10803.2</v>
      </c>
    </row>
    <row r="868" spans="1:7" ht="47.25" x14ac:dyDescent="0.25">
      <c r="A868" s="464" t="s">
        <v>885</v>
      </c>
      <c r="B868" s="465" t="s">
        <v>244</v>
      </c>
      <c r="C868" s="465" t="s">
        <v>150</v>
      </c>
      <c r="D868" s="465" t="s">
        <v>863</v>
      </c>
      <c r="E868" s="462"/>
      <c r="F868" s="463">
        <f t="shared" si="88"/>
        <v>2469.1</v>
      </c>
      <c r="G868" s="463">
        <f t="shared" si="88"/>
        <v>10803.2</v>
      </c>
    </row>
    <row r="869" spans="1:7" ht="47.25" x14ac:dyDescent="0.25">
      <c r="A869" s="466" t="s">
        <v>1176</v>
      </c>
      <c r="B869" s="462" t="s">
        <v>244</v>
      </c>
      <c r="C869" s="462" t="s">
        <v>150</v>
      </c>
      <c r="D869" s="462" t="s">
        <v>1175</v>
      </c>
      <c r="E869" s="462"/>
      <c r="F869" s="467">
        <f t="shared" si="88"/>
        <v>2469.1</v>
      </c>
      <c r="G869" s="467">
        <f t="shared" si="88"/>
        <v>10803.2</v>
      </c>
    </row>
    <row r="870" spans="1:7" ht="31.5" x14ac:dyDescent="0.25">
      <c r="A870" s="466" t="s">
        <v>131</v>
      </c>
      <c r="B870" s="462" t="s">
        <v>244</v>
      </c>
      <c r="C870" s="462" t="s">
        <v>150</v>
      </c>
      <c r="D870" s="462" t="s">
        <v>1175</v>
      </c>
      <c r="E870" s="462" t="s">
        <v>132</v>
      </c>
      <c r="F870" s="467">
        <f t="shared" si="88"/>
        <v>2469.1</v>
      </c>
      <c r="G870" s="467">
        <f t="shared" si="88"/>
        <v>10803.2</v>
      </c>
    </row>
    <row r="871" spans="1:7" ht="47.25" x14ac:dyDescent="0.25">
      <c r="A871" s="466" t="s">
        <v>133</v>
      </c>
      <c r="B871" s="462" t="s">
        <v>244</v>
      </c>
      <c r="C871" s="462" t="s">
        <v>150</v>
      </c>
      <c r="D871" s="462" t="s">
        <v>1175</v>
      </c>
      <c r="E871" s="462" t="s">
        <v>134</v>
      </c>
      <c r="F871" s="467">
        <f>'пр.6.1.ведом.22-23 (2)'!G536</f>
        <v>2469.1</v>
      </c>
      <c r="G871" s="467">
        <f>'пр.6.1.ведом.22-23 (2)'!H536</f>
        <v>10803.2</v>
      </c>
    </row>
    <row r="872" spans="1:7" ht="31.5" x14ac:dyDescent="0.25">
      <c r="A872" s="464" t="s">
        <v>258</v>
      </c>
      <c r="B872" s="465" t="s">
        <v>244</v>
      </c>
      <c r="C872" s="465" t="s">
        <v>120</v>
      </c>
      <c r="D872" s="465"/>
      <c r="E872" s="465"/>
      <c r="F872" s="458">
        <f>F873+F880</f>
        <v>3737.4</v>
      </c>
      <c r="G872" s="458">
        <f>G873+G880</f>
        <v>3693.4</v>
      </c>
    </row>
    <row r="873" spans="1:7" ht="31.5" x14ac:dyDescent="0.25">
      <c r="A873" s="464" t="s">
        <v>917</v>
      </c>
      <c r="B873" s="465" t="s">
        <v>244</v>
      </c>
      <c r="C873" s="465" t="s">
        <v>120</v>
      </c>
      <c r="D873" s="465" t="s">
        <v>858</v>
      </c>
      <c r="E873" s="465"/>
      <c r="F873" s="458">
        <f>F874</f>
        <v>3650.4</v>
      </c>
      <c r="G873" s="458">
        <f>G874</f>
        <v>3606.4</v>
      </c>
    </row>
    <row r="874" spans="1:7" ht="47.25" x14ac:dyDescent="0.25">
      <c r="A874" s="464" t="s">
        <v>885</v>
      </c>
      <c r="B874" s="465" t="s">
        <v>244</v>
      </c>
      <c r="C874" s="465" t="s">
        <v>120</v>
      </c>
      <c r="D874" s="465" t="s">
        <v>863</v>
      </c>
      <c r="E874" s="465"/>
      <c r="F874" s="458">
        <f>F875</f>
        <v>3650.4</v>
      </c>
      <c r="G874" s="458">
        <f>G875</f>
        <v>3606.4</v>
      </c>
    </row>
    <row r="875" spans="1:7" ht="47.25" x14ac:dyDescent="0.25">
      <c r="A875" s="31" t="s">
        <v>259</v>
      </c>
      <c r="B875" s="462" t="s">
        <v>244</v>
      </c>
      <c r="C875" s="462" t="s">
        <v>120</v>
      </c>
      <c r="D875" s="462" t="s">
        <v>925</v>
      </c>
      <c r="E875" s="462"/>
      <c r="F875" s="459">
        <f>F876+F878</f>
        <v>3650.4</v>
      </c>
      <c r="G875" s="459">
        <f>G876+G878</f>
        <v>3606.4</v>
      </c>
    </row>
    <row r="876" spans="1:7" ht="94.5" x14ac:dyDescent="0.25">
      <c r="A876" s="466" t="s">
        <v>127</v>
      </c>
      <c r="B876" s="462" t="s">
        <v>244</v>
      </c>
      <c r="C876" s="462" t="s">
        <v>120</v>
      </c>
      <c r="D876" s="462" t="s">
        <v>925</v>
      </c>
      <c r="E876" s="462" t="s">
        <v>128</v>
      </c>
      <c r="F876" s="459">
        <f>F877</f>
        <v>3249.8</v>
      </c>
      <c r="G876" s="459">
        <f>G877</f>
        <v>3205.8</v>
      </c>
    </row>
    <row r="877" spans="1:7" ht="31.5" x14ac:dyDescent="0.25">
      <c r="A877" s="466" t="s">
        <v>129</v>
      </c>
      <c r="B877" s="462" t="s">
        <v>244</v>
      </c>
      <c r="C877" s="462" t="s">
        <v>120</v>
      </c>
      <c r="D877" s="462" t="s">
        <v>925</v>
      </c>
      <c r="E877" s="462" t="s">
        <v>130</v>
      </c>
      <c r="F877" s="459">
        <f>'пр.6.1.ведом.22-23 (2)'!G239</f>
        <v>3249.8</v>
      </c>
      <c r="G877" s="459">
        <f>'пр.6.1.ведом.22-23 (2)'!H239</f>
        <v>3205.8</v>
      </c>
    </row>
    <row r="878" spans="1:7" ht="31.5" x14ac:dyDescent="0.25">
      <c r="A878" s="466" t="s">
        <v>131</v>
      </c>
      <c r="B878" s="462" t="s">
        <v>244</v>
      </c>
      <c r="C878" s="462" t="s">
        <v>120</v>
      </c>
      <c r="D878" s="462" t="s">
        <v>925</v>
      </c>
      <c r="E878" s="462" t="s">
        <v>132</v>
      </c>
      <c r="F878" s="459">
        <f>F879</f>
        <v>400.6</v>
      </c>
      <c r="G878" s="459">
        <f>G879</f>
        <v>400.6</v>
      </c>
    </row>
    <row r="879" spans="1:7" ht="47.25" x14ac:dyDescent="0.25">
      <c r="A879" s="466" t="s">
        <v>133</v>
      </c>
      <c r="B879" s="462" t="s">
        <v>244</v>
      </c>
      <c r="C879" s="462" t="s">
        <v>120</v>
      </c>
      <c r="D879" s="462" t="s">
        <v>925</v>
      </c>
      <c r="E879" s="462" t="s">
        <v>134</v>
      </c>
      <c r="F879" s="459">
        <f>'пр.6.1.ведом.22-23 (2)'!G241</f>
        <v>400.6</v>
      </c>
      <c r="G879" s="459">
        <f>'пр.6.1.ведом.22-23 (2)'!H241</f>
        <v>400.6</v>
      </c>
    </row>
    <row r="880" spans="1:7" ht="15.75" x14ac:dyDescent="0.25">
      <c r="A880" s="464" t="s">
        <v>141</v>
      </c>
      <c r="B880" s="465" t="s">
        <v>244</v>
      </c>
      <c r="C880" s="465" t="s">
        <v>120</v>
      </c>
      <c r="D880" s="465" t="s">
        <v>866</v>
      </c>
      <c r="E880" s="465"/>
      <c r="F880" s="458">
        <f t="shared" ref="F880:G883" si="89">F881</f>
        <v>87</v>
      </c>
      <c r="G880" s="458">
        <f t="shared" si="89"/>
        <v>87</v>
      </c>
    </row>
    <row r="881" spans="1:7" ht="31.5" x14ac:dyDescent="0.25">
      <c r="A881" s="464" t="s">
        <v>870</v>
      </c>
      <c r="B881" s="465" t="s">
        <v>244</v>
      </c>
      <c r="C881" s="465" t="s">
        <v>120</v>
      </c>
      <c r="D881" s="465" t="s">
        <v>865</v>
      </c>
      <c r="E881" s="465"/>
      <c r="F881" s="458">
        <f t="shared" si="89"/>
        <v>87</v>
      </c>
      <c r="G881" s="458">
        <f t="shared" si="89"/>
        <v>87</v>
      </c>
    </row>
    <row r="882" spans="1:7" ht="15.75" x14ac:dyDescent="0.25">
      <c r="A882" s="466" t="s">
        <v>572</v>
      </c>
      <c r="B882" s="462" t="s">
        <v>244</v>
      </c>
      <c r="C882" s="462" t="s">
        <v>120</v>
      </c>
      <c r="D882" s="462" t="s">
        <v>985</v>
      </c>
      <c r="E882" s="462"/>
      <c r="F882" s="459">
        <f t="shared" si="89"/>
        <v>87</v>
      </c>
      <c r="G882" s="459">
        <f t="shared" si="89"/>
        <v>87</v>
      </c>
    </row>
    <row r="883" spans="1:7" ht="31.5" x14ac:dyDescent="0.25">
      <c r="A883" s="466" t="s">
        <v>131</v>
      </c>
      <c r="B883" s="462" t="s">
        <v>244</v>
      </c>
      <c r="C883" s="462" t="s">
        <v>120</v>
      </c>
      <c r="D883" s="462" t="s">
        <v>985</v>
      </c>
      <c r="E883" s="462" t="s">
        <v>132</v>
      </c>
      <c r="F883" s="459">
        <f t="shared" si="89"/>
        <v>87</v>
      </c>
      <c r="G883" s="459">
        <f t="shared" si="89"/>
        <v>87</v>
      </c>
    </row>
    <row r="884" spans="1:7" ht="47.25" x14ac:dyDescent="0.25">
      <c r="A884" s="466" t="s">
        <v>133</v>
      </c>
      <c r="B884" s="462" t="s">
        <v>244</v>
      </c>
      <c r="C884" s="462" t="s">
        <v>120</v>
      </c>
      <c r="D884" s="462" t="s">
        <v>985</v>
      </c>
      <c r="E884" s="462" t="s">
        <v>134</v>
      </c>
      <c r="F884" s="459">
        <f>'пр.6.1.ведом.22-23 (2)'!G1045</f>
        <v>87</v>
      </c>
      <c r="G884" s="459">
        <f>'пр.6.1.ведом.22-23 (2)'!H1045</f>
        <v>87</v>
      </c>
    </row>
    <row r="885" spans="1:7" ht="15.75" x14ac:dyDescent="0.25">
      <c r="A885" s="470" t="s">
        <v>490</v>
      </c>
      <c r="B885" s="7" t="s">
        <v>491</v>
      </c>
      <c r="C885" s="469"/>
      <c r="D885" s="469"/>
      <c r="E885" s="469"/>
      <c r="F885" s="458">
        <f>F886+F923</f>
        <v>63981.399999999994</v>
      </c>
      <c r="G885" s="458">
        <f>G886+G923</f>
        <v>64012.600000000006</v>
      </c>
    </row>
    <row r="886" spans="1:7" ht="15.75" x14ac:dyDescent="0.25">
      <c r="A886" s="464" t="s">
        <v>492</v>
      </c>
      <c r="B886" s="465" t="s">
        <v>491</v>
      </c>
      <c r="C886" s="465" t="s">
        <v>118</v>
      </c>
      <c r="D886" s="462"/>
      <c r="E886" s="462"/>
      <c r="F886" s="458">
        <f>F887+F918+F913</f>
        <v>50452.2</v>
      </c>
      <c r="G886" s="458">
        <f>G887+G918+G913</f>
        <v>50483.4</v>
      </c>
    </row>
    <row r="887" spans="1:7" ht="47.25" x14ac:dyDescent="0.25">
      <c r="A887" s="464" t="s">
        <v>1380</v>
      </c>
      <c r="B887" s="465" t="s">
        <v>491</v>
      </c>
      <c r="C887" s="465" t="s">
        <v>118</v>
      </c>
      <c r="D887" s="465" t="s">
        <v>482</v>
      </c>
      <c r="E887" s="465"/>
      <c r="F887" s="458">
        <f>F888+F892+F902+F909</f>
        <v>49873.1</v>
      </c>
      <c r="G887" s="458">
        <f>G888+G892+G902+G909</f>
        <v>49873.1</v>
      </c>
    </row>
    <row r="888" spans="1:7" ht="47.25" x14ac:dyDescent="0.25">
      <c r="A888" s="464" t="s">
        <v>937</v>
      </c>
      <c r="B888" s="465" t="s">
        <v>491</v>
      </c>
      <c r="C888" s="465" t="s">
        <v>118</v>
      </c>
      <c r="D888" s="465" t="s">
        <v>1268</v>
      </c>
      <c r="E888" s="465"/>
      <c r="F888" s="458">
        <f t="shared" ref="F888:G890" si="90">F889</f>
        <v>47819.6</v>
      </c>
      <c r="G888" s="458">
        <f t="shared" si="90"/>
        <v>47819.6</v>
      </c>
    </row>
    <row r="889" spans="1:7" ht="47.25" x14ac:dyDescent="0.25">
      <c r="A889" s="466" t="s">
        <v>1298</v>
      </c>
      <c r="B889" s="462" t="s">
        <v>491</v>
      </c>
      <c r="C889" s="462" t="s">
        <v>118</v>
      </c>
      <c r="D889" s="462" t="s">
        <v>1269</v>
      </c>
      <c r="E889" s="462"/>
      <c r="F889" s="459">
        <f t="shared" si="90"/>
        <v>47819.6</v>
      </c>
      <c r="G889" s="459">
        <f t="shared" si="90"/>
        <v>47819.6</v>
      </c>
    </row>
    <row r="890" spans="1:7" ht="47.25" x14ac:dyDescent="0.25">
      <c r="A890" s="466" t="s">
        <v>272</v>
      </c>
      <c r="B890" s="462" t="s">
        <v>491</v>
      </c>
      <c r="C890" s="462" t="s">
        <v>118</v>
      </c>
      <c r="D890" s="462" t="s">
        <v>1269</v>
      </c>
      <c r="E890" s="462" t="s">
        <v>273</v>
      </c>
      <c r="F890" s="459">
        <f t="shared" si="90"/>
        <v>47819.6</v>
      </c>
      <c r="G890" s="459">
        <f t="shared" si="90"/>
        <v>47819.6</v>
      </c>
    </row>
    <row r="891" spans="1:7" ht="15.75" x14ac:dyDescent="0.25">
      <c r="A891" s="466" t="s">
        <v>274</v>
      </c>
      <c r="B891" s="462" t="s">
        <v>491</v>
      </c>
      <c r="C891" s="462" t="s">
        <v>118</v>
      </c>
      <c r="D891" s="462" t="s">
        <v>1269</v>
      </c>
      <c r="E891" s="462" t="s">
        <v>275</v>
      </c>
      <c r="F891" s="459">
        <f>'пр.6.1.ведом.22-23 (2)'!G770</f>
        <v>47819.6</v>
      </c>
      <c r="G891" s="459">
        <f>'пр.6.1.ведом.22-23 (2)'!H770</f>
        <v>47819.6</v>
      </c>
    </row>
    <row r="892" spans="1:7" ht="31.5" x14ac:dyDescent="0.25">
      <c r="A892" s="464" t="s">
        <v>945</v>
      </c>
      <c r="B892" s="465" t="s">
        <v>491</v>
      </c>
      <c r="C892" s="465" t="s">
        <v>118</v>
      </c>
      <c r="D892" s="465" t="s">
        <v>1270</v>
      </c>
      <c r="E892" s="465"/>
      <c r="F892" s="458">
        <f>F893+F896+F899</f>
        <v>36</v>
      </c>
      <c r="G892" s="458">
        <f>G893+G896+G899</f>
        <v>36</v>
      </c>
    </row>
    <row r="893" spans="1:7" ht="47.25" hidden="1" x14ac:dyDescent="0.25">
      <c r="A893" s="466" t="s">
        <v>278</v>
      </c>
      <c r="B893" s="462" t="s">
        <v>491</v>
      </c>
      <c r="C893" s="462" t="s">
        <v>118</v>
      </c>
      <c r="D893" s="462" t="s">
        <v>1330</v>
      </c>
      <c r="E893" s="462"/>
      <c r="F893" s="459">
        <f>'[1]Пр.4 Рд,пр, ЦС,ВР 21'!F888</f>
        <v>0</v>
      </c>
      <c r="G893" s="459">
        <f>'[1]Пр.4 Рд,пр, ЦС,ВР 21'!G888</f>
        <v>0</v>
      </c>
    </row>
    <row r="894" spans="1:7" ht="47.25" hidden="1" x14ac:dyDescent="0.25">
      <c r="A894" s="466" t="s">
        <v>272</v>
      </c>
      <c r="B894" s="462" t="s">
        <v>491</v>
      </c>
      <c r="C894" s="462" t="s">
        <v>118</v>
      </c>
      <c r="D894" s="462" t="s">
        <v>1330</v>
      </c>
      <c r="E894" s="462" t="s">
        <v>273</v>
      </c>
      <c r="F894" s="459">
        <f>'[1]Пр.4 Рд,пр, ЦС,ВР 21'!F889</f>
        <v>0</v>
      </c>
      <c r="G894" s="459">
        <f>'[1]Пр.4 Рд,пр, ЦС,ВР 21'!G889</f>
        <v>0</v>
      </c>
    </row>
    <row r="895" spans="1:7" ht="15.75" hidden="1" x14ac:dyDescent="0.25">
      <c r="A895" s="466" t="s">
        <v>274</v>
      </c>
      <c r="B895" s="462" t="s">
        <v>491</v>
      </c>
      <c r="C895" s="462" t="s">
        <v>118</v>
      </c>
      <c r="D895" s="462" t="s">
        <v>1330</v>
      </c>
      <c r="E895" s="462" t="s">
        <v>275</v>
      </c>
      <c r="F895" s="459">
        <f>'[1]Пр.4 Рд,пр, ЦС,ВР 21'!F890</f>
        <v>0</v>
      </c>
      <c r="G895" s="459">
        <f>'[1]Пр.4 Рд,пр, ЦС,ВР 21'!G890</f>
        <v>0</v>
      </c>
    </row>
    <row r="896" spans="1:7" ht="31.5" hidden="1" x14ac:dyDescent="0.25">
      <c r="A896" s="466" t="s">
        <v>280</v>
      </c>
      <c r="B896" s="462" t="s">
        <v>491</v>
      </c>
      <c r="C896" s="462" t="s">
        <v>118</v>
      </c>
      <c r="D896" s="462" t="s">
        <v>1331</v>
      </c>
      <c r="E896" s="462"/>
      <c r="F896" s="459">
        <f>F897</f>
        <v>0</v>
      </c>
      <c r="G896" s="459">
        <f>G897</f>
        <v>0</v>
      </c>
    </row>
    <row r="897" spans="1:7" ht="47.25" hidden="1" x14ac:dyDescent="0.25">
      <c r="A897" s="466" t="s">
        <v>272</v>
      </c>
      <c r="B897" s="462" t="s">
        <v>491</v>
      </c>
      <c r="C897" s="462" t="s">
        <v>118</v>
      </c>
      <c r="D897" s="462" t="s">
        <v>1331</v>
      </c>
      <c r="E897" s="462" t="s">
        <v>273</v>
      </c>
      <c r="F897" s="459">
        <f>F898</f>
        <v>0</v>
      </c>
      <c r="G897" s="459">
        <f>G898</f>
        <v>0</v>
      </c>
    </row>
    <row r="898" spans="1:7" ht="15.75" hidden="1" x14ac:dyDescent="0.25">
      <c r="A898" s="466" t="s">
        <v>274</v>
      </c>
      <c r="B898" s="462" t="s">
        <v>491</v>
      </c>
      <c r="C898" s="462" t="s">
        <v>118</v>
      </c>
      <c r="D898" s="462" t="s">
        <v>1331</v>
      </c>
      <c r="E898" s="462" t="s">
        <v>275</v>
      </c>
      <c r="F898" s="459">
        <f>'пр.6.1.ведом.22-23 (2)'!G777</f>
        <v>0</v>
      </c>
      <c r="G898" s="459">
        <f>'пр.6.1.ведом.22-23 (2)'!H777</f>
        <v>0</v>
      </c>
    </row>
    <row r="899" spans="1:7" ht="15.75" x14ac:dyDescent="0.25">
      <c r="A899" s="466" t="s">
        <v>830</v>
      </c>
      <c r="B899" s="462" t="s">
        <v>491</v>
      </c>
      <c r="C899" s="462" t="s">
        <v>118</v>
      </c>
      <c r="D899" s="462" t="s">
        <v>1271</v>
      </c>
      <c r="E899" s="462"/>
      <c r="F899" s="459">
        <f>F900</f>
        <v>36</v>
      </c>
      <c r="G899" s="459">
        <f>G900</f>
        <v>36</v>
      </c>
    </row>
    <row r="900" spans="1:7" ht="47.25" x14ac:dyDescent="0.25">
      <c r="A900" s="466" t="s">
        <v>272</v>
      </c>
      <c r="B900" s="462" t="s">
        <v>491</v>
      </c>
      <c r="C900" s="462" t="s">
        <v>118</v>
      </c>
      <c r="D900" s="462" t="s">
        <v>1271</v>
      </c>
      <c r="E900" s="462" t="s">
        <v>273</v>
      </c>
      <c r="F900" s="459">
        <f>F901</f>
        <v>36</v>
      </c>
      <c r="G900" s="459">
        <f>G901</f>
        <v>36</v>
      </c>
    </row>
    <row r="901" spans="1:7" ht="15.75" x14ac:dyDescent="0.25">
      <c r="A901" s="466" t="s">
        <v>274</v>
      </c>
      <c r="B901" s="462" t="s">
        <v>491</v>
      </c>
      <c r="C901" s="462" t="s">
        <v>118</v>
      </c>
      <c r="D901" s="462" t="s">
        <v>1271</v>
      </c>
      <c r="E901" s="462" t="s">
        <v>275</v>
      </c>
      <c r="F901" s="459">
        <f>'пр.6.1.ведом.22-23 (2)'!G781</f>
        <v>36</v>
      </c>
      <c r="G901" s="459">
        <f>'пр.6.1.ведом.22-23 (2)'!H781</f>
        <v>36</v>
      </c>
    </row>
    <row r="902" spans="1:7" ht="47.25" x14ac:dyDescent="0.25">
      <c r="A902" s="464" t="s">
        <v>947</v>
      </c>
      <c r="B902" s="465" t="s">
        <v>491</v>
      </c>
      <c r="C902" s="465" t="s">
        <v>118</v>
      </c>
      <c r="D902" s="465" t="s">
        <v>1272</v>
      </c>
      <c r="E902" s="465"/>
      <c r="F902" s="458">
        <f>F903+F906</f>
        <v>1204</v>
      </c>
      <c r="G902" s="458">
        <f>G903+G906</f>
        <v>1204</v>
      </c>
    </row>
    <row r="903" spans="1:7" ht="31.5" hidden="1" x14ac:dyDescent="0.25">
      <c r="A903" s="466" t="s">
        <v>791</v>
      </c>
      <c r="B903" s="462" t="s">
        <v>491</v>
      </c>
      <c r="C903" s="462" t="s">
        <v>118</v>
      </c>
      <c r="D903" s="462" t="s">
        <v>1310</v>
      </c>
      <c r="E903" s="462"/>
      <c r="F903" s="459">
        <f>'[1]Пр.4 Рд,пр, ЦС,ВР 21'!F898</f>
        <v>0</v>
      </c>
      <c r="G903" s="459">
        <f>'[1]Пр.4 Рд,пр, ЦС,ВР 21'!G898</f>
        <v>0</v>
      </c>
    </row>
    <row r="904" spans="1:7" ht="47.25" hidden="1" x14ac:dyDescent="0.25">
      <c r="A904" s="466" t="s">
        <v>272</v>
      </c>
      <c r="B904" s="462" t="s">
        <v>491</v>
      </c>
      <c r="C904" s="462" t="s">
        <v>118</v>
      </c>
      <c r="D904" s="462" t="s">
        <v>1310</v>
      </c>
      <c r="E904" s="462" t="s">
        <v>273</v>
      </c>
      <c r="F904" s="459">
        <f>'[1]Пр.4 Рд,пр, ЦС,ВР 21'!F899</f>
        <v>0</v>
      </c>
      <c r="G904" s="459">
        <f>'[1]Пр.4 Рд,пр, ЦС,ВР 21'!G899</f>
        <v>0</v>
      </c>
    </row>
    <row r="905" spans="1:7" ht="15.75" hidden="1" x14ac:dyDescent="0.25">
      <c r="A905" s="466" t="s">
        <v>274</v>
      </c>
      <c r="B905" s="462" t="s">
        <v>491</v>
      </c>
      <c r="C905" s="462" t="s">
        <v>118</v>
      </c>
      <c r="D905" s="462" t="s">
        <v>1310</v>
      </c>
      <c r="E905" s="462" t="s">
        <v>275</v>
      </c>
      <c r="F905" s="459">
        <f>'[1]Пр.4 Рд,пр, ЦС,ВР 21'!F900</f>
        <v>0</v>
      </c>
      <c r="G905" s="459">
        <f>'[1]Пр.4 Рд,пр, ЦС,ВР 21'!G900</f>
        <v>0</v>
      </c>
    </row>
    <row r="906" spans="1:7" ht="47.25" x14ac:dyDescent="0.25">
      <c r="A906" s="45" t="s">
        <v>764</v>
      </c>
      <c r="B906" s="462" t="s">
        <v>491</v>
      </c>
      <c r="C906" s="462" t="s">
        <v>118</v>
      </c>
      <c r="D906" s="462" t="s">
        <v>1273</v>
      </c>
      <c r="E906" s="462"/>
      <c r="F906" s="459">
        <f>F907</f>
        <v>1204</v>
      </c>
      <c r="G906" s="459">
        <f>G907</f>
        <v>1204</v>
      </c>
    </row>
    <row r="907" spans="1:7" ht="47.25" x14ac:dyDescent="0.25">
      <c r="A907" s="31" t="s">
        <v>272</v>
      </c>
      <c r="B907" s="462" t="s">
        <v>491</v>
      </c>
      <c r="C907" s="462" t="s">
        <v>118</v>
      </c>
      <c r="D907" s="462" t="s">
        <v>1273</v>
      </c>
      <c r="E907" s="462" t="s">
        <v>273</v>
      </c>
      <c r="F907" s="459">
        <f>F908</f>
        <v>1204</v>
      </c>
      <c r="G907" s="459">
        <f>G908</f>
        <v>1204</v>
      </c>
    </row>
    <row r="908" spans="1:7" ht="15.75" x14ac:dyDescent="0.25">
      <c r="A908" s="31" t="s">
        <v>274</v>
      </c>
      <c r="B908" s="462" t="s">
        <v>491</v>
      </c>
      <c r="C908" s="462" t="s">
        <v>118</v>
      </c>
      <c r="D908" s="462" t="s">
        <v>1273</v>
      </c>
      <c r="E908" s="462" t="s">
        <v>275</v>
      </c>
      <c r="F908" s="459">
        <f>'пр.6.1.ведом.22-23 (2)'!G788</f>
        <v>1204</v>
      </c>
      <c r="G908" s="459">
        <f>'пр.6.1.ведом.22-23 (2)'!H788</f>
        <v>1204</v>
      </c>
    </row>
    <row r="909" spans="1:7" ht="54.75" customHeight="1" x14ac:dyDescent="0.25">
      <c r="A909" s="464" t="s">
        <v>900</v>
      </c>
      <c r="B909" s="465" t="s">
        <v>491</v>
      </c>
      <c r="C909" s="465" t="s">
        <v>118</v>
      </c>
      <c r="D909" s="465" t="s">
        <v>1274</v>
      </c>
      <c r="E909" s="465"/>
      <c r="F909" s="458">
        <f t="shared" ref="F909:G911" si="91">F910</f>
        <v>813.5</v>
      </c>
      <c r="G909" s="458">
        <f t="shared" si="91"/>
        <v>813.5</v>
      </c>
    </row>
    <row r="910" spans="1:7" ht="121.7" customHeight="1" x14ac:dyDescent="0.25">
      <c r="A910" s="31" t="s">
        <v>464</v>
      </c>
      <c r="B910" s="462" t="s">
        <v>491</v>
      </c>
      <c r="C910" s="462" t="s">
        <v>118</v>
      </c>
      <c r="D910" s="462" t="s">
        <v>1413</v>
      </c>
      <c r="E910" s="462"/>
      <c r="F910" s="459">
        <f t="shared" si="91"/>
        <v>813.5</v>
      </c>
      <c r="G910" s="459">
        <f t="shared" si="91"/>
        <v>813.5</v>
      </c>
    </row>
    <row r="911" spans="1:7" ht="47.25" x14ac:dyDescent="0.25">
      <c r="A911" s="466" t="s">
        <v>272</v>
      </c>
      <c r="B911" s="462" t="s">
        <v>491</v>
      </c>
      <c r="C911" s="462" t="s">
        <v>118</v>
      </c>
      <c r="D911" s="462" t="s">
        <v>1413</v>
      </c>
      <c r="E911" s="462" t="s">
        <v>273</v>
      </c>
      <c r="F911" s="459">
        <f t="shared" si="91"/>
        <v>813.5</v>
      </c>
      <c r="G911" s="459">
        <f t="shared" si="91"/>
        <v>813.5</v>
      </c>
    </row>
    <row r="912" spans="1:7" ht="15.75" x14ac:dyDescent="0.25">
      <c r="A912" s="466" t="s">
        <v>274</v>
      </c>
      <c r="B912" s="462" t="s">
        <v>491</v>
      </c>
      <c r="C912" s="462" t="s">
        <v>118</v>
      </c>
      <c r="D912" s="462" t="s">
        <v>1413</v>
      </c>
      <c r="E912" s="462" t="s">
        <v>275</v>
      </c>
      <c r="F912" s="459">
        <f>'пр.6.1.ведом.22-23 (2)'!G792</f>
        <v>813.5</v>
      </c>
      <c r="G912" s="459">
        <f>'пр.6.1.ведом.22-23 (2)'!H792</f>
        <v>813.5</v>
      </c>
    </row>
    <row r="913" spans="1:7" ht="63" x14ac:dyDescent="0.25">
      <c r="A913" s="34" t="s">
        <v>1368</v>
      </c>
      <c r="B913" s="465" t="s">
        <v>491</v>
      </c>
      <c r="C913" s="465" t="s">
        <v>118</v>
      </c>
      <c r="D913" s="465" t="s">
        <v>324</v>
      </c>
      <c r="E913" s="465"/>
      <c r="F913" s="458">
        <f t="shared" ref="F913:G916" si="92">F914</f>
        <v>0</v>
      </c>
      <c r="G913" s="458">
        <f t="shared" si="92"/>
        <v>8</v>
      </c>
    </row>
    <row r="914" spans="1:7" ht="63" x14ac:dyDescent="0.25">
      <c r="A914" s="34" t="s">
        <v>1024</v>
      </c>
      <c r="B914" s="465" t="s">
        <v>491</v>
      </c>
      <c r="C914" s="465" t="s">
        <v>118</v>
      </c>
      <c r="D914" s="465" t="s">
        <v>934</v>
      </c>
      <c r="E914" s="465"/>
      <c r="F914" s="458">
        <f t="shared" si="92"/>
        <v>0</v>
      </c>
      <c r="G914" s="458">
        <f t="shared" si="92"/>
        <v>8</v>
      </c>
    </row>
    <row r="915" spans="1:7" ht="47.25" x14ac:dyDescent="0.25">
      <c r="A915" s="31" t="s">
        <v>1008</v>
      </c>
      <c r="B915" s="462" t="s">
        <v>491</v>
      </c>
      <c r="C915" s="462" t="s">
        <v>118</v>
      </c>
      <c r="D915" s="462" t="s">
        <v>935</v>
      </c>
      <c r="E915" s="462"/>
      <c r="F915" s="459">
        <f t="shared" si="92"/>
        <v>0</v>
      </c>
      <c r="G915" s="459">
        <f t="shared" si="92"/>
        <v>8</v>
      </c>
    </row>
    <row r="916" spans="1:7" ht="47.25" x14ac:dyDescent="0.25">
      <c r="A916" s="31" t="s">
        <v>272</v>
      </c>
      <c r="B916" s="462" t="s">
        <v>491</v>
      </c>
      <c r="C916" s="462" t="s">
        <v>118</v>
      </c>
      <c r="D916" s="462" t="s">
        <v>935</v>
      </c>
      <c r="E916" s="462" t="s">
        <v>273</v>
      </c>
      <c r="F916" s="459">
        <f t="shared" si="92"/>
        <v>0</v>
      </c>
      <c r="G916" s="459">
        <f t="shared" si="92"/>
        <v>8</v>
      </c>
    </row>
    <row r="917" spans="1:7" ht="15.75" x14ac:dyDescent="0.25">
      <c r="A917" s="31" t="s">
        <v>274</v>
      </c>
      <c r="B917" s="462" t="s">
        <v>491</v>
      </c>
      <c r="C917" s="462" t="s">
        <v>118</v>
      </c>
      <c r="D917" s="462" t="s">
        <v>935</v>
      </c>
      <c r="E917" s="462" t="s">
        <v>275</v>
      </c>
      <c r="F917" s="459">
        <f>'пр.6.1.ведом.22-23 (2)'!G797</f>
        <v>0</v>
      </c>
      <c r="G917" s="459">
        <f>'пр.6.1.ведом.22-23 (2)'!H797</f>
        <v>8</v>
      </c>
    </row>
    <row r="918" spans="1:7" ht="48.95" customHeight="1" x14ac:dyDescent="0.25">
      <c r="A918" s="470" t="s">
        <v>1363</v>
      </c>
      <c r="B918" s="465" t="s">
        <v>491</v>
      </c>
      <c r="C918" s="465" t="s">
        <v>118</v>
      </c>
      <c r="D918" s="465" t="s">
        <v>705</v>
      </c>
      <c r="E918" s="474"/>
      <c r="F918" s="458">
        <f t="shared" ref="F918:G921" si="93">F919</f>
        <v>579.1</v>
      </c>
      <c r="G918" s="458">
        <f t="shared" si="93"/>
        <v>602.29999999999995</v>
      </c>
    </row>
    <row r="919" spans="1:7" ht="63" x14ac:dyDescent="0.25">
      <c r="A919" s="470" t="s">
        <v>890</v>
      </c>
      <c r="B919" s="465" t="s">
        <v>491</v>
      </c>
      <c r="C919" s="465" t="s">
        <v>118</v>
      </c>
      <c r="D919" s="465" t="s">
        <v>888</v>
      </c>
      <c r="E919" s="474"/>
      <c r="F919" s="458">
        <f t="shared" si="93"/>
        <v>579.1</v>
      </c>
      <c r="G919" s="458">
        <f t="shared" si="93"/>
        <v>602.29999999999995</v>
      </c>
    </row>
    <row r="920" spans="1:7" ht="47.25" x14ac:dyDescent="0.25">
      <c r="A920" s="98" t="s">
        <v>780</v>
      </c>
      <c r="B920" s="462" t="s">
        <v>491</v>
      </c>
      <c r="C920" s="462" t="s">
        <v>118</v>
      </c>
      <c r="D920" s="462" t="s">
        <v>936</v>
      </c>
      <c r="E920" s="468"/>
      <c r="F920" s="459">
        <f t="shared" si="93"/>
        <v>579.1</v>
      </c>
      <c r="G920" s="459">
        <f t="shared" si="93"/>
        <v>602.29999999999995</v>
      </c>
    </row>
    <row r="921" spans="1:7" ht="47.25" x14ac:dyDescent="0.25">
      <c r="A921" s="29" t="s">
        <v>272</v>
      </c>
      <c r="B921" s="462" t="s">
        <v>491</v>
      </c>
      <c r="C921" s="462" t="s">
        <v>118</v>
      </c>
      <c r="D921" s="462" t="s">
        <v>936</v>
      </c>
      <c r="E921" s="468" t="s">
        <v>273</v>
      </c>
      <c r="F921" s="459">
        <f t="shared" si="93"/>
        <v>579.1</v>
      </c>
      <c r="G921" s="459">
        <f t="shared" si="93"/>
        <v>602.29999999999995</v>
      </c>
    </row>
    <row r="922" spans="1:7" ht="15.75" x14ac:dyDescent="0.25">
      <c r="A922" s="182" t="s">
        <v>274</v>
      </c>
      <c r="B922" s="462" t="s">
        <v>491</v>
      </c>
      <c r="C922" s="462" t="s">
        <v>118</v>
      </c>
      <c r="D922" s="462" t="s">
        <v>936</v>
      </c>
      <c r="E922" s="468" t="s">
        <v>275</v>
      </c>
      <c r="F922" s="459">
        <f>'пр.6.1.ведом.22-23 (2)'!G802</f>
        <v>579.1</v>
      </c>
      <c r="G922" s="459">
        <f>'пр.6.1.ведом.22-23 (2)'!H802</f>
        <v>602.29999999999995</v>
      </c>
    </row>
    <row r="923" spans="1:7" ht="31.5" x14ac:dyDescent="0.25">
      <c r="A923" s="464" t="s">
        <v>500</v>
      </c>
      <c r="B923" s="465" t="s">
        <v>491</v>
      </c>
      <c r="C923" s="465" t="s">
        <v>234</v>
      </c>
      <c r="D923" s="465"/>
      <c r="E923" s="465"/>
      <c r="F923" s="458">
        <f>F924+F932+F944</f>
        <v>13529.2</v>
      </c>
      <c r="G923" s="458">
        <f>G924+G932+G944</f>
        <v>13529.2</v>
      </c>
    </row>
    <row r="924" spans="1:7" ht="31.5" x14ac:dyDescent="0.25">
      <c r="A924" s="464" t="s">
        <v>917</v>
      </c>
      <c r="B924" s="465" t="s">
        <v>491</v>
      </c>
      <c r="C924" s="465" t="s">
        <v>234</v>
      </c>
      <c r="D924" s="465" t="s">
        <v>858</v>
      </c>
      <c r="E924" s="465"/>
      <c r="F924" s="458">
        <f>F925</f>
        <v>5224.5</v>
      </c>
      <c r="G924" s="458">
        <f>G925</f>
        <v>5224.5</v>
      </c>
    </row>
    <row r="925" spans="1:7" ht="15.75" x14ac:dyDescent="0.25">
      <c r="A925" s="464" t="s">
        <v>918</v>
      </c>
      <c r="B925" s="465" t="s">
        <v>491</v>
      </c>
      <c r="C925" s="465" t="s">
        <v>234</v>
      </c>
      <c r="D925" s="465" t="s">
        <v>859</v>
      </c>
      <c r="E925" s="465"/>
      <c r="F925" s="458">
        <f>F926+F929</f>
        <v>5224.5</v>
      </c>
      <c r="G925" s="458">
        <f>G926+G929</f>
        <v>5224.5</v>
      </c>
    </row>
    <row r="926" spans="1:7" ht="31.5" x14ac:dyDescent="0.25">
      <c r="A926" s="466" t="s">
        <v>897</v>
      </c>
      <c r="B926" s="462" t="s">
        <v>491</v>
      </c>
      <c r="C926" s="462" t="s">
        <v>234</v>
      </c>
      <c r="D926" s="462" t="s">
        <v>860</v>
      </c>
      <c r="E926" s="462"/>
      <c r="F926" s="459">
        <f>F927</f>
        <v>4888.5</v>
      </c>
      <c r="G926" s="459">
        <f>G927</f>
        <v>4888.5</v>
      </c>
    </row>
    <row r="927" spans="1:7" ht="94.5" x14ac:dyDescent="0.25">
      <c r="A927" s="466" t="s">
        <v>127</v>
      </c>
      <c r="B927" s="462" t="s">
        <v>491</v>
      </c>
      <c r="C927" s="462" t="s">
        <v>234</v>
      </c>
      <c r="D927" s="462" t="s">
        <v>860</v>
      </c>
      <c r="E927" s="462" t="s">
        <v>128</v>
      </c>
      <c r="F927" s="459">
        <f>F928</f>
        <v>4888.5</v>
      </c>
      <c r="G927" s="459">
        <f>G928</f>
        <v>4888.5</v>
      </c>
    </row>
    <row r="928" spans="1:7" ht="31.5" x14ac:dyDescent="0.25">
      <c r="A928" s="466" t="s">
        <v>129</v>
      </c>
      <c r="B928" s="462" t="s">
        <v>491</v>
      </c>
      <c r="C928" s="462" t="s">
        <v>234</v>
      </c>
      <c r="D928" s="462" t="s">
        <v>860</v>
      </c>
      <c r="E928" s="462" t="s">
        <v>130</v>
      </c>
      <c r="F928" s="459">
        <f>'пр.6.1.ведом.22-23 (2)'!G808</f>
        <v>4888.5</v>
      </c>
      <c r="G928" s="459">
        <f>'пр.6.1.ведом.22-23 (2)'!H808</f>
        <v>4888.5</v>
      </c>
    </row>
    <row r="929" spans="1:7" ht="47.25" x14ac:dyDescent="0.25">
      <c r="A929" s="466" t="s">
        <v>839</v>
      </c>
      <c r="B929" s="462" t="s">
        <v>491</v>
      </c>
      <c r="C929" s="462" t="s">
        <v>234</v>
      </c>
      <c r="D929" s="462" t="s">
        <v>862</v>
      </c>
      <c r="E929" s="462"/>
      <c r="F929" s="459">
        <f>F930</f>
        <v>336</v>
      </c>
      <c r="G929" s="459">
        <f>G930</f>
        <v>336</v>
      </c>
    </row>
    <row r="930" spans="1:7" ht="94.5" x14ac:dyDescent="0.25">
      <c r="A930" s="466" t="s">
        <v>127</v>
      </c>
      <c r="B930" s="462" t="s">
        <v>491</v>
      </c>
      <c r="C930" s="462" t="s">
        <v>234</v>
      </c>
      <c r="D930" s="462" t="s">
        <v>862</v>
      </c>
      <c r="E930" s="462" t="s">
        <v>128</v>
      </c>
      <c r="F930" s="459">
        <f>F931</f>
        <v>336</v>
      </c>
      <c r="G930" s="459">
        <f>G931</f>
        <v>336</v>
      </c>
    </row>
    <row r="931" spans="1:7" ht="31.5" x14ac:dyDescent="0.25">
      <c r="A931" s="466" t="s">
        <v>129</v>
      </c>
      <c r="B931" s="462" t="s">
        <v>491</v>
      </c>
      <c r="C931" s="462" t="s">
        <v>234</v>
      </c>
      <c r="D931" s="462" t="s">
        <v>862</v>
      </c>
      <c r="E931" s="462" t="s">
        <v>130</v>
      </c>
      <c r="F931" s="459">
        <f>'пр.6.1.ведом.22-23 (2)'!G811</f>
        <v>336</v>
      </c>
      <c r="G931" s="459">
        <f>'пр.6.1.ведом.22-23 (2)'!H811</f>
        <v>336</v>
      </c>
    </row>
    <row r="932" spans="1:7" ht="15.75" x14ac:dyDescent="0.25">
      <c r="A932" s="464" t="s">
        <v>141</v>
      </c>
      <c r="B932" s="465" t="s">
        <v>491</v>
      </c>
      <c r="C932" s="465" t="s">
        <v>234</v>
      </c>
      <c r="D932" s="465" t="s">
        <v>866</v>
      </c>
      <c r="E932" s="465"/>
      <c r="F932" s="458">
        <f>F933</f>
        <v>5304.7</v>
      </c>
      <c r="G932" s="458">
        <f>G933</f>
        <v>5304.7</v>
      </c>
    </row>
    <row r="933" spans="1:7" ht="32.65" customHeight="1" x14ac:dyDescent="0.25">
      <c r="A933" s="464" t="s">
        <v>929</v>
      </c>
      <c r="B933" s="465" t="s">
        <v>491</v>
      </c>
      <c r="C933" s="465" t="s">
        <v>234</v>
      </c>
      <c r="D933" s="465" t="s">
        <v>914</v>
      </c>
      <c r="E933" s="465"/>
      <c r="F933" s="458">
        <f>F934+F941</f>
        <v>5304.7</v>
      </c>
      <c r="G933" s="458">
        <f>G934+G941</f>
        <v>5304.7</v>
      </c>
    </row>
    <row r="934" spans="1:7" ht="31.5" x14ac:dyDescent="0.25">
      <c r="A934" s="466" t="s">
        <v>903</v>
      </c>
      <c r="B934" s="462" t="s">
        <v>491</v>
      </c>
      <c r="C934" s="462" t="s">
        <v>234</v>
      </c>
      <c r="D934" s="462" t="s">
        <v>915</v>
      </c>
      <c r="E934" s="462"/>
      <c r="F934" s="459">
        <f>F937+F939+F935</f>
        <v>5089.7</v>
      </c>
      <c r="G934" s="459">
        <f>G937+G939+G935</f>
        <v>5089.7</v>
      </c>
    </row>
    <row r="935" spans="1:7" ht="94.5" x14ac:dyDescent="0.25">
      <c r="A935" s="466" t="s">
        <v>127</v>
      </c>
      <c r="B935" s="462" t="s">
        <v>491</v>
      </c>
      <c r="C935" s="462" t="s">
        <v>234</v>
      </c>
      <c r="D935" s="462" t="s">
        <v>915</v>
      </c>
      <c r="E935" s="462" t="s">
        <v>128</v>
      </c>
      <c r="F935" s="459">
        <f>F936</f>
        <v>4695.3999999999996</v>
      </c>
      <c r="G935" s="459">
        <f>G936</f>
        <v>4695.3999999999996</v>
      </c>
    </row>
    <row r="936" spans="1:7" ht="31.5" x14ac:dyDescent="0.25">
      <c r="A936" s="466" t="s">
        <v>342</v>
      </c>
      <c r="B936" s="462" t="s">
        <v>491</v>
      </c>
      <c r="C936" s="462" t="s">
        <v>234</v>
      </c>
      <c r="D936" s="462" t="s">
        <v>915</v>
      </c>
      <c r="E936" s="462" t="s">
        <v>209</v>
      </c>
      <c r="F936" s="459">
        <f>'пр.6.1.ведом.22-23 (2)'!G816</f>
        <v>4695.3999999999996</v>
      </c>
      <c r="G936" s="459">
        <f>'пр.6.1.ведом.22-23 (2)'!H816</f>
        <v>4695.3999999999996</v>
      </c>
    </row>
    <row r="937" spans="1:7" ht="31.5" x14ac:dyDescent="0.25">
      <c r="A937" s="466" t="s">
        <v>131</v>
      </c>
      <c r="B937" s="462" t="s">
        <v>491</v>
      </c>
      <c r="C937" s="462" t="s">
        <v>234</v>
      </c>
      <c r="D937" s="462" t="s">
        <v>915</v>
      </c>
      <c r="E937" s="462" t="s">
        <v>132</v>
      </c>
      <c r="F937" s="459">
        <f>F938</f>
        <v>343.3</v>
      </c>
      <c r="G937" s="459">
        <f>G938</f>
        <v>343.3</v>
      </c>
    </row>
    <row r="938" spans="1:7" ht="47.25" x14ac:dyDescent="0.25">
      <c r="A938" s="466" t="s">
        <v>133</v>
      </c>
      <c r="B938" s="462" t="s">
        <v>491</v>
      </c>
      <c r="C938" s="462" t="s">
        <v>234</v>
      </c>
      <c r="D938" s="462" t="s">
        <v>915</v>
      </c>
      <c r="E938" s="462" t="s">
        <v>134</v>
      </c>
      <c r="F938" s="459">
        <f>'пр.6.1.ведом.22-23 (2)'!G818</f>
        <v>343.3</v>
      </c>
      <c r="G938" s="459">
        <f>'пр.6.1.ведом.22-23 (2)'!H818</f>
        <v>343.3</v>
      </c>
    </row>
    <row r="939" spans="1:7" ht="15.75" x14ac:dyDescent="0.25">
      <c r="A939" s="466" t="s">
        <v>135</v>
      </c>
      <c r="B939" s="462" t="s">
        <v>491</v>
      </c>
      <c r="C939" s="462" t="s">
        <v>234</v>
      </c>
      <c r="D939" s="462" t="s">
        <v>915</v>
      </c>
      <c r="E939" s="462" t="s">
        <v>145</v>
      </c>
      <c r="F939" s="459">
        <f>F940</f>
        <v>51</v>
      </c>
      <c r="G939" s="459">
        <f>G940</f>
        <v>51</v>
      </c>
    </row>
    <row r="940" spans="1:7" ht="15.75" x14ac:dyDescent="0.25">
      <c r="A940" s="466" t="s">
        <v>568</v>
      </c>
      <c r="B940" s="462" t="s">
        <v>491</v>
      </c>
      <c r="C940" s="462" t="s">
        <v>234</v>
      </c>
      <c r="D940" s="462" t="s">
        <v>915</v>
      </c>
      <c r="E940" s="462" t="s">
        <v>138</v>
      </c>
      <c r="F940" s="459">
        <f>'пр.6.1.ведом.22-23 (2)'!G820</f>
        <v>51</v>
      </c>
      <c r="G940" s="459">
        <f>'пр.6.1.ведом.22-23 (2)'!H820</f>
        <v>51</v>
      </c>
    </row>
    <row r="941" spans="1:7" ht="47.25" x14ac:dyDescent="0.25">
      <c r="A941" s="466" t="s">
        <v>839</v>
      </c>
      <c r="B941" s="462" t="s">
        <v>491</v>
      </c>
      <c r="C941" s="462" t="s">
        <v>234</v>
      </c>
      <c r="D941" s="462" t="s">
        <v>916</v>
      </c>
      <c r="E941" s="462"/>
      <c r="F941" s="459">
        <f>F942</f>
        <v>215</v>
      </c>
      <c r="G941" s="459">
        <f>G942</f>
        <v>215</v>
      </c>
    </row>
    <row r="942" spans="1:7" ht="94.5" x14ac:dyDescent="0.25">
      <c r="A942" s="466" t="s">
        <v>127</v>
      </c>
      <c r="B942" s="462" t="s">
        <v>491</v>
      </c>
      <c r="C942" s="462" t="s">
        <v>234</v>
      </c>
      <c r="D942" s="462" t="s">
        <v>916</v>
      </c>
      <c r="E942" s="462" t="s">
        <v>128</v>
      </c>
      <c r="F942" s="459">
        <f>F943</f>
        <v>215</v>
      </c>
      <c r="G942" s="459">
        <f>G943</f>
        <v>215</v>
      </c>
    </row>
    <row r="943" spans="1:7" ht="31.5" x14ac:dyDescent="0.25">
      <c r="A943" s="466" t="s">
        <v>129</v>
      </c>
      <c r="B943" s="462" t="s">
        <v>491</v>
      </c>
      <c r="C943" s="462" t="s">
        <v>234</v>
      </c>
      <c r="D943" s="462" t="s">
        <v>916</v>
      </c>
      <c r="E943" s="462" t="s">
        <v>130</v>
      </c>
      <c r="F943" s="459">
        <f>'пр.6.1.ведом.22-23 (2)'!G823</f>
        <v>215</v>
      </c>
      <c r="G943" s="459">
        <f>'пр.6.1.ведом.22-23 (2)'!H823</f>
        <v>215</v>
      </c>
    </row>
    <row r="944" spans="1:7" ht="47.25" x14ac:dyDescent="0.25">
      <c r="A944" s="470" t="s">
        <v>1380</v>
      </c>
      <c r="B944" s="465" t="s">
        <v>491</v>
      </c>
      <c r="C944" s="465" t="s">
        <v>234</v>
      </c>
      <c r="D944" s="7" t="s">
        <v>482</v>
      </c>
      <c r="E944" s="465"/>
      <c r="F944" s="458">
        <f>F945</f>
        <v>3000</v>
      </c>
      <c r="G944" s="458">
        <f>G945</f>
        <v>3000</v>
      </c>
    </row>
    <row r="945" spans="1:7" ht="31.5" x14ac:dyDescent="0.25">
      <c r="A945" s="58" t="s">
        <v>951</v>
      </c>
      <c r="B945" s="465" t="s">
        <v>491</v>
      </c>
      <c r="C945" s="465" t="s">
        <v>234</v>
      </c>
      <c r="D945" s="7" t="s">
        <v>1276</v>
      </c>
      <c r="E945" s="465"/>
      <c r="F945" s="458">
        <f t="shared" ref="F945:G945" si="94">F946</f>
        <v>3000</v>
      </c>
      <c r="G945" s="458">
        <f t="shared" si="94"/>
        <v>3000</v>
      </c>
    </row>
    <row r="946" spans="1:7" ht="31.5" x14ac:dyDescent="0.25">
      <c r="A946" s="29" t="s">
        <v>952</v>
      </c>
      <c r="B946" s="462" t="s">
        <v>491</v>
      </c>
      <c r="C946" s="462" t="s">
        <v>234</v>
      </c>
      <c r="D946" s="469" t="s">
        <v>1277</v>
      </c>
      <c r="E946" s="462"/>
      <c r="F946" s="459">
        <f>F947+F949</f>
        <v>3000</v>
      </c>
      <c r="G946" s="459">
        <f>G947+G949</f>
        <v>3000</v>
      </c>
    </row>
    <row r="947" spans="1:7" ht="94.5" x14ac:dyDescent="0.25">
      <c r="A947" s="466" t="s">
        <v>127</v>
      </c>
      <c r="B947" s="462" t="s">
        <v>491</v>
      </c>
      <c r="C947" s="462" t="s">
        <v>234</v>
      </c>
      <c r="D947" s="469" t="s">
        <v>1277</v>
      </c>
      <c r="E947" s="462" t="s">
        <v>128</v>
      </c>
      <c r="F947" s="459">
        <f>F948</f>
        <v>2500</v>
      </c>
      <c r="G947" s="459">
        <f>G948</f>
        <v>2500</v>
      </c>
    </row>
    <row r="948" spans="1:7" ht="31.5" x14ac:dyDescent="0.25">
      <c r="A948" s="466" t="s">
        <v>342</v>
      </c>
      <c r="B948" s="462" t="s">
        <v>491</v>
      </c>
      <c r="C948" s="462" t="s">
        <v>234</v>
      </c>
      <c r="D948" s="469" t="s">
        <v>1277</v>
      </c>
      <c r="E948" s="462" t="s">
        <v>209</v>
      </c>
      <c r="F948" s="459">
        <f>'пр.6.1.ведом.22-23 (2)'!G828</f>
        <v>2500</v>
      </c>
      <c r="G948" s="459">
        <f>'пр.6.1.ведом.22-23 (2)'!H828</f>
        <v>2500</v>
      </c>
    </row>
    <row r="949" spans="1:7" ht="31.5" x14ac:dyDescent="0.25">
      <c r="A949" s="29" t="s">
        <v>131</v>
      </c>
      <c r="B949" s="462" t="s">
        <v>491</v>
      </c>
      <c r="C949" s="462" t="s">
        <v>234</v>
      </c>
      <c r="D949" s="469" t="s">
        <v>1277</v>
      </c>
      <c r="E949" s="462" t="s">
        <v>132</v>
      </c>
      <c r="F949" s="459">
        <f>F950</f>
        <v>500</v>
      </c>
      <c r="G949" s="459">
        <f>G950</f>
        <v>500</v>
      </c>
    </row>
    <row r="950" spans="1:7" ht="47.25" x14ac:dyDescent="0.25">
      <c r="A950" s="29" t="s">
        <v>133</v>
      </c>
      <c r="B950" s="462" t="s">
        <v>491</v>
      </c>
      <c r="C950" s="462" t="s">
        <v>234</v>
      </c>
      <c r="D950" s="469" t="s">
        <v>1277</v>
      </c>
      <c r="E950" s="462" t="s">
        <v>134</v>
      </c>
      <c r="F950" s="459">
        <f>'пр.6.1.ведом.22-23 (2)'!G830</f>
        <v>500</v>
      </c>
      <c r="G950" s="459">
        <f>'пр.6.1.ведом.22-23 (2)'!H830</f>
        <v>500</v>
      </c>
    </row>
    <row r="951" spans="1:7" ht="15.75" x14ac:dyDescent="0.25">
      <c r="A951" s="470" t="s">
        <v>582</v>
      </c>
      <c r="B951" s="7" t="s">
        <v>238</v>
      </c>
      <c r="C951" s="469"/>
      <c r="D951" s="469"/>
      <c r="E951" s="469"/>
      <c r="F951" s="458">
        <f t="shared" ref="F951:G951" si="95">F952</f>
        <v>5873.2</v>
      </c>
      <c r="G951" s="458">
        <f t="shared" si="95"/>
        <v>5876.2</v>
      </c>
    </row>
    <row r="952" spans="1:7" ht="15.75" x14ac:dyDescent="0.25">
      <c r="A952" s="470" t="s">
        <v>583</v>
      </c>
      <c r="B952" s="7" t="s">
        <v>238</v>
      </c>
      <c r="C952" s="7" t="s">
        <v>213</v>
      </c>
      <c r="D952" s="7"/>
      <c r="E952" s="7"/>
      <c r="F952" s="458">
        <f>F953+F965</f>
        <v>5873.2</v>
      </c>
      <c r="G952" s="458">
        <f>G953+G965</f>
        <v>5876.2</v>
      </c>
    </row>
    <row r="953" spans="1:7" ht="47.25" x14ac:dyDescent="0.25">
      <c r="A953" s="464" t="s">
        <v>1362</v>
      </c>
      <c r="B953" s="465" t="s">
        <v>238</v>
      </c>
      <c r="C953" s="465" t="s">
        <v>213</v>
      </c>
      <c r="D953" s="465" t="s">
        <v>267</v>
      </c>
      <c r="E953" s="465"/>
      <c r="F953" s="458">
        <f>F954</f>
        <v>5798.3</v>
      </c>
      <c r="G953" s="458">
        <f>G954</f>
        <v>5798.3</v>
      </c>
    </row>
    <row r="954" spans="1:7" ht="47.25" x14ac:dyDescent="0.25">
      <c r="A954" s="464" t="s">
        <v>1305</v>
      </c>
      <c r="B954" s="465" t="s">
        <v>238</v>
      </c>
      <c r="C954" s="465" t="s">
        <v>213</v>
      </c>
      <c r="D954" s="465" t="s">
        <v>1208</v>
      </c>
      <c r="E954" s="465"/>
      <c r="F954" s="458">
        <f>F955+F962</f>
        <v>5798.3</v>
      </c>
      <c r="G954" s="458">
        <f>G955+G962</f>
        <v>5798.3</v>
      </c>
    </row>
    <row r="955" spans="1:7" ht="31.5" x14ac:dyDescent="0.25">
      <c r="A955" s="466" t="s">
        <v>801</v>
      </c>
      <c r="B955" s="462" t="s">
        <v>238</v>
      </c>
      <c r="C955" s="462" t="s">
        <v>213</v>
      </c>
      <c r="D955" s="462" t="s">
        <v>1209</v>
      </c>
      <c r="E955" s="462"/>
      <c r="F955" s="459">
        <f>F956+F958+F960</f>
        <v>5522.3</v>
      </c>
      <c r="G955" s="459">
        <f>G956+G958+G960</f>
        <v>5522.3</v>
      </c>
    </row>
    <row r="956" spans="1:7" ht="94.5" x14ac:dyDescent="0.25">
      <c r="A956" s="466" t="s">
        <v>127</v>
      </c>
      <c r="B956" s="462" t="s">
        <v>238</v>
      </c>
      <c r="C956" s="462" t="s">
        <v>213</v>
      </c>
      <c r="D956" s="462" t="s">
        <v>1209</v>
      </c>
      <c r="E956" s="462" t="s">
        <v>128</v>
      </c>
      <c r="F956" s="459">
        <f>F957</f>
        <v>4897.2</v>
      </c>
      <c r="G956" s="459">
        <f>G957</f>
        <v>4897.2</v>
      </c>
    </row>
    <row r="957" spans="1:7" ht="31.5" x14ac:dyDescent="0.25">
      <c r="A957" s="466" t="s">
        <v>208</v>
      </c>
      <c r="B957" s="462" t="s">
        <v>238</v>
      </c>
      <c r="C957" s="462" t="s">
        <v>213</v>
      </c>
      <c r="D957" s="462" t="s">
        <v>1209</v>
      </c>
      <c r="E957" s="462" t="s">
        <v>209</v>
      </c>
      <c r="F957" s="459">
        <f>'пр.6.1.ведом.22-23 (2)'!G474</f>
        <v>4897.2</v>
      </c>
      <c r="G957" s="459">
        <f>'пр.6.1.ведом.22-23 (2)'!H474</f>
        <v>4897.2</v>
      </c>
    </row>
    <row r="958" spans="1:7" ht="31.5" x14ac:dyDescent="0.25">
      <c r="A958" s="466" t="s">
        <v>131</v>
      </c>
      <c r="B958" s="462" t="s">
        <v>238</v>
      </c>
      <c r="C958" s="462" t="s">
        <v>213</v>
      </c>
      <c r="D958" s="462" t="s">
        <v>1209</v>
      </c>
      <c r="E958" s="462" t="s">
        <v>132</v>
      </c>
      <c r="F958" s="459">
        <f>F959</f>
        <v>595.1</v>
      </c>
      <c r="G958" s="459">
        <f>G959</f>
        <v>595.1</v>
      </c>
    </row>
    <row r="959" spans="1:7" ht="47.25" x14ac:dyDescent="0.25">
      <c r="A959" s="466" t="s">
        <v>133</v>
      </c>
      <c r="B959" s="462" t="s">
        <v>238</v>
      </c>
      <c r="C959" s="462" t="s">
        <v>213</v>
      </c>
      <c r="D959" s="462" t="s">
        <v>1209</v>
      </c>
      <c r="E959" s="462" t="s">
        <v>134</v>
      </c>
      <c r="F959" s="459">
        <f>'пр.6.1.ведом.22-23 (2)'!G476</f>
        <v>595.1</v>
      </c>
      <c r="G959" s="459">
        <f>'пр.6.1.ведом.22-23 (2)'!H476</f>
        <v>595.1</v>
      </c>
    </row>
    <row r="960" spans="1:7" ht="15.75" x14ac:dyDescent="0.25">
      <c r="A960" s="466" t="s">
        <v>135</v>
      </c>
      <c r="B960" s="462" t="s">
        <v>238</v>
      </c>
      <c r="C960" s="462" t="s">
        <v>213</v>
      </c>
      <c r="D960" s="462" t="s">
        <v>1209</v>
      </c>
      <c r="E960" s="462" t="s">
        <v>145</v>
      </c>
      <c r="F960" s="459">
        <f>F961</f>
        <v>30</v>
      </c>
      <c r="G960" s="459">
        <f>G961</f>
        <v>30</v>
      </c>
    </row>
    <row r="961" spans="1:7" ht="24.75" customHeight="1" x14ac:dyDescent="0.25">
      <c r="A961" s="466" t="s">
        <v>568</v>
      </c>
      <c r="B961" s="462" t="s">
        <v>238</v>
      </c>
      <c r="C961" s="462" t="s">
        <v>213</v>
      </c>
      <c r="D961" s="462" t="s">
        <v>1209</v>
      </c>
      <c r="E961" s="462" t="s">
        <v>138</v>
      </c>
      <c r="F961" s="459">
        <f>'пр.6.1.ведом.22-23 (2)'!G478</f>
        <v>30</v>
      </c>
      <c r="G961" s="459">
        <f>'пр.6.1.ведом.22-23 (2)'!H478</f>
        <v>30</v>
      </c>
    </row>
    <row r="962" spans="1:7" ht="47.25" x14ac:dyDescent="0.25">
      <c r="A962" s="466" t="s">
        <v>839</v>
      </c>
      <c r="B962" s="462" t="s">
        <v>238</v>
      </c>
      <c r="C962" s="462" t="s">
        <v>213</v>
      </c>
      <c r="D962" s="462" t="s">
        <v>1318</v>
      </c>
      <c r="E962" s="462"/>
      <c r="F962" s="459">
        <f>F963</f>
        <v>276</v>
      </c>
      <c r="G962" s="459">
        <f>G963</f>
        <v>276</v>
      </c>
    </row>
    <row r="963" spans="1:7" ht="94.5" x14ac:dyDescent="0.25">
      <c r="A963" s="466" t="s">
        <v>127</v>
      </c>
      <c r="B963" s="462" t="s">
        <v>238</v>
      </c>
      <c r="C963" s="462" t="s">
        <v>213</v>
      </c>
      <c r="D963" s="462" t="s">
        <v>1318</v>
      </c>
      <c r="E963" s="462" t="s">
        <v>128</v>
      </c>
      <c r="F963" s="459">
        <f>F964</f>
        <v>276</v>
      </c>
      <c r="G963" s="459">
        <f>G964</f>
        <v>276</v>
      </c>
    </row>
    <row r="964" spans="1:7" ht="31.5" x14ac:dyDescent="0.25">
      <c r="A964" s="466" t="s">
        <v>129</v>
      </c>
      <c r="B964" s="462" t="s">
        <v>238</v>
      </c>
      <c r="C964" s="462" t="s">
        <v>213</v>
      </c>
      <c r="D964" s="462" t="s">
        <v>1318</v>
      </c>
      <c r="E964" s="462" t="s">
        <v>209</v>
      </c>
      <c r="F964" s="459">
        <f>'пр.6.1.ведом.22-23 (2)'!G482</f>
        <v>276</v>
      </c>
      <c r="G964" s="459">
        <f>'пр.6.1.ведом.22-23 (2)'!H482</f>
        <v>276</v>
      </c>
    </row>
    <row r="965" spans="1:7" ht="63" x14ac:dyDescent="0.25">
      <c r="A965" s="470" t="s">
        <v>1363</v>
      </c>
      <c r="B965" s="465" t="s">
        <v>238</v>
      </c>
      <c r="C965" s="465" t="s">
        <v>213</v>
      </c>
      <c r="D965" s="465" t="s">
        <v>705</v>
      </c>
      <c r="E965" s="474"/>
      <c r="F965" s="458">
        <f t="shared" ref="F965:G968" si="96">F966</f>
        <v>74.900000000000006</v>
      </c>
      <c r="G965" s="458">
        <f t="shared" si="96"/>
        <v>77.900000000000006</v>
      </c>
    </row>
    <row r="966" spans="1:7" ht="53.1" customHeight="1" x14ac:dyDescent="0.25">
      <c r="A966" s="470" t="s">
        <v>890</v>
      </c>
      <c r="B966" s="465" t="s">
        <v>238</v>
      </c>
      <c r="C966" s="465" t="s">
        <v>213</v>
      </c>
      <c r="D966" s="465" t="s">
        <v>888</v>
      </c>
      <c r="E966" s="474"/>
      <c r="F966" s="458">
        <f t="shared" si="96"/>
        <v>74.900000000000006</v>
      </c>
      <c r="G966" s="458">
        <f t="shared" si="96"/>
        <v>77.900000000000006</v>
      </c>
    </row>
    <row r="967" spans="1:7" ht="47.25" x14ac:dyDescent="0.25">
      <c r="A967" s="98" t="s">
        <v>1004</v>
      </c>
      <c r="B967" s="462" t="s">
        <v>238</v>
      </c>
      <c r="C967" s="462" t="s">
        <v>213</v>
      </c>
      <c r="D967" s="462" t="s">
        <v>889</v>
      </c>
      <c r="E967" s="468"/>
      <c r="F967" s="459">
        <f t="shared" si="96"/>
        <v>74.900000000000006</v>
      </c>
      <c r="G967" s="459">
        <f t="shared" si="96"/>
        <v>77.900000000000006</v>
      </c>
    </row>
    <row r="968" spans="1:7" ht="31.5" x14ac:dyDescent="0.25">
      <c r="A968" s="466" t="s">
        <v>131</v>
      </c>
      <c r="B968" s="462" t="s">
        <v>238</v>
      </c>
      <c r="C968" s="462" t="s">
        <v>213</v>
      </c>
      <c r="D968" s="462" t="s">
        <v>889</v>
      </c>
      <c r="E968" s="468" t="s">
        <v>132</v>
      </c>
      <c r="F968" s="459">
        <f t="shared" si="96"/>
        <v>74.900000000000006</v>
      </c>
      <c r="G968" s="459">
        <f t="shared" si="96"/>
        <v>77.900000000000006</v>
      </c>
    </row>
    <row r="969" spans="1:7" ht="47.25" x14ac:dyDescent="0.25">
      <c r="A969" s="466" t="s">
        <v>133</v>
      </c>
      <c r="B969" s="462" t="s">
        <v>238</v>
      </c>
      <c r="C969" s="462" t="s">
        <v>213</v>
      </c>
      <c r="D969" s="462" t="s">
        <v>889</v>
      </c>
      <c r="E969" s="468" t="s">
        <v>134</v>
      </c>
      <c r="F969" s="459">
        <f>'пр.6.1.ведом.22-23 (2)'!G487</f>
        <v>74.900000000000006</v>
      </c>
      <c r="G969" s="459">
        <f>'пр.6.1.ведом.22-23 (2)'!H487</f>
        <v>77.900000000000006</v>
      </c>
    </row>
    <row r="970" spans="1:7" ht="15.75" x14ac:dyDescent="0.25">
      <c r="A970" s="61" t="s">
        <v>587</v>
      </c>
      <c r="B970" s="7"/>
      <c r="C970" s="7"/>
      <c r="D970" s="7"/>
      <c r="E970" s="7"/>
      <c r="F970" s="382">
        <f>F9+F230+F249+F314+F478+F741+F885+F951+F829+F8</f>
        <v>736280.60250000004</v>
      </c>
      <c r="G970" s="382">
        <f>G9+G230+G249+G314+G478+G741+G885+G951+G829+G8</f>
        <v>777267.39999999991</v>
      </c>
    </row>
    <row r="971" spans="1:7" ht="15.75" x14ac:dyDescent="0.25">
      <c r="F971" s="458">
        <f>'пр.6.1.ведом.22-23 (2)'!G1094</f>
        <v>736280.59999999986</v>
      </c>
      <c r="G971" s="458">
        <f>'пр.6.1.ведом.22-23 (2)'!H1094</f>
        <v>777267.39999999991</v>
      </c>
    </row>
    <row r="972" spans="1:7" ht="15.75" x14ac:dyDescent="0.25">
      <c r="F972" s="458">
        <f>F971-F970</f>
        <v>-2.5000001769512892E-3</v>
      </c>
      <c r="G972" s="458">
        <f>G971-G970</f>
        <v>0</v>
      </c>
    </row>
  </sheetData>
  <autoFilter ref="A7:G972"/>
  <mergeCells count="4">
    <mergeCell ref="F1:G1"/>
    <mergeCell ref="F2:G2"/>
    <mergeCell ref="F3:G3"/>
    <mergeCell ref="A5:G5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18</vt:i4>
      </vt:variant>
    </vt:vector>
  </HeadingPairs>
  <TitlesOfParts>
    <vt:vector size="41" baseType="lpstr">
      <vt:lpstr>пр.1дох.21</vt:lpstr>
      <vt:lpstr>Пр.1.1. дох.22-23</vt:lpstr>
      <vt:lpstr>Пр.1.1. дох.22-23 (2)</vt:lpstr>
      <vt:lpstr>пр.2 Рд,пр 21</vt:lpstr>
      <vt:lpstr>пр.2.1. рдпр 22-23</vt:lpstr>
      <vt:lpstr>Пр.3 Рд,пр, ЦС,ВР 21</vt:lpstr>
      <vt:lpstr>пр.4.1. рдпр 22-23 (2)</vt:lpstr>
      <vt:lpstr>пр.3.1.рдпрцс 22-23</vt:lpstr>
      <vt:lpstr>пр.5.1.рдпрцс 22-23 (2)</vt:lpstr>
      <vt:lpstr>Пр.4 ведом.21</vt:lpstr>
      <vt:lpstr>Прил.№5 ведомств.старая</vt:lpstr>
      <vt:lpstr>пр.4.1.ведом.22-23</vt:lpstr>
      <vt:lpstr>пр.6.1.ведом.22-23 (2)</vt:lpstr>
      <vt:lpstr>пр.5 МП 21</vt:lpstr>
      <vt:lpstr>прил.№6 МП старая</vt:lpstr>
      <vt:lpstr>пр.5.1.МП 22-23</vt:lpstr>
      <vt:lpstr>пр.6 публ. 21</vt:lpstr>
      <vt:lpstr>пр.6.1.публ.22-23</vt:lpstr>
      <vt:lpstr>пр.7.1.МП 22-23 (2)</vt:lpstr>
      <vt:lpstr>пр.7 ист-ки 21</vt:lpstr>
      <vt:lpstr>пр.8.1.ист-ки 22-23  (2)</vt:lpstr>
      <vt:lpstr>пр.8.1.ист-ки 22-23 </vt:lpstr>
      <vt:lpstr>Лист1</vt:lpstr>
      <vt:lpstr>Лист1!Область_печати</vt:lpstr>
      <vt:lpstr>'Пр.1.1. дох.22-23'!Область_печати</vt:lpstr>
      <vt:lpstr>'Пр.1.1. дох.22-23 (2)'!Область_печати</vt:lpstr>
      <vt:lpstr>пр.1дох.21!Область_печати</vt:lpstr>
      <vt:lpstr>'пр.2 Рд,пр 21'!Область_печати</vt:lpstr>
      <vt:lpstr>'пр.2.1. рдпр 22-23'!Область_печати</vt:lpstr>
      <vt:lpstr>'Пр.3 Рд,пр, ЦС,ВР 21'!Область_печати</vt:lpstr>
      <vt:lpstr>'пр.3.1.рдпрцс 22-23'!Область_печати</vt:lpstr>
      <vt:lpstr>'Пр.4 ведом.21'!Область_печати</vt:lpstr>
      <vt:lpstr>'пр.4.1.ведом.22-23'!Область_печати</vt:lpstr>
      <vt:lpstr>'пр.5 МП 21'!Область_печати</vt:lpstr>
      <vt:lpstr>'пр.5.1.МП 22-23'!Область_печати</vt:lpstr>
      <vt:lpstr>'пр.5.1.рдпрцс 22-23 (2)'!Область_печати</vt:lpstr>
      <vt:lpstr>'пр.6.1.ведом.22-23 (2)'!Область_печати</vt:lpstr>
      <vt:lpstr>'пр.7 ист-ки 21'!Область_печати</vt:lpstr>
      <vt:lpstr>'пр.7.1.МП 22-23 (2)'!Область_печати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2022-01-04T06:46:38Z</dcterms:modified>
</cp:coreProperties>
</file>