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3" activeTab="1"/>
  </bookViews>
  <sheets>
    <sheet name="НовРай 2019" sheetId="1" r:id="rId1"/>
    <sheet name="гор. вода 2019" sheetId="2" r:id="rId2"/>
  </sheets>
  <definedNames>
    <definedName name="_xlnm.Print_Area" localSheetId="1">'гор. вода 2019'!$A$1:$S$160</definedName>
    <definedName name="_xlnm.Print_Area" localSheetId="0">'НовРай 2019'!$A$1:$R$160</definedName>
  </definedNames>
  <calcPr fullCalcOnLoad="1"/>
</workbook>
</file>

<file path=xl/sharedStrings.xml><?xml version="1.0" encoding="utf-8"?>
<sst xmlns="http://schemas.openxmlformats.org/spreadsheetml/2006/main" count="624" uniqueCount="113">
  <si>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</si>
  <si>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</si>
  <si>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</si>
  <si>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</si>
  <si>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</si>
  <si>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</si>
  <si>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</si>
  <si>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</si>
  <si>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</si>
  <si>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</si>
  <si>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</si>
  <si>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</si>
  <si>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</si>
  <si>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</si>
  <si>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</si>
  <si>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</si>
  <si>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</si>
  <si>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</si>
  <si>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</si>
  <si>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</si>
  <si>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</si>
  <si>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</si>
  <si>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</si>
  <si>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</si>
  <si>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</si>
  <si>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</si>
  <si>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</si>
  <si>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</si>
  <si>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</si>
  <si>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</si>
  <si>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</si>
  <si>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</si>
  <si>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</si>
  <si>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</si>
  <si>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</si>
  <si>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</si>
  <si>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</si>
  <si>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</si>
  <si>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</si>
  <si>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</si>
  <si>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</si>
  <si>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</si>
  <si>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</si>
  <si>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</si>
  <si>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</si>
  <si>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</si>
  <si>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</si>
  <si>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</si>
  <si>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</si>
  <si>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</si>
  <si>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</si>
  <si>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</si>
  <si>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</si>
  <si>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</si>
  <si>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</si>
  <si>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</si>
  <si>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</si>
  <si>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</si>
  <si>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</si>
  <si>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</si>
  <si>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</si>
  <si>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</si>
  <si>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>администрации городского округа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</si>
  <si>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</si>
  <si>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</si>
  <si>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</si>
  <si>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</si>
  <si>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</si>
  <si>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</si>
  <si>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</si>
  <si>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</si>
  <si>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</si>
  <si>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Управление образования всего:</t>
  </si>
  <si>
    <t>гкал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</si>
  <si>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</si>
  <si>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</si>
  <si>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</si>
  <si>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</si>
  <si>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</si>
  <si>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</si>
  <si>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</si>
  <si>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 xml:space="preserve">Приложение 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</si>
  <si>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</si>
  <si>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</si>
  <si>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</si>
  <si>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</si>
  <si>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</si>
  <si>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</si>
  <si>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</si>
  <si>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>ДЭС, котельная Омсукчан</t>
  </si>
  <si>
    <t>Административное здание п. Омсукчан</t>
  </si>
  <si>
    <t>Административное здание п. Дукат</t>
  </si>
  <si>
    <t>Административное здание ул. Мира д. 10</t>
  </si>
  <si>
    <t>Потери</t>
  </si>
  <si>
    <t>Лимиты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2019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</si>
  <si>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2019 году</t>
  </si>
  <si>
    <t xml:space="preserve"> с 01.01.2019г.  по 30.06.2019г. 1 Гкал -5254,91 рублей; с 01.07.2019г. по 31.12.2019 г. п.Омсукчан, Дукат 1 Гкал -5381,57 рублей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</si>
  <si>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2019 году</t>
  </si>
  <si>
    <t>с 01.01.2019г. по 30.06.2019г. 1 Кв/ч п. Омсукчан, Дукат -5,496 руб., с 01.07.2019 г. по 31.12.2019 г. 1 Кв/ч Омсукчан, Дукат - 5,76 руб.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</si>
  <si>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2019 году</t>
  </si>
  <si>
    <t xml:space="preserve"> с 01.01.2019 г.  по 30.06.2019 г. п. Омсукчан -30,67 руб.,  п. Дукат -41,63 руб. ; с 01.07.2019 г. по 31.12.2019 г. п. Омсукчан -38,55 руб., п. Дукат -48,98 руб.</t>
  </si>
  <si>
    <t xml:space="preserve">  Лимиты пропуска сточных вод, вывоза ЖБО бюджетными учреждениями и прочими потребителями, финансируемыми из бюджета Омсукчанского городского округа в 2019 году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</si>
  <si>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2019 году</t>
  </si>
  <si>
    <t xml:space="preserve"> с 01.01.2019 г.  по 30.06.2019 г. 1 м.куб. п. Омсукчан-36,80 руб., 1 Гкал - 5254,91 руб.,  п. Дукат 1 м.куб. -49,96 руб., 1 Гкал - 5254,91 руб.; с 01.07.2019 г. по 31.12.2019 г. 1 м.куб. п. Омсукчан - 46,26 руб., Гкал - 5381,57 руб., п. Дукат 1 м.куб - 58,78 руб., 1 Гкал -5381,57 руб.</t>
  </si>
  <si>
    <t xml:space="preserve"> Водоотведение : с 01.01.2019 г.  по 30.06.2019 г. п. Омсукчан -40,29 руб. ,  п. Дукат -11,37 руб. ; с 01.07.2019 г. по 31.12.2019 г. п. Омсукчан -40,29 руб., п. Дукат -15,00 руб.</t>
  </si>
  <si>
    <t>Пустующие муниципальные жилые помещения п. Омсукчан</t>
  </si>
  <si>
    <t>Пустующие муниципальные жилые помещения п. Дукат</t>
  </si>
  <si>
    <t>Здание администрации  п. Омсукчан</t>
  </si>
  <si>
    <t>Здание администрации  п. Дукат</t>
  </si>
  <si>
    <t>Архив</t>
  </si>
  <si>
    <t>ЗАГС (местный бюджет)</t>
  </si>
  <si>
    <t>МБУ "Спортивная школа п. Омсукчан"</t>
  </si>
  <si>
    <t>от 24.05.2019г. № 309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</si>
</sst>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  <numFmt numFmtId="200" formatCode="#,##0.00_р_.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sz val="20"/>
      <color indexed="10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8"/>
      <name val="Cambria"/>
      <family val="1"/>
    </font>
    <font>
      <sz val="20"/>
      <color indexed="9"/>
      <name val="Cambria"/>
      <family val="1"/>
    </font>
    <font>
      <b/>
      <sz val="20"/>
      <color indexed="9"/>
      <name val="Cambria"/>
      <family val="1"/>
    </font>
    <font>
      <b/>
      <sz val="20"/>
      <color indexed="9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b/>
      <sz val="28"/>
      <color theme="0"/>
      <name val="Arial"/>
      <family val="2"/>
    </font>
    <font>
      <sz val="20"/>
      <color theme="1"/>
      <name val="Cambria"/>
      <family val="1"/>
    </font>
    <font>
      <sz val="20"/>
      <color theme="0"/>
      <name val="Cambria"/>
      <family val="1"/>
    </font>
    <font>
      <b/>
      <sz val="20"/>
      <color theme="0"/>
      <name val="Cambria"/>
      <family val="1"/>
    </font>
    <font>
      <b/>
      <sz val="20"/>
      <color theme="0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65" fillId="33" borderId="0" xfId="0" applyNumberFormat="1" applyFont="1" applyFill="1" applyAlignment="1">
      <alignment horizontal="right" vertical="center" wrapText="1"/>
    </xf>
    <xf numFmtId="0" fontId="65" fillId="33" borderId="0" xfId="0" applyNumberFormat="1" applyFont="1" applyFill="1" applyAlignment="1">
      <alignment wrapText="1"/>
    </xf>
    <xf numFmtId="0" fontId="65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66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67" fillId="33" borderId="0" xfId="0" applyNumberFormat="1" applyFont="1" applyFill="1" applyAlignment="1">
      <alignment/>
    </xf>
    <xf numFmtId="0" fontId="67" fillId="33" borderId="0" xfId="0" applyNumberFormat="1" applyFont="1" applyFill="1" applyAlignment="1">
      <alignment/>
    </xf>
    <xf numFmtId="2" fontId="66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68" fillId="33" borderId="0" xfId="0" applyNumberFormat="1" applyFont="1" applyFill="1" applyAlignment="1">
      <alignment horizontal="center" wrapText="1"/>
    </xf>
    <xf numFmtId="0" fontId="68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0" xfId="0" applyNumberFormat="1" applyFont="1" applyFill="1" applyBorder="1" applyAlignment="1">
      <alignment horizontal="center" vertical="center" wrapText="1"/>
    </xf>
    <xf numFmtId="179" fontId="69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70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33" borderId="10" xfId="60" applyNumberFormat="1" applyFont="1" applyFill="1" applyBorder="1" applyAlignment="1">
      <alignment horizontal="center" vertical="center" wrapText="1"/>
    </xf>
    <xf numFmtId="0" fontId="66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65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/>
    </xf>
    <xf numFmtId="0" fontId="68" fillId="33" borderId="0" xfId="0" applyNumberFormat="1" applyFont="1" applyFill="1" applyBorder="1" applyAlignment="1">
      <alignment horizontal="center"/>
    </xf>
    <xf numFmtId="0" fontId="68" fillId="33" borderId="0" xfId="0" applyNumberFormat="1" applyFont="1" applyFill="1" applyAlignment="1">
      <alignment/>
    </xf>
    <xf numFmtId="0" fontId="71" fillId="33" borderId="0" xfId="0" applyNumberFormat="1" applyFont="1" applyFill="1" applyBorder="1" applyAlignment="1">
      <alignment horizontal="center"/>
    </xf>
    <xf numFmtId="0" fontId="68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70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72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9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171" fontId="9" fillId="33" borderId="10" xfId="6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69" fillId="33" borderId="17" xfId="0" applyNumberFormat="1" applyFont="1" applyFill="1" applyBorder="1" applyAlignment="1">
      <alignment horizontal="left" vertical="center" wrapText="1"/>
    </xf>
    <xf numFmtId="0" fontId="70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179" fontId="9" fillId="34" borderId="10" xfId="60" applyFont="1" applyFill="1" applyBorder="1" applyAlignment="1">
      <alignment horizontal="center" vertical="center" wrapText="1"/>
    </xf>
    <xf numFmtId="0" fontId="10" fillId="34" borderId="0" xfId="0" applyNumberFormat="1" applyFont="1" applyFill="1" applyAlignment="1">
      <alignment/>
    </xf>
    <xf numFmtId="0" fontId="66" fillId="34" borderId="0" xfId="0" applyNumberFormat="1" applyFont="1" applyFill="1" applyAlignment="1">
      <alignment/>
    </xf>
    <xf numFmtId="2" fontId="6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6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0" xfId="0" applyNumberFormat="1" applyFont="1" applyFill="1" applyAlignment="1">
      <alignment/>
    </xf>
    <xf numFmtId="0" fontId="69" fillId="33" borderId="0" xfId="0" applyNumberFormat="1" applyFont="1" applyFill="1" applyBorder="1" applyAlignment="1">
      <alignment horizontal="center" wrapText="1"/>
    </xf>
    <xf numFmtId="0" fontId="70" fillId="33" borderId="0" xfId="0" applyNumberFormat="1" applyFont="1" applyFill="1" applyAlignment="1">
      <alignment wrapText="1"/>
    </xf>
    <xf numFmtId="0" fontId="69" fillId="33" borderId="10" xfId="0" applyNumberFormat="1" applyFont="1" applyFill="1" applyBorder="1" applyAlignment="1">
      <alignment horizontal="center"/>
    </xf>
    <xf numFmtId="0" fontId="69" fillId="33" borderId="0" xfId="0" applyNumberFormat="1" applyFont="1" applyFill="1" applyBorder="1" applyAlignment="1">
      <alignment horizontal="center"/>
    </xf>
    <xf numFmtId="0" fontId="70" fillId="33" borderId="0" xfId="0" applyNumberFormat="1" applyFont="1" applyFill="1" applyAlignment="1" applyProtection="1">
      <alignment/>
      <protection locked="0"/>
    </xf>
    <xf numFmtId="0" fontId="70" fillId="33" borderId="0" xfId="0" applyNumberFormat="1" applyFont="1" applyFill="1" applyAlignment="1" applyProtection="1">
      <alignment horizontal="left"/>
      <protection locked="0"/>
    </xf>
    <xf numFmtId="0" fontId="70" fillId="33" borderId="0" xfId="0" applyNumberFormat="1" applyFont="1" applyFill="1" applyAlignment="1">
      <alignment/>
    </xf>
    <xf numFmtId="0" fontId="70" fillId="33" borderId="0" xfId="0" applyNumberFormat="1" applyFont="1" applyFill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/>
    </xf>
    <xf numFmtId="0" fontId="66" fillId="0" borderId="0" xfId="0" applyNumberFormat="1" applyFont="1" applyFill="1" applyAlignment="1">
      <alignment/>
    </xf>
    <xf numFmtId="2" fontId="6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73" fillId="33" borderId="0" xfId="0" applyNumberFormat="1" applyFont="1" applyFill="1" applyAlignment="1">
      <alignment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0" fontId="71" fillId="0" borderId="0" xfId="0" applyNumberFormat="1" applyFont="1" applyFill="1" applyBorder="1" applyAlignment="1">
      <alignment horizontal="center" wrapText="1"/>
    </xf>
    <xf numFmtId="0" fontId="69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68" fillId="0" borderId="0" xfId="0" applyNumberFormat="1" applyFont="1" applyFill="1" applyAlignment="1">
      <alignment horizontal="center" wrapText="1"/>
    </xf>
    <xf numFmtId="0" fontId="68" fillId="0" borderId="0" xfId="0" applyNumberFormat="1" applyFont="1" applyFill="1" applyAlignment="1">
      <alignment wrapText="1"/>
    </xf>
    <xf numFmtId="0" fontId="65" fillId="0" borderId="0" xfId="0" applyNumberFormat="1" applyFont="1" applyFill="1" applyAlignment="1">
      <alignment horizontal="right" vertical="center" wrapText="1"/>
    </xf>
    <xf numFmtId="0" fontId="65" fillId="0" borderId="0" xfId="0" applyNumberFormat="1" applyFont="1" applyFill="1" applyAlignment="1">
      <alignment wrapText="1"/>
    </xf>
    <xf numFmtId="0" fontId="65" fillId="0" borderId="0" xfId="0" applyNumberFormat="1" applyFont="1" applyFill="1" applyAlignment="1">
      <alignment/>
    </xf>
    <xf numFmtId="0" fontId="70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/>
    </xf>
    <xf numFmtId="0" fontId="75" fillId="0" borderId="0" xfId="0" applyNumberFormat="1" applyFont="1" applyFill="1" applyAlignment="1">
      <alignment/>
    </xf>
    <xf numFmtId="0" fontId="6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/>
    </xf>
    <xf numFmtId="2" fontId="65" fillId="0" borderId="0" xfId="0" applyNumberFormat="1" applyFont="1" applyFill="1" applyAlignment="1">
      <alignment/>
    </xf>
    <xf numFmtId="2" fontId="75" fillId="0" borderId="0" xfId="0" applyNumberFormat="1" applyFont="1" applyFill="1" applyAlignment="1">
      <alignment/>
    </xf>
    <xf numFmtId="0" fontId="65" fillId="0" borderId="0" xfId="0" applyNumberFormat="1" applyFont="1" applyFill="1" applyBorder="1" applyAlignment="1">
      <alignment/>
    </xf>
    <xf numFmtId="0" fontId="65" fillId="0" borderId="0" xfId="0" applyNumberFormat="1" applyFont="1" applyFill="1" applyBorder="1" applyAlignment="1">
      <alignment horizontal="center"/>
    </xf>
    <xf numFmtId="0" fontId="76" fillId="0" borderId="0" xfId="0" applyNumberFormat="1" applyFont="1" applyFill="1" applyAlignment="1">
      <alignment/>
    </xf>
    <xf numFmtId="0" fontId="77" fillId="0" borderId="0" xfId="0" applyNumberFormat="1" applyFont="1" applyFill="1" applyBorder="1" applyAlignment="1">
      <alignment horizontal="center"/>
    </xf>
    <xf numFmtId="0" fontId="77" fillId="0" borderId="0" xfId="0" applyNumberFormat="1" applyFont="1" applyFill="1" applyBorder="1" applyAlignment="1">
      <alignment horizontal="center" wrapText="1"/>
    </xf>
    <xf numFmtId="0" fontId="77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 horizontal="left"/>
    </xf>
    <xf numFmtId="0" fontId="77" fillId="0" borderId="13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>
      <alignment horizontal="center"/>
    </xf>
    <xf numFmtId="0" fontId="77" fillId="0" borderId="10" xfId="0" applyNumberFormat="1" applyFont="1" applyFill="1" applyBorder="1" applyAlignment="1">
      <alignment horizontal="center" vertical="center" wrapText="1"/>
    </xf>
    <xf numFmtId="0" fontId="77" fillId="0" borderId="17" xfId="0" applyNumberFormat="1" applyFont="1" applyFill="1" applyBorder="1" applyAlignment="1">
      <alignment horizontal="left" vertical="center" wrapText="1"/>
    </xf>
    <xf numFmtId="179" fontId="77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left" vertical="center" wrapText="1"/>
    </xf>
    <xf numFmtId="179" fontId="65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171" fontId="65" fillId="0" borderId="10" xfId="6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/>
    </xf>
    <xf numFmtId="0" fontId="77" fillId="0" borderId="17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77" fillId="0" borderId="14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/>
    </xf>
    <xf numFmtId="0" fontId="77" fillId="0" borderId="10" xfId="0" applyNumberFormat="1" applyFont="1" applyFill="1" applyBorder="1" applyAlignment="1">
      <alignment horizontal="left"/>
    </xf>
    <xf numFmtId="0" fontId="65" fillId="0" borderId="17" xfId="0" applyNumberFormat="1" applyFont="1" applyFill="1" applyBorder="1" applyAlignment="1">
      <alignment horizontal="left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179" fontId="78" fillId="34" borderId="10" xfId="60" applyFont="1" applyFill="1" applyBorder="1" applyAlignment="1">
      <alignment horizontal="center" vertical="center" wrapText="1"/>
    </xf>
    <xf numFmtId="179" fontId="9" fillId="34" borderId="10" xfId="60" applyFont="1" applyFill="1" applyBorder="1" applyAlignment="1" applyProtection="1">
      <alignment horizontal="center" vertical="center" wrapText="1"/>
      <protection locked="0"/>
    </xf>
    <xf numFmtId="179" fontId="79" fillId="33" borderId="10" xfId="60" applyFont="1" applyFill="1" applyBorder="1" applyAlignment="1">
      <alignment horizontal="center" vertical="center" wrapText="1"/>
    </xf>
    <xf numFmtId="179" fontId="13" fillId="33" borderId="10" xfId="60" applyFont="1" applyFill="1" applyBorder="1" applyAlignment="1">
      <alignment horizontal="center" vertical="center" wrapText="1"/>
    </xf>
    <xf numFmtId="179" fontId="13" fillId="33" borderId="10" xfId="60" applyFont="1" applyFill="1" applyBorder="1" applyAlignment="1" applyProtection="1">
      <alignment horizontal="center" vertical="center" wrapText="1"/>
      <protection locked="0"/>
    </xf>
    <xf numFmtId="179" fontId="9" fillId="33" borderId="10" xfId="60" applyFont="1" applyFill="1" applyBorder="1" applyAlignment="1" applyProtection="1">
      <alignment horizontal="center" vertical="center" wrapText="1"/>
      <protection locked="0"/>
    </xf>
    <xf numFmtId="179" fontId="78" fillId="33" borderId="10" xfId="60" applyFont="1" applyFill="1" applyBorder="1" applyAlignment="1">
      <alignment horizontal="center" vertical="center" wrapText="1"/>
    </xf>
    <xf numFmtId="179" fontId="78" fillId="34" borderId="10" xfId="60" applyFont="1" applyFill="1" applyBorder="1" applyAlignment="1" applyProtection="1">
      <alignment horizontal="center" vertical="center" wrapText="1"/>
      <protection locked="0"/>
    </xf>
    <xf numFmtId="179" fontId="79" fillId="33" borderId="10" xfId="60" applyFont="1" applyFill="1" applyBorder="1" applyAlignment="1" applyProtection="1">
      <alignment horizontal="center" vertical="center" wrapText="1"/>
      <protection locked="0"/>
    </xf>
    <xf numFmtId="171" fontId="79" fillId="33" borderId="10" xfId="60" applyNumberFormat="1" applyFont="1" applyFill="1" applyBorder="1" applyAlignment="1">
      <alignment horizontal="center" vertical="center" wrapText="1"/>
    </xf>
    <xf numFmtId="179" fontId="78" fillId="34" borderId="10" xfId="60" applyFont="1" applyFill="1" applyBorder="1" applyAlignment="1" applyProtection="1">
      <alignment horizontal="center" vertical="center" wrapText="1"/>
      <protection/>
    </xf>
    <xf numFmtId="179" fontId="9" fillId="34" borderId="10" xfId="60" applyFont="1" applyFill="1" applyBorder="1" applyAlignment="1" applyProtection="1">
      <alignment horizontal="center" vertical="center" wrapText="1"/>
      <protection/>
    </xf>
    <xf numFmtId="179" fontId="79" fillId="33" borderId="10" xfId="60" applyFont="1" applyFill="1" applyBorder="1" applyAlignment="1" applyProtection="1">
      <alignment horizontal="center" vertical="center" wrapText="1"/>
      <protection/>
    </xf>
    <xf numFmtId="179" fontId="13" fillId="33" borderId="10" xfId="60" applyFont="1" applyFill="1" applyBorder="1" applyAlignment="1" applyProtection="1">
      <alignment horizontal="center" vertical="center" wrapText="1"/>
      <protection/>
    </xf>
    <xf numFmtId="179" fontId="13" fillId="0" borderId="10" xfId="60" applyFont="1" applyFill="1" applyBorder="1" applyAlignment="1" applyProtection="1">
      <alignment horizontal="center" vertical="center" wrapText="1"/>
      <protection locked="0"/>
    </xf>
    <xf numFmtId="179" fontId="79" fillId="0" borderId="10" xfId="60" applyFont="1" applyFill="1" applyBorder="1" applyAlignment="1">
      <alignment horizontal="center" vertical="center" wrapText="1"/>
    </xf>
    <xf numFmtId="179" fontId="13" fillId="0" borderId="10" xfId="60" applyFont="1" applyFill="1" applyBorder="1" applyAlignment="1">
      <alignment horizontal="center" vertical="center" wrapText="1"/>
    </xf>
    <xf numFmtId="179" fontId="79" fillId="0" borderId="10" xfId="60" applyFont="1" applyFill="1" applyBorder="1" applyAlignment="1" applyProtection="1">
      <alignment horizontal="center" vertical="center" wrapText="1"/>
      <protection/>
    </xf>
    <xf numFmtId="179" fontId="13" fillId="0" borderId="10" xfId="60" applyFont="1" applyFill="1" applyBorder="1" applyAlignment="1" applyProtection="1">
      <alignment horizontal="center" vertical="center" wrapText="1"/>
      <protection/>
    </xf>
    <xf numFmtId="195" fontId="13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78" fillId="33" borderId="10" xfId="60" applyFont="1" applyFill="1" applyBorder="1" applyAlignment="1" applyProtection="1">
      <alignment horizontal="center" vertical="center" wrapText="1"/>
      <protection/>
    </xf>
    <xf numFmtId="179" fontId="9" fillId="33" borderId="10" xfId="60" applyFont="1" applyFill="1" applyBorder="1" applyAlignment="1" applyProtection="1">
      <alignment horizontal="center" vertical="center" wrapText="1"/>
      <protection/>
    </xf>
    <xf numFmtId="193" fontId="13" fillId="0" borderId="10" xfId="60" applyNumberFormat="1" applyFont="1" applyFill="1" applyBorder="1" applyAlignment="1" applyProtection="1">
      <alignment horizontal="center" vertical="center" wrapText="1"/>
      <protection locked="0"/>
    </xf>
    <xf numFmtId="195" fontId="13" fillId="0" borderId="10" xfId="60" applyNumberFormat="1" applyFont="1" applyFill="1" applyBorder="1" applyAlignment="1" applyProtection="1">
      <alignment horizontal="right" vertical="center" wrapText="1"/>
      <protection locked="0"/>
    </xf>
    <xf numFmtId="179" fontId="13" fillId="33" borderId="10" xfId="6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wrapText="1"/>
    </xf>
    <xf numFmtId="0" fontId="80" fillId="33" borderId="10" xfId="0" applyNumberFormat="1" applyFont="1" applyFill="1" applyBorder="1" applyAlignment="1">
      <alignment horizontal="center" wrapText="1"/>
    </xf>
    <xf numFmtId="0" fontId="14" fillId="33" borderId="10" xfId="0" applyNumberFormat="1" applyFont="1" applyFill="1" applyBorder="1" applyAlignment="1" applyProtection="1">
      <alignment horizontal="center" wrapText="1"/>
      <protection locked="0"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>
      <alignment horizontal="center" vertical="center" wrapText="1"/>
    </xf>
    <xf numFmtId="179" fontId="14" fillId="34" borderId="10" xfId="60" applyFont="1" applyFill="1" applyBorder="1" applyAlignment="1" applyProtection="1">
      <alignment vertical="center" wrapText="1"/>
      <protection locked="0"/>
    </xf>
    <xf numFmtId="179" fontId="80" fillId="34" borderId="10" xfId="60" applyFont="1" applyFill="1" applyBorder="1" applyAlignment="1">
      <alignment horizontal="center" vertical="center" wrapText="1"/>
    </xf>
    <xf numFmtId="179" fontId="14" fillId="34" borderId="10" xfId="60" applyFont="1" applyFill="1" applyBorder="1" applyAlignment="1">
      <alignment horizontal="center" vertical="center" wrapText="1"/>
    </xf>
    <xf numFmtId="179" fontId="14" fillId="34" borderId="10" xfId="60" applyFont="1" applyFill="1" applyBorder="1" applyAlignment="1" applyProtection="1">
      <alignment horizontal="center" vertical="center" wrapText="1"/>
      <protection locked="0"/>
    </xf>
    <xf numFmtId="0" fontId="81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>
      <alignment horizontal="center" vertical="center" wrapText="1"/>
    </xf>
    <xf numFmtId="179" fontId="15" fillId="33" borderId="10" xfId="60" applyFont="1" applyFill="1" applyBorder="1" applyAlignment="1" applyProtection="1">
      <alignment vertical="center" wrapText="1"/>
      <protection locked="0"/>
    </xf>
    <xf numFmtId="179" fontId="82" fillId="33" borderId="10" xfId="60" applyFont="1" applyFill="1" applyBorder="1" applyAlignment="1">
      <alignment horizontal="center" vertical="center" wrapText="1"/>
    </xf>
    <xf numFmtId="179" fontId="15" fillId="33" borderId="10" xfId="60" applyFont="1" applyFill="1" applyBorder="1" applyAlignment="1">
      <alignment horizontal="center" vertical="center" wrapText="1"/>
    </xf>
    <xf numFmtId="179" fontId="15" fillId="33" borderId="10" xfId="60" applyFont="1" applyFill="1" applyBorder="1" applyAlignment="1" applyProtection="1">
      <alignment horizontal="center" vertical="center" wrapTex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>
      <alignment horizontal="center" vertical="center" wrapText="1"/>
    </xf>
    <xf numFmtId="179" fontId="15" fillId="33" borderId="10" xfId="60" applyNumberFormat="1" applyFont="1" applyFill="1" applyBorder="1" applyAlignment="1" applyProtection="1">
      <alignment vertical="center" wrapText="1"/>
      <protection locked="0"/>
    </xf>
    <xf numFmtId="179" fontId="15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15" fillId="34" borderId="10" xfId="0" applyNumberFormat="1" applyFont="1" applyFill="1" applyBorder="1" applyAlignment="1">
      <alignment horizontal="center" vertical="center" wrapText="1"/>
    </xf>
    <xf numFmtId="179" fontId="14" fillId="33" borderId="10" xfId="60" applyFont="1" applyFill="1" applyBorder="1" applyAlignment="1" applyProtection="1">
      <alignment horizontal="center" vertical="center" wrapText="1"/>
      <protection locked="0"/>
    </xf>
    <xf numFmtId="179" fontId="80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 applyProtection="1">
      <alignment wrapText="1"/>
      <protection/>
    </xf>
    <xf numFmtId="179" fontId="9" fillId="35" borderId="10" xfId="60" applyFont="1" applyFill="1" applyBorder="1" applyAlignment="1">
      <alignment horizontal="center" vertical="center" wrapText="1"/>
    </xf>
    <xf numFmtId="179" fontId="9" fillId="35" borderId="10" xfId="60" applyFont="1" applyFill="1" applyBorder="1" applyAlignment="1" applyProtection="1">
      <alignment horizontal="center" vertical="center" wrapText="1"/>
      <protection locked="0"/>
    </xf>
    <xf numFmtId="179" fontId="78" fillId="35" borderId="10" xfId="60" applyFont="1" applyFill="1" applyBorder="1" applyAlignment="1" applyProtection="1">
      <alignment horizontal="center" vertical="center" wrapText="1"/>
      <protection/>
    </xf>
    <xf numFmtId="195" fontId="9" fillId="35" borderId="10" xfId="60" applyNumberFormat="1" applyFont="1" applyFill="1" applyBorder="1" applyAlignment="1" applyProtection="1">
      <alignment horizontal="right" vertical="center" wrapText="1"/>
      <protection locked="0"/>
    </xf>
    <xf numFmtId="179" fontId="78" fillId="35" borderId="10" xfId="60" applyFont="1" applyFill="1" applyBorder="1" applyAlignment="1">
      <alignment horizontal="center" vertical="center" wrapText="1"/>
    </xf>
    <xf numFmtId="179" fontId="9" fillId="35" borderId="10" xfId="60" applyFont="1" applyFill="1" applyBorder="1" applyAlignment="1" applyProtection="1">
      <alignment horizontal="center" vertical="center" wrapText="1"/>
      <protection/>
    </xf>
    <xf numFmtId="193" fontId="13" fillId="33" borderId="10" xfId="60" applyNumberFormat="1" applyFont="1" applyFill="1" applyBorder="1" applyAlignment="1">
      <alignment horizontal="center" vertical="center" wrapText="1"/>
    </xf>
    <xf numFmtId="179" fontId="80" fillId="34" borderId="10" xfId="60" applyNumberFormat="1" applyFont="1" applyFill="1" applyBorder="1" applyAlignment="1">
      <alignment horizontal="center" vertical="center" wrapText="1"/>
    </xf>
    <xf numFmtId="179" fontId="82" fillId="33" borderId="10" xfId="60" applyNumberFormat="1" applyFont="1" applyFill="1" applyBorder="1" applyAlignment="1">
      <alignment horizontal="center" vertical="center" wrapText="1"/>
    </xf>
    <xf numFmtId="179" fontId="80" fillId="33" borderId="10" xfId="60" applyNumberFormat="1" applyFont="1" applyFill="1" applyBorder="1" applyAlignment="1">
      <alignment horizontal="center" vertical="center" wrapText="1"/>
    </xf>
    <xf numFmtId="179" fontId="82" fillId="33" borderId="10" xfId="60" applyNumberFormat="1" applyFont="1" applyFill="1" applyBorder="1" applyAlignment="1">
      <alignment horizontal="right" vertical="center" wrapText="1"/>
    </xf>
    <xf numFmtId="0" fontId="15" fillId="33" borderId="16" xfId="0" applyNumberFormat="1" applyFont="1" applyFill="1" applyBorder="1" applyAlignment="1" applyProtection="1">
      <alignment horizontal="left" vertical="center" wrapText="1"/>
      <protection/>
    </xf>
    <xf numFmtId="0" fontId="15" fillId="33" borderId="17" xfId="0" applyNumberFormat="1" applyFont="1" applyFill="1" applyBorder="1" applyAlignment="1" applyProtection="1">
      <alignment horizontal="left" vertical="center" wrapText="1"/>
      <protection/>
    </xf>
    <xf numFmtId="0" fontId="15" fillId="33" borderId="15" xfId="0" applyNumberFormat="1" applyFont="1" applyFill="1" applyBorder="1" applyAlignment="1" applyProtection="1">
      <alignment horizontal="left" vertical="center"/>
      <protection/>
    </xf>
    <xf numFmtId="4" fontId="14" fillId="34" borderId="10" xfId="60" applyNumberFormat="1" applyFont="1" applyFill="1" applyBorder="1" applyAlignment="1" applyProtection="1">
      <alignment vertical="center" wrapText="1"/>
      <protection locked="0"/>
    </xf>
    <xf numFmtId="4" fontId="15" fillId="33" borderId="10" xfId="60" applyNumberFormat="1" applyFont="1" applyFill="1" applyBorder="1" applyAlignment="1" applyProtection="1">
      <alignment vertical="center" wrapText="1"/>
      <protection locked="0"/>
    </xf>
    <xf numFmtId="4" fontId="14" fillId="34" borderId="10" xfId="60" applyNumberFormat="1" applyFont="1" applyFill="1" applyBorder="1" applyAlignment="1" applyProtection="1">
      <alignment horizontal="center" vertical="center" wrapText="1"/>
      <protection locked="0"/>
    </xf>
    <xf numFmtId="4" fontId="15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4" fillId="34" borderId="10" xfId="60" applyNumberFormat="1" applyFont="1" applyFill="1" applyBorder="1" applyAlignment="1">
      <alignment horizontal="right" vertical="center" wrapText="1"/>
    </xf>
    <xf numFmtId="4" fontId="15" fillId="33" borderId="10" xfId="60" applyNumberFormat="1" applyFont="1" applyFill="1" applyBorder="1" applyAlignment="1">
      <alignment horizontal="right" vertical="center" wrapText="1"/>
    </xf>
    <xf numFmtId="4" fontId="14" fillId="34" borderId="10" xfId="60" applyNumberFormat="1" applyFont="1" applyFill="1" applyBorder="1" applyAlignment="1" applyProtection="1">
      <alignment horizontal="right" vertical="center" wrapText="1"/>
      <protection locked="0"/>
    </xf>
    <xf numFmtId="4" fontId="15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14" fillId="34" borderId="10" xfId="60" applyNumberFormat="1" applyFont="1" applyFill="1" applyBorder="1" applyAlignment="1">
      <alignment horizontal="center" vertical="center" wrapText="1"/>
    </xf>
    <xf numFmtId="179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 applyProtection="1">
      <alignment horizontal="right" vertical="center" wrapText="1"/>
      <protection locked="0"/>
    </xf>
    <xf numFmtId="0" fontId="3" fillId="33" borderId="17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193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5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191" fontId="79" fillId="33" borderId="10" xfId="60" applyNumberFormat="1" applyFont="1" applyFill="1" applyBorder="1" applyAlignment="1">
      <alignment horizontal="center" vertical="center" wrapText="1"/>
    </xf>
    <xf numFmtId="4" fontId="9" fillId="34" borderId="10" xfId="60" applyNumberFormat="1" applyFont="1" applyFill="1" applyBorder="1" applyAlignment="1" applyProtection="1">
      <alignment horizontal="right" vertical="center" wrapText="1"/>
      <protection locked="0"/>
    </xf>
    <xf numFmtId="4" fontId="9" fillId="34" borderId="10" xfId="60" applyNumberFormat="1" applyFont="1" applyFill="1" applyBorder="1" applyAlignment="1" applyProtection="1">
      <alignment horizontal="right" vertical="center" wrapText="1"/>
      <protection/>
    </xf>
    <xf numFmtId="4" fontId="9" fillId="34" borderId="10" xfId="60" applyNumberFormat="1" applyFont="1" applyFill="1" applyBorder="1" applyAlignment="1">
      <alignment horizontal="right" vertical="center" wrapText="1"/>
    </xf>
    <xf numFmtId="179" fontId="13" fillId="33" borderId="10" xfId="60" applyNumberFormat="1" applyFont="1" applyFill="1" applyBorder="1" applyAlignment="1">
      <alignment horizontal="right" vertical="center" wrapText="1"/>
    </xf>
    <xf numFmtId="179" fontId="9" fillId="33" borderId="10" xfId="60" applyNumberFormat="1" applyFont="1" applyFill="1" applyBorder="1" applyAlignment="1">
      <alignment horizontal="center" vertical="center" wrapText="1"/>
    </xf>
    <xf numFmtId="179" fontId="9" fillId="33" borderId="10" xfId="6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8" xfId="0" applyNumberFormat="1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15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Alignment="1">
      <alignment horizontal="left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 applyProtection="1">
      <alignment horizontal="left" vertical="center" wrapText="1"/>
      <protection/>
    </xf>
    <xf numFmtId="0" fontId="15" fillId="33" borderId="17" xfId="0" applyNumberFormat="1" applyFont="1" applyFill="1" applyBorder="1" applyAlignment="1" applyProtection="1">
      <alignment horizontal="left" vertical="center" wrapText="1"/>
      <protection/>
    </xf>
    <xf numFmtId="0" fontId="14" fillId="34" borderId="15" xfId="0" applyNumberFormat="1" applyFont="1" applyFill="1" applyBorder="1" applyAlignment="1" applyProtection="1">
      <alignment horizontal="left" vertical="center" wrapText="1"/>
      <protection/>
    </xf>
    <xf numFmtId="0" fontId="14" fillId="34" borderId="16" xfId="0" applyNumberFormat="1" applyFont="1" applyFill="1" applyBorder="1" applyAlignment="1" applyProtection="1">
      <alignment horizontal="left" vertical="center" wrapText="1"/>
      <protection/>
    </xf>
    <xf numFmtId="0" fontId="14" fillId="34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69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9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9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34" borderId="17" xfId="0" applyNumberFormat="1" applyFont="1" applyFill="1" applyBorder="1" applyAlignment="1" applyProtection="1">
      <alignment horizontal="left" vertical="center" wrapText="1"/>
      <protection locked="0"/>
    </xf>
    <xf numFmtId="179" fontId="15" fillId="33" borderId="21" xfId="6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82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8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8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>
      <alignment horizontal="center" wrapText="1"/>
    </xf>
    <xf numFmtId="0" fontId="14" fillId="33" borderId="16" xfId="0" applyNumberFormat="1" applyFont="1" applyFill="1" applyBorder="1" applyAlignment="1">
      <alignment horizontal="center" wrapText="1"/>
    </xf>
    <xf numFmtId="0" fontId="14" fillId="33" borderId="17" xfId="0" applyNumberFormat="1" applyFont="1" applyFill="1" applyBorder="1" applyAlignment="1">
      <alignment horizontal="center" wrapText="1"/>
    </xf>
    <xf numFmtId="0" fontId="14" fillId="33" borderId="19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/>
    </xf>
    <xf numFmtId="0" fontId="14" fillId="33" borderId="20" xfId="0" applyNumberFormat="1" applyFont="1" applyFill="1" applyBorder="1" applyAlignment="1">
      <alignment horizontal="center" vertical="center"/>
    </xf>
    <xf numFmtId="0" fontId="14" fillId="33" borderId="18" xfId="0" applyNumberFormat="1" applyFont="1" applyFill="1" applyBorder="1" applyAlignment="1">
      <alignment horizontal="center" vertical="center"/>
    </xf>
    <xf numFmtId="0" fontId="14" fillId="33" borderId="14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15" fillId="33" borderId="21" xfId="0" applyNumberFormat="1" applyFont="1" applyFill="1" applyBorder="1" applyAlignment="1" applyProtection="1">
      <alignment horizontal="center" vertical="center" wrapText="1"/>
      <protection/>
    </xf>
    <xf numFmtId="0" fontId="15" fillId="33" borderId="19" xfId="0" applyNumberFormat="1" applyFont="1" applyFill="1" applyBorder="1" applyAlignment="1" applyProtection="1">
      <alignment horizontal="left" vertical="center" wrapText="1"/>
      <protection/>
    </xf>
    <xf numFmtId="0" fontId="15" fillId="33" borderId="12" xfId="0" applyNumberFormat="1" applyFont="1" applyFill="1" applyBorder="1" applyAlignment="1" applyProtection="1">
      <alignment horizontal="left" vertical="center" wrapText="1"/>
      <protection/>
    </xf>
    <xf numFmtId="0" fontId="15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33" borderId="21" xfId="0" applyNumberFormat="1" applyFont="1" applyFill="1" applyBorder="1" applyAlignment="1">
      <alignment horizontal="center" wrapText="1"/>
    </xf>
    <xf numFmtId="0" fontId="14" fillId="33" borderId="22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 applyProtection="1">
      <alignment horizontal="center" wrapText="1"/>
      <protection locked="0"/>
    </xf>
    <xf numFmtId="0" fontId="14" fillId="33" borderId="15" xfId="0" applyNumberFormat="1" applyFont="1" applyFill="1" applyBorder="1" applyAlignment="1" applyProtection="1">
      <alignment horizontal="left"/>
      <protection/>
    </xf>
    <xf numFmtId="0" fontId="14" fillId="33" borderId="16" xfId="0" applyNumberFormat="1" applyFont="1" applyFill="1" applyBorder="1" applyAlignment="1" applyProtection="1">
      <alignment horizontal="left"/>
      <protection/>
    </xf>
    <xf numFmtId="0" fontId="14" fillId="33" borderId="17" xfId="0" applyNumberFormat="1" applyFont="1" applyFill="1" applyBorder="1" applyAlignment="1" applyProtection="1">
      <alignment horizontal="left"/>
      <protection/>
    </xf>
    <xf numFmtId="0" fontId="15" fillId="33" borderId="15" xfId="0" applyNumberFormat="1" applyFont="1" applyFill="1" applyBorder="1" applyAlignment="1" applyProtection="1">
      <alignment horizontal="left" wrapText="1"/>
      <protection/>
    </xf>
    <xf numFmtId="0" fontId="15" fillId="33" borderId="16" xfId="0" applyNumberFormat="1" applyFont="1" applyFill="1" applyBorder="1" applyAlignment="1" applyProtection="1">
      <alignment horizontal="left" wrapText="1"/>
      <protection/>
    </xf>
    <xf numFmtId="0" fontId="15" fillId="33" borderId="17" xfId="0" applyNumberFormat="1" applyFont="1" applyFill="1" applyBorder="1" applyAlignment="1" applyProtection="1">
      <alignment horizontal="left" wrapText="1"/>
      <protection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0" fontId="7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7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70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179" fontId="82" fillId="33" borderId="21" xfId="60" applyFont="1" applyFill="1" applyBorder="1" applyAlignment="1">
      <alignment horizontal="center" vertical="center" wrapText="1"/>
    </xf>
    <xf numFmtId="179" fontId="15" fillId="33" borderId="21" xfId="60" applyFont="1" applyFill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179" fontId="15" fillId="33" borderId="21" xfId="60" applyFont="1" applyFill="1" applyBorder="1" applyAlignment="1" applyProtection="1">
      <alignment horizontal="center" vertical="center" wrapText="1"/>
      <protection locked="0"/>
    </xf>
    <xf numFmtId="179" fontId="82" fillId="33" borderId="21" xfId="60" applyNumberFormat="1" applyFont="1" applyFill="1" applyBorder="1" applyAlignment="1">
      <alignment horizontal="center" vertical="center" wrapText="1"/>
    </xf>
    <xf numFmtId="179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12" fillId="34" borderId="16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0" fontId="65" fillId="0" borderId="16" xfId="0" applyNumberFormat="1" applyFont="1" applyFill="1" applyBorder="1" applyAlignment="1">
      <alignment horizontal="left" vertical="center" wrapText="1"/>
    </xf>
    <xf numFmtId="0" fontId="65" fillId="0" borderId="17" xfId="0" applyNumberFormat="1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77" fillId="0" borderId="15" xfId="0" applyNumberFormat="1" applyFont="1" applyFill="1" applyBorder="1" applyAlignment="1">
      <alignment horizontal="left" vertical="center" wrapText="1"/>
    </xf>
    <xf numFmtId="0" fontId="77" fillId="0" borderId="16" xfId="0" applyNumberFormat="1" applyFont="1" applyFill="1" applyBorder="1" applyAlignment="1">
      <alignment horizontal="left" vertical="center" wrapText="1"/>
    </xf>
    <xf numFmtId="0" fontId="77" fillId="0" borderId="17" xfId="0" applyNumberFormat="1" applyFont="1" applyFill="1" applyBorder="1" applyAlignment="1">
      <alignment horizontal="left" vertical="center" wrapText="1"/>
    </xf>
    <xf numFmtId="0" fontId="77" fillId="0" borderId="10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0" fontId="65" fillId="0" borderId="16" xfId="0" applyNumberFormat="1" applyFont="1" applyFill="1" applyBorder="1" applyAlignment="1">
      <alignment horizontal="left"/>
    </xf>
    <xf numFmtId="0" fontId="65" fillId="0" borderId="17" xfId="0" applyNumberFormat="1" applyFont="1" applyFill="1" applyBorder="1" applyAlignment="1">
      <alignment horizontal="left"/>
    </xf>
    <xf numFmtId="0" fontId="77" fillId="0" borderId="10" xfId="0" applyNumberFormat="1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left"/>
    </xf>
    <xf numFmtId="0" fontId="77" fillId="0" borderId="10" xfId="0" applyNumberFormat="1" applyFont="1" applyFill="1" applyBorder="1" applyAlignment="1">
      <alignment horizontal="center" wrapText="1"/>
    </xf>
    <xf numFmtId="0" fontId="77" fillId="0" borderId="18" xfId="0" applyNumberFormat="1" applyFont="1" applyFill="1" applyBorder="1" applyAlignment="1">
      <alignment horizontal="center" vertical="center" wrapText="1"/>
    </xf>
    <xf numFmtId="0" fontId="77" fillId="0" borderId="19" xfId="0" applyNumberFormat="1" applyFont="1" applyFill="1" applyBorder="1" applyAlignment="1">
      <alignment horizontal="center" vertical="center"/>
    </xf>
    <xf numFmtId="0" fontId="77" fillId="0" borderId="12" xfId="0" applyNumberFormat="1" applyFont="1" applyFill="1" applyBorder="1" applyAlignment="1">
      <alignment horizontal="center" vertical="center"/>
    </xf>
    <xf numFmtId="0" fontId="77" fillId="0" borderId="13" xfId="0" applyNumberFormat="1" applyFont="1" applyFill="1" applyBorder="1" applyAlignment="1">
      <alignment horizontal="center" vertical="center"/>
    </xf>
    <xf numFmtId="0" fontId="77" fillId="0" borderId="20" xfId="0" applyNumberFormat="1" applyFont="1" applyFill="1" applyBorder="1" applyAlignment="1">
      <alignment horizontal="center" vertical="center"/>
    </xf>
    <xf numFmtId="0" fontId="77" fillId="0" borderId="18" xfId="0" applyNumberFormat="1" applyFont="1" applyFill="1" applyBorder="1" applyAlignment="1">
      <alignment horizontal="center" vertical="center"/>
    </xf>
    <xf numFmtId="0" fontId="77" fillId="0" borderId="14" xfId="0" applyNumberFormat="1" applyFont="1" applyFill="1" applyBorder="1" applyAlignment="1">
      <alignment horizontal="center" vertical="center"/>
    </xf>
    <xf numFmtId="0" fontId="77" fillId="0" borderId="15" xfId="0" applyNumberFormat="1" applyFont="1" applyFill="1" applyBorder="1" applyAlignment="1">
      <alignment horizontal="left"/>
    </xf>
    <xf numFmtId="0" fontId="77" fillId="0" borderId="16" xfId="0" applyNumberFormat="1" applyFont="1" applyFill="1" applyBorder="1" applyAlignment="1">
      <alignment horizontal="left"/>
    </xf>
    <xf numFmtId="0" fontId="77" fillId="0" borderId="17" xfId="0" applyNumberFormat="1" applyFont="1" applyFill="1" applyBorder="1" applyAlignment="1">
      <alignment horizontal="left"/>
    </xf>
    <xf numFmtId="0" fontId="65" fillId="0" borderId="0" xfId="0" applyNumberFormat="1" applyFont="1" applyFill="1" applyAlignment="1">
      <alignment horizontal="left"/>
    </xf>
    <xf numFmtId="0" fontId="6" fillId="33" borderId="1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69" fillId="33" borderId="16" xfId="0" applyNumberFormat="1" applyFont="1" applyFill="1" applyBorder="1" applyAlignment="1">
      <alignment horizontal="left" vertical="center" wrapText="1"/>
    </xf>
    <xf numFmtId="0" fontId="69" fillId="33" borderId="17" xfId="0" applyNumberFormat="1" applyFont="1" applyFill="1" applyBorder="1" applyAlignment="1">
      <alignment horizontal="left" vertical="center" wrapText="1"/>
    </xf>
    <xf numFmtId="0" fontId="70" fillId="33" borderId="15" xfId="0" applyNumberFormat="1" applyFont="1" applyFill="1" applyBorder="1" applyAlignment="1">
      <alignment horizontal="left" vertical="center" wrapText="1"/>
    </xf>
    <xf numFmtId="0" fontId="70" fillId="33" borderId="16" xfId="0" applyNumberFormat="1" applyFont="1" applyFill="1" applyBorder="1" applyAlignment="1">
      <alignment horizontal="left" vertical="center" wrapText="1"/>
    </xf>
    <xf numFmtId="0" fontId="70" fillId="33" borderId="17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7" xfId="0" applyNumberFormat="1" applyFont="1" applyFill="1" applyBorder="1" applyAlignment="1">
      <alignment horizontal="left" wrapText="1"/>
    </xf>
    <xf numFmtId="0" fontId="6" fillId="33" borderId="21" xfId="0" applyNumberFormat="1" applyFont="1" applyFill="1" applyBorder="1" applyAlignment="1">
      <alignment horizontal="center" wrapText="1"/>
    </xf>
    <xf numFmtId="0" fontId="6" fillId="33" borderId="2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5"/>
  <sheetViews>
    <sheetView view="pageBreakPreview" zoomScale="50" zoomScaleNormal="85" zoomScaleSheetLayoutView="50" workbookViewId="0" topLeftCell="A1">
      <selection activeCell="P4" sqref="P4:R4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64.00390625" style="7" customWidth="1"/>
    <col min="5" max="5" width="14.421875" style="7" hidden="1" customWidth="1"/>
    <col min="6" max="6" width="24.140625" style="7" customWidth="1"/>
    <col min="7" max="7" width="30.8515625" style="47" customWidth="1"/>
    <col min="8" max="8" width="0.2890625" style="7" hidden="1" customWidth="1"/>
    <col min="9" max="9" width="24.8515625" style="7" customWidth="1"/>
    <col min="10" max="10" width="30.7109375" style="47" customWidth="1"/>
    <col min="11" max="11" width="9.8515625" style="7" hidden="1" customWidth="1"/>
    <col min="12" max="12" width="25.00390625" style="7" customWidth="1"/>
    <col min="13" max="13" width="27.8515625" style="47" customWidth="1"/>
    <col min="14" max="14" width="9.8515625" style="7" hidden="1" customWidth="1"/>
    <col min="15" max="15" width="25.57421875" style="7" customWidth="1"/>
    <col min="16" max="16" width="29.8515625" style="47" customWidth="1"/>
    <col min="17" max="17" width="28.421875" style="7" customWidth="1"/>
    <col min="18" max="18" width="32.8515625" style="47" customWidth="1"/>
    <col min="19" max="19" width="18.00390625" style="7" customWidth="1"/>
    <col min="20" max="20" width="22.28125" style="7" bestFit="1" customWidth="1"/>
    <col min="21" max="21" width="12.8515625" style="7" customWidth="1"/>
    <col min="22" max="16384" width="9.140625" style="7" customWidth="1"/>
  </cols>
  <sheetData>
    <row r="1" spans="1:22" ht="26.25">
      <c r="A1" s="4"/>
      <c r="B1" s="4"/>
      <c r="C1" s="4"/>
      <c r="D1" s="4"/>
      <c r="E1" s="4"/>
      <c r="F1" s="4"/>
      <c r="G1" s="97"/>
      <c r="H1" s="4"/>
      <c r="I1" s="4"/>
      <c r="J1" s="97"/>
      <c r="K1" s="4"/>
      <c r="L1" s="4"/>
      <c r="M1" s="97"/>
      <c r="N1" s="58"/>
      <c r="O1" s="58"/>
      <c r="P1" s="102" t="s">
        <v>81</v>
      </c>
      <c r="Q1" s="11"/>
      <c r="R1" s="103"/>
      <c r="T1" s="9"/>
      <c r="U1" s="9"/>
      <c r="V1" s="9"/>
    </row>
    <row r="2" spans="1:22" ht="15.75" customHeight="1">
      <c r="A2" s="4"/>
      <c r="B2" s="4"/>
      <c r="C2" s="4"/>
      <c r="D2" s="4"/>
      <c r="E2" s="4"/>
      <c r="F2" s="4"/>
      <c r="G2" s="97"/>
      <c r="H2" s="4"/>
      <c r="I2" s="4"/>
      <c r="J2" s="97"/>
      <c r="K2" s="4"/>
      <c r="L2" s="4"/>
      <c r="M2" s="97"/>
      <c r="N2" s="58"/>
      <c r="O2" s="58"/>
      <c r="P2" s="341" t="s">
        <v>31</v>
      </c>
      <c r="Q2" s="341"/>
      <c r="R2" s="341"/>
      <c r="T2" s="9"/>
      <c r="U2" s="9"/>
      <c r="V2" s="9"/>
    </row>
    <row r="3" spans="1:22" ht="20.25" customHeight="1">
      <c r="A3" s="4"/>
      <c r="B3" s="4"/>
      <c r="C3" s="4"/>
      <c r="D3" s="4"/>
      <c r="E3" s="4"/>
      <c r="F3" s="4"/>
      <c r="G3" s="97"/>
      <c r="H3" s="4"/>
      <c r="I3" s="4"/>
      <c r="J3" s="97"/>
      <c r="K3" s="4"/>
      <c r="L3" s="4"/>
      <c r="M3" s="97"/>
      <c r="N3" s="58"/>
      <c r="O3" s="58"/>
      <c r="P3" s="341" t="s">
        <v>62</v>
      </c>
      <c r="Q3" s="341"/>
      <c r="R3" s="341"/>
      <c r="T3" s="9"/>
      <c r="U3" s="9"/>
      <c r="V3" s="9"/>
    </row>
    <row r="4" spans="1:22" ht="21" customHeight="1">
      <c r="A4" s="4"/>
      <c r="B4" s="4"/>
      <c r="C4" s="4"/>
      <c r="D4" s="4"/>
      <c r="E4" s="4"/>
      <c r="F4" s="4"/>
      <c r="G4" s="97"/>
      <c r="H4" s="4"/>
      <c r="I4" s="4"/>
      <c r="J4" s="97"/>
      <c r="K4" s="4"/>
      <c r="L4" s="4"/>
      <c r="M4" s="97"/>
      <c r="N4" s="58"/>
      <c r="O4" s="58"/>
      <c r="P4" s="341" t="s">
        <v>112</v>
      </c>
      <c r="Q4" s="341"/>
      <c r="R4" s="341"/>
      <c r="T4" s="9"/>
      <c r="U4" s="9"/>
      <c r="V4" s="9"/>
    </row>
    <row r="5" spans="1:22" ht="26.25" hidden="1">
      <c r="A5" s="4"/>
      <c r="B5" s="4"/>
      <c r="C5" s="4"/>
      <c r="D5" s="4"/>
      <c r="E5" s="4"/>
      <c r="F5" s="4"/>
      <c r="G5" s="97"/>
      <c r="H5" s="4"/>
      <c r="I5" s="4"/>
      <c r="J5" s="97"/>
      <c r="K5" s="4"/>
      <c r="L5" s="4"/>
      <c r="M5" s="97"/>
      <c r="N5" s="58"/>
      <c r="O5" s="58"/>
      <c r="P5" s="103"/>
      <c r="Q5" s="59"/>
      <c r="R5" s="103"/>
      <c r="T5" s="9"/>
      <c r="U5" s="9"/>
      <c r="V5" s="9"/>
    </row>
    <row r="6" spans="1:22" ht="82.5" customHeight="1">
      <c r="A6" s="274" t="s">
        <v>94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T6" s="9"/>
      <c r="U6" s="9"/>
      <c r="V6" s="9"/>
    </row>
    <row r="7" spans="1:22" ht="33.75" customHeight="1">
      <c r="A7" s="342" t="s">
        <v>95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T7" s="9"/>
      <c r="U7" s="9"/>
      <c r="V7" s="9"/>
    </row>
    <row r="8" spans="1:22" ht="30.75" customHeight="1">
      <c r="A8" s="350" t="s">
        <v>15</v>
      </c>
      <c r="B8" s="335" t="s">
        <v>0</v>
      </c>
      <c r="C8" s="336"/>
      <c r="D8" s="337"/>
      <c r="E8" s="332" t="s">
        <v>1</v>
      </c>
      <c r="F8" s="333"/>
      <c r="G8" s="334"/>
      <c r="H8" s="332" t="s">
        <v>3</v>
      </c>
      <c r="I8" s="333"/>
      <c r="J8" s="334"/>
      <c r="K8" s="332" t="s">
        <v>4</v>
      </c>
      <c r="L8" s="333"/>
      <c r="M8" s="334"/>
      <c r="N8" s="332" t="s">
        <v>6</v>
      </c>
      <c r="O8" s="333"/>
      <c r="P8" s="334"/>
      <c r="Q8" s="332" t="s">
        <v>7</v>
      </c>
      <c r="R8" s="334"/>
      <c r="U8" s="9"/>
      <c r="V8" s="9"/>
    </row>
    <row r="9" spans="1:22" ht="25.5">
      <c r="A9" s="351"/>
      <c r="B9" s="338"/>
      <c r="C9" s="339"/>
      <c r="D9" s="340"/>
      <c r="E9" s="197"/>
      <c r="F9" s="197" t="s">
        <v>2</v>
      </c>
      <c r="G9" s="198" t="s">
        <v>5</v>
      </c>
      <c r="H9" s="197"/>
      <c r="I9" s="199" t="s">
        <v>2</v>
      </c>
      <c r="J9" s="198" t="s">
        <v>5</v>
      </c>
      <c r="K9" s="197"/>
      <c r="L9" s="197" t="s">
        <v>2</v>
      </c>
      <c r="M9" s="198" t="s">
        <v>5</v>
      </c>
      <c r="N9" s="197" t="s">
        <v>2</v>
      </c>
      <c r="O9" s="197" t="s">
        <v>2</v>
      </c>
      <c r="P9" s="198" t="s">
        <v>5</v>
      </c>
      <c r="Q9" s="197" t="s">
        <v>2</v>
      </c>
      <c r="R9" s="198" t="s">
        <v>5</v>
      </c>
      <c r="U9" s="9"/>
      <c r="V9" s="9"/>
    </row>
    <row r="10" spans="1:22" s="89" customFormat="1" ht="30" customHeight="1">
      <c r="A10" s="200">
        <v>1</v>
      </c>
      <c r="B10" s="314" t="s">
        <v>33</v>
      </c>
      <c r="C10" s="315"/>
      <c r="D10" s="316"/>
      <c r="E10" s="201">
        <v>22.6</v>
      </c>
      <c r="F10" s="202">
        <v>15</v>
      </c>
      <c r="G10" s="203">
        <f>F10*F48</f>
        <v>78823.65</v>
      </c>
      <c r="H10" s="204">
        <v>7.9</v>
      </c>
      <c r="I10" s="205">
        <v>7</v>
      </c>
      <c r="J10" s="203">
        <f>I10*F48</f>
        <v>36784.369999999995</v>
      </c>
      <c r="K10" s="204">
        <v>2.9</v>
      </c>
      <c r="L10" s="205">
        <v>1</v>
      </c>
      <c r="M10" s="203">
        <f>L10*G48</f>
        <v>5381.57</v>
      </c>
      <c r="N10" s="204">
        <v>20.6</v>
      </c>
      <c r="O10" s="205">
        <v>17</v>
      </c>
      <c r="P10" s="229">
        <f>O10*G48</f>
        <v>91486.69</v>
      </c>
      <c r="Q10" s="204">
        <f aca="true" t="shared" si="0" ref="Q10:R14">F10+I10+L10+O10</f>
        <v>40</v>
      </c>
      <c r="R10" s="203">
        <f t="shared" si="0"/>
        <v>212476.28</v>
      </c>
      <c r="S10" s="86"/>
      <c r="T10" s="93"/>
      <c r="U10" s="88"/>
      <c r="V10" s="87"/>
    </row>
    <row r="11" spans="1:22" s="89" customFormat="1" ht="30" customHeight="1">
      <c r="A11" s="200">
        <v>2</v>
      </c>
      <c r="B11" s="314" t="s">
        <v>41</v>
      </c>
      <c r="C11" s="315"/>
      <c r="D11" s="316"/>
      <c r="E11" s="201"/>
      <c r="F11" s="202">
        <f>F12+F13+F14+F15+F16+F17</f>
        <v>2553.46</v>
      </c>
      <c r="G11" s="203">
        <f aca="true" t="shared" si="1" ref="G11:Q11">G12+G13+G14+G15+G16+G17</f>
        <v>13418202.488599999</v>
      </c>
      <c r="H11" s="204">
        <f t="shared" si="1"/>
        <v>1508.1</v>
      </c>
      <c r="I11" s="205">
        <f t="shared" si="1"/>
        <v>1034.0700000000002</v>
      </c>
      <c r="J11" s="203">
        <v>5433944.79</v>
      </c>
      <c r="K11" s="204">
        <f t="shared" si="1"/>
        <v>453.7</v>
      </c>
      <c r="L11" s="205">
        <f t="shared" si="1"/>
        <v>283.974</v>
      </c>
      <c r="M11" s="203">
        <v>1528225.97</v>
      </c>
      <c r="N11" s="204">
        <f t="shared" si="1"/>
        <v>3033.1</v>
      </c>
      <c r="O11" s="205">
        <f t="shared" si="1"/>
        <v>2193.691</v>
      </c>
      <c r="P11" s="229">
        <v>11805501.68</v>
      </c>
      <c r="Q11" s="204">
        <f t="shared" si="1"/>
        <v>6065.1900000000005</v>
      </c>
      <c r="R11" s="203">
        <v>32185874.93</v>
      </c>
      <c r="S11" s="86"/>
      <c r="T11" s="93"/>
      <c r="U11" s="88"/>
      <c r="V11" s="87"/>
    </row>
    <row r="12" spans="1:21" s="15" customFormat="1" ht="29.25" customHeight="1">
      <c r="A12" s="206"/>
      <c r="B12" s="292" t="s">
        <v>34</v>
      </c>
      <c r="C12" s="312"/>
      <c r="D12" s="313"/>
      <c r="E12" s="207">
        <v>968.6</v>
      </c>
      <c r="F12" s="208">
        <v>450</v>
      </c>
      <c r="G12" s="230">
        <f>F12*F48</f>
        <v>2364709.5</v>
      </c>
      <c r="H12" s="210">
        <v>347.1</v>
      </c>
      <c r="I12" s="211">
        <v>210</v>
      </c>
      <c r="J12" s="230">
        <f>I12*F48</f>
        <v>1103531.0999999999</v>
      </c>
      <c r="K12" s="210">
        <v>138.9</v>
      </c>
      <c r="L12" s="211">
        <v>50</v>
      </c>
      <c r="M12" s="230">
        <f>L12*G48</f>
        <v>269078.5</v>
      </c>
      <c r="N12" s="210">
        <v>879.1</v>
      </c>
      <c r="O12" s="211">
        <v>290</v>
      </c>
      <c r="P12" s="230">
        <f>O12*G48</f>
        <v>1560655.2999999998</v>
      </c>
      <c r="Q12" s="210">
        <f t="shared" si="0"/>
        <v>1000</v>
      </c>
      <c r="R12" s="209">
        <f t="shared" si="0"/>
        <v>5297974.399999999</v>
      </c>
      <c r="S12" s="60"/>
      <c r="T12" s="14"/>
      <c r="U12" s="14"/>
    </row>
    <row r="13" spans="1:22" ht="25.5" customHeight="1">
      <c r="A13" s="212"/>
      <c r="B13" s="292" t="s">
        <v>35</v>
      </c>
      <c r="C13" s="312"/>
      <c r="D13" s="313"/>
      <c r="E13" s="207">
        <v>275.5</v>
      </c>
      <c r="F13" s="208">
        <v>260.8</v>
      </c>
      <c r="G13" s="232">
        <f>F13*F48</f>
        <v>1370480.528</v>
      </c>
      <c r="H13" s="210">
        <v>101.3</v>
      </c>
      <c r="I13" s="211">
        <v>82.4</v>
      </c>
      <c r="J13" s="230">
        <f>I13*F48</f>
        <v>433004.58400000003</v>
      </c>
      <c r="K13" s="210">
        <v>40.3</v>
      </c>
      <c r="L13" s="211">
        <v>24.8</v>
      </c>
      <c r="M13" s="230">
        <f>L13*G48</f>
        <v>133462.936</v>
      </c>
      <c r="N13" s="210">
        <v>245.5</v>
      </c>
      <c r="O13" s="211">
        <v>214.4</v>
      </c>
      <c r="P13" s="230">
        <f>O13*G48</f>
        <v>1153808.608</v>
      </c>
      <c r="Q13" s="210">
        <f t="shared" si="0"/>
        <v>582.4000000000001</v>
      </c>
      <c r="R13" s="209">
        <f t="shared" si="0"/>
        <v>3090756.656</v>
      </c>
      <c r="S13" s="60"/>
      <c r="T13" s="10"/>
      <c r="U13" s="8"/>
      <c r="V13" s="9"/>
    </row>
    <row r="14" spans="1:22" ht="27.75" customHeight="1">
      <c r="A14" s="212"/>
      <c r="B14" s="292" t="s">
        <v>36</v>
      </c>
      <c r="C14" s="312"/>
      <c r="D14" s="313"/>
      <c r="E14" s="207">
        <v>1020.1</v>
      </c>
      <c r="F14" s="208">
        <v>874.5</v>
      </c>
      <c r="G14" s="230">
        <f>F14*F48</f>
        <v>4595418.795</v>
      </c>
      <c r="H14" s="210">
        <v>343</v>
      </c>
      <c r="I14" s="211">
        <v>313.8</v>
      </c>
      <c r="J14" s="230">
        <f>I14*F48</f>
        <v>1648990.758</v>
      </c>
      <c r="K14" s="210">
        <v>122.2</v>
      </c>
      <c r="L14" s="211">
        <v>95.1</v>
      </c>
      <c r="M14" s="230">
        <f>L14*G48</f>
        <v>511787.3069999999</v>
      </c>
      <c r="N14" s="210">
        <v>920.9</v>
      </c>
      <c r="O14" s="211">
        <v>816.6</v>
      </c>
      <c r="P14" s="230">
        <f>O14*G48</f>
        <v>4394590.062</v>
      </c>
      <c r="Q14" s="210">
        <f t="shared" si="0"/>
        <v>2100</v>
      </c>
      <c r="R14" s="209">
        <v>11150786.93</v>
      </c>
      <c r="S14" s="60"/>
      <c r="T14" s="10"/>
      <c r="U14" s="8"/>
      <c r="V14" s="9"/>
    </row>
    <row r="15" spans="1:22" ht="27.75" customHeight="1">
      <c r="A15" s="213"/>
      <c r="B15" s="292" t="s">
        <v>37</v>
      </c>
      <c r="C15" s="312"/>
      <c r="D15" s="313"/>
      <c r="E15" s="214">
        <v>186.3</v>
      </c>
      <c r="F15" s="208">
        <v>215.9</v>
      </c>
      <c r="G15" s="230">
        <f>F15*F48</f>
        <v>1134535.069</v>
      </c>
      <c r="H15" s="210">
        <v>55.3</v>
      </c>
      <c r="I15" s="211">
        <v>74.5</v>
      </c>
      <c r="J15" s="230">
        <f>I15*F48</f>
        <v>391490.795</v>
      </c>
      <c r="K15" s="210">
        <v>2.8</v>
      </c>
      <c r="L15" s="211">
        <v>24.7</v>
      </c>
      <c r="M15" s="230">
        <f>L15*G48</f>
        <v>132924.77899999998</v>
      </c>
      <c r="N15" s="210">
        <v>158.5</v>
      </c>
      <c r="O15" s="211">
        <v>181.1</v>
      </c>
      <c r="P15" s="230">
        <f>O15*G48</f>
        <v>974602.3269999999</v>
      </c>
      <c r="Q15" s="210">
        <f aca="true" t="shared" si="2" ref="Q15:R20">F15+I15+L15+O15</f>
        <v>496.19999999999993</v>
      </c>
      <c r="R15" s="209">
        <v>2633552.98</v>
      </c>
      <c r="S15" s="60"/>
      <c r="T15" s="10"/>
      <c r="U15" s="8"/>
      <c r="V15" s="9"/>
    </row>
    <row r="16" spans="1:22" ht="30" customHeight="1">
      <c r="A16" s="213"/>
      <c r="B16" s="292" t="s">
        <v>38</v>
      </c>
      <c r="C16" s="312"/>
      <c r="D16" s="313"/>
      <c r="E16" s="214">
        <v>619</v>
      </c>
      <c r="F16" s="208">
        <v>550.4</v>
      </c>
      <c r="G16" s="230">
        <f>F16*F48</f>
        <v>2892302.4639999997</v>
      </c>
      <c r="H16" s="210">
        <v>532.4</v>
      </c>
      <c r="I16" s="211">
        <v>193.1</v>
      </c>
      <c r="J16" s="230">
        <f>I16*F48</f>
        <v>1014723.1209999999</v>
      </c>
      <c r="K16" s="210">
        <v>142.3</v>
      </c>
      <c r="L16" s="211">
        <v>65</v>
      </c>
      <c r="M16" s="230">
        <f>L16*G48</f>
        <v>349802.05</v>
      </c>
      <c r="N16" s="210">
        <v>646.5</v>
      </c>
      <c r="O16" s="211">
        <v>463.1</v>
      </c>
      <c r="P16" s="230">
        <f>O16*G48</f>
        <v>2492205.067</v>
      </c>
      <c r="Q16" s="210">
        <f t="shared" si="2"/>
        <v>1271.6</v>
      </c>
      <c r="R16" s="209">
        <f t="shared" si="2"/>
        <v>6749032.702</v>
      </c>
      <c r="S16" s="60"/>
      <c r="T16" s="10"/>
      <c r="U16" s="8"/>
      <c r="V16" s="9"/>
    </row>
    <row r="17" spans="1:22" ht="52.5" customHeight="1">
      <c r="A17" s="213"/>
      <c r="B17" s="292" t="s">
        <v>39</v>
      </c>
      <c r="C17" s="312"/>
      <c r="D17" s="313"/>
      <c r="E17" s="214">
        <v>277.52</v>
      </c>
      <c r="F17" s="215">
        <v>201.86</v>
      </c>
      <c r="G17" s="230">
        <f>F17*F48</f>
        <v>1060756.1326000001</v>
      </c>
      <c r="H17" s="210">
        <v>129</v>
      </c>
      <c r="I17" s="216">
        <v>160.27</v>
      </c>
      <c r="J17" s="230">
        <f>I17*F48</f>
        <v>842204.4257</v>
      </c>
      <c r="K17" s="210">
        <v>7.2</v>
      </c>
      <c r="L17" s="216">
        <v>24.374</v>
      </c>
      <c r="M17" s="230">
        <f>L17*G48</f>
        <v>131170.38718</v>
      </c>
      <c r="N17" s="210">
        <v>182.6</v>
      </c>
      <c r="O17" s="216">
        <v>228.491</v>
      </c>
      <c r="P17" s="230">
        <f>O17*G48</f>
        <v>1229640.31087</v>
      </c>
      <c r="Q17" s="210">
        <v>614.99</v>
      </c>
      <c r="R17" s="209">
        <f t="shared" si="2"/>
        <v>3263771.2563500004</v>
      </c>
      <c r="S17" s="61"/>
      <c r="T17" s="10"/>
      <c r="U17" s="8"/>
      <c r="V17" s="9"/>
    </row>
    <row r="18" spans="1:22" s="89" customFormat="1" ht="30.75" customHeight="1">
      <c r="A18" s="200">
        <v>3</v>
      </c>
      <c r="B18" s="314" t="s">
        <v>42</v>
      </c>
      <c r="C18" s="315"/>
      <c r="D18" s="316"/>
      <c r="E18" s="217"/>
      <c r="F18" s="236">
        <f>SUM(F19:F22)</f>
        <v>268.26800000000003</v>
      </c>
      <c r="G18" s="203">
        <f>SUM(G19:G22)</f>
        <v>1409724.19588</v>
      </c>
      <c r="H18" s="204">
        <f>SUM(H19:H20)</f>
        <v>0</v>
      </c>
      <c r="I18" s="238">
        <f aca="true" t="shared" si="3" ref="I18:R18">SUM(I19:I22)</f>
        <v>115.22799999999998</v>
      </c>
      <c r="J18" s="203">
        <f t="shared" si="3"/>
        <v>605512.7694799999</v>
      </c>
      <c r="K18" s="204">
        <f t="shared" si="3"/>
        <v>0</v>
      </c>
      <c r="L18" s="238">
        <f t="shared" si="3"/>
        <v>47.708</v>
      </c>
      <c r="M18" s="203">
        <f t="shared" si="3"/>
        <v>256743.94156</v>
      </c>
      <c r="N18" s="204">
        <f t="shared" si="3"/>
        <v>0</v>
      </c>
      <c r="O18" s="238">
        <f t="shared" si="3"/>
        <v>237.43800000000002</v>
      </c>
      <c r="P18" s="229">
        <f t="shared" si="3"/>
        <v>1277789.2176599998</v>
      </c>
      <c r="Q18" s="240">
        <f t="shared" si="3"/>
        <v>668.65</v>
      </c>
      <c r="R18" s="203">
        <f t="shared" si="3"/>
        <v>3549770.1245799996</v>
      </c>
      <c r="S18" s="86"/>
      <c r="T18" s="93"/>
      <c r="U18" s="88"/>
      <c r="V18" s="87"/>
    </row>
    <row r="19" spans="1:22" s="89" customFormat="1" ht="30.75" customHeight="1">
      <c r="A19" s="212"/>
      <c r="B19" s="292" t="s">
        <v>107</v>
      </c>
      <c r="C19" s="374"/>
      <c r="D19" s="375"/>
      <c r="E19" s="214"/>
      <c r="F19" s="237">
        <v>171.97</v>
      </c>
      <c r="G19" s="209">
        <f>F19*F48</f>
        <v>903686.8727</v>
      </c>
      <c r="H19" s="210"/>
      <c r="I19" s="239">
        <v>59.55</v>
      </c>
      <c r="J19" s="209">
        <f>I19*F48</f>
        <v>312929.8905</v>
      </c>
      <c r="K19" s="210"/>
      <c r="L19" s="239">
        <v>10.18</v>
      </c>
      <c r="M19" s="209">
        <f>L19*G48</f>
        <v>54784.3826</v>
      </c>
      <c r="N19" s="210"/>
      <c r="O19" s="239">
        <v>149.57</v>
      </c>
      <c r="P19" s="230">
        <f>O19*G48</f>
        <v>804921.4248999999</v>
      </c>
      <c r="Q19" s="241">
        <f t="shared" si="2"/>
        <v>391.27</v>
      </c>
      <c r="R19" s="209">
        <f t="shared" si="2"/>
        <v>2076322.5706999996</v>
      </c>
      <c r="S19" s="86"/>
      <c r="T19" s="93"/>
      <c r="U19" s="88"/>
      <c r="V19" s="87"/>
    </row>
    <row r="20" spans="1:22" s="89" customFormat="1" ht="30.75" customHeight="1">
      <c r="A20" s="212"/>
      <c r="B20" s="292" t="s">
        <v>108</v>
      </c>
      <c r="C20" s="374"/>
      <c r="D20" s="375"/>
      <c r="E20" s="214"/>
      <c r="F20" s="237">
        <v>16.668</v>
      </c>
      <c r="G20" s="209">
        <f>F20*F48</f>
        <v>87588.83988</v>
      </c>
      <c r="H20" s="210"/>
      <c r="I20" s="239">
        <v>16.668</v>
      </c>
      <c r="J20" s="209">
        <f>I20*F48</f>
        <v>87588.83988</v>
      </c>
      <c r="K20" s="210"/>
      <c r="L20" s="239">
        <v>16.668</v>
      </c>
      <c r="M20" s="209">
        <f>L20*G48</f>
        <v>89700.00876</v>
      </c>
      <c r="N20" s="210"/>
      <c r="O20" s="239">
        <v>16.668</v>
      </c>
      <c r="P20" s="230">
        <f>O20*G48</f>
        <v>89700.00876</v>
      </c>
      <c r="Q20" s="241">
        <v>66.68</v>
      </c>
      <c r="R20" s="209">
        <f t="shared" si="2"/>
        <v>354577.69727999996</v>
      </c>
      <c r="S20" s="86"/>
      <c r="T20" s="93"/>
      <c r="U20" s="88"/>
      <c r="V20" s="87"/>
    </row>
    <row r="21" spans="1:22" s="89" customFormat="1" ht="24.75" customHeight="1">
      <c r="A21" s="212"/>
      <c r="B21" s="292" t="s">
        <v>110</v>
      </c>
      <c r="C21" s="293"/>
      <c r="D21" s="294"/>
      <c r="E21" s="214"/>
      <c r="F21" s="237">
        <v>17.02</v>
      </c>
      <c r="G21" s="209">
        <f>F21*F48</f>
        <v>89438.5682</v>
      </c>
      <c r="H21" s="210"/>
      <c r="I21" s="239">
        <v>17.02</v>
      </c>
      <c r="J21" s="209">
        <f>I21*F48</f>
        <v>89438.5682</v>
      </c>
      <c r="K21" s="210"/>
      <c r="L21" s="239">
        <v>17.02</v>
      </c>
      <c r="M21" s="209">
        <f>L21*G48</f>
        <v>91594.32139999999</v>
      </c>
      <c r="N21" s="210"/>
      <c r="O21" s="239">
        <v>17.02</v>
      </c>
      <c r="P21" s="230">
        <f>O21*G48</f>
        <v>91594.32139999999</v>
      </c>
      <c r="Q21" s="241">
        <f>F21+I21+L21+O21</f>
        <v>68.08</v>
      </c>
      <c r="R21" s="209">
        <f>G21+J21+M21+P21</f>
        <v>362065.7792</v>
      </c>
      <c r="S21" s="86"/>
      <c r="T21" s="93"/>
      <c r="U21" s="88"/>
      <c r="V21" s="87"/>
    </row>
    <row r="22" spans="1:22" s="89" customFormat="1" ht="23.25" customHeight="1">
      <c r="A22" s="212"/>
      <c r="B22" s="292" t="s">
        <v>109</v>
      </c>
      <c r="C22" s="293"/>
      <c r="D22" s="294"/>
      <c r="E22" s="214"/>
      <c r="F22" s="237">
        <v>62.61</v>
      </c>
      <c r="G22" s="209">
        <f>F22*F48</f>
        <v>329009.9151</v>
      </c>
      <c r="H22" s="210"/>
      <c r="I22" s="239">
        <v>21.99</v>
      </c>
      <c r="J22" s="209">
        <f>I22*F48</f>
        <v>115555.47089999999</v>
      </c>
      <c r="K22" s="210"/>
      <c r="L22" s="239">
        <v>3.84</v>
      </c>
      <c r="M22" s="209">
        <f>L22*G48</f>
        <v>20665.228799999997</v>
      </c>
      <c r="N22" s="210"/>
      <c r="O22" s="239">
        <v>54.18</v>
      </c>
      <c r="P22" s="230">
        <f>O22*G48</f>
        <v>291573.46259999997</v>
      </c>
      <c r="Q22" s="241">
        <f>F22+I22+L22+O22</f>
        <v>142.62</v>
      </c>
      <c r="R22" s="209">
        <f>G22+J22+M22+P22</f>
        <v>756804.0773999998</v>
      </c>
      <c r="S22" s="86"/>
      <c r="T22" s="93"/>
      <c r="U22" s="88"/>
      <c r="V22" s="87"/>
    </row>
    <row r="23" spans="1:22" s="89" customFormat="1" ht="39" customHeight="1">
      <c r="A23" s="200">
        <v>4</v>
      </c>
      <c r="B23" s="314" t="s">
        <v>43</v>
      </c>
      <c r="C23" s="315"/>
      <c r="D23" s="316"/>
      <c r="E23" s="217"/>
      <c r="F23" s="202">
        <f>SUM(F24:F28)</f>
        <v>776.3199999999999</v>
      </c>
      <c r="G23" s="203">
        <f aca="true" t="shared" si="4" ref="G23:R23">SUM(G24:G28)</f>
        <v>1921434.635</v>
      </c>
      <c r="H23" s="204">
        <f t="shared" si="4"/>
        <v>0</v>
      </c>
      <c r="I23" s="205">
        <f t="shared" si="4"/>
        <v>750.42</v>
      </c>
      <c r="J23" s="203">
        <f t="shared" si="4"/>
        <v>1785332.466</v>
      </c>
      <c r="K23" s="204">
        <f t="shared" si="4"/>
        <v>0</v>
      </c>
      <c r="L23" s="205">
        <f t="shared" si="4"/>
        <v>741.8199999999999</v>
      </c>
      <c r="M23" s="203">
        <f t="shared" si="4"/>
        <v>1777149.5</v>
      </c>
      <c r="N23" s="204">
        <f t="shared" si="4"/>
        <v>0</v>
      </c>
      <c r="O23" s="205">
        <f t="shared" si="4"/>
        <v>769.8199999999999</v>
      </c>
      <c r="P23" s="229">
        <f t="shared" si="4"/>
        <v>1927833.46</v>
      </c>
      <c r="Q23" s="204">
        <f t="shared" si="4"/>
        <v>3038.38</v>
      </c>
      <c r="R23" s="203">
        <f t="shared" si="4"/>
        <v>7411750.069999999</v>
      </c>
      <c r="S23" s="86"/>
      <c r="T23" s="88"/>
      <c r="U23" s="88"/>
      <c r="V23" s="87"/>
    </row>
    <row r="24" spans="1:22" ht="24.75" customHeight="1">
      <c r="A24" s="343"/>
      <c r="B24" s="344" t="s">
        <v>44</v>
      </c>
      <c r="C24" s="345"/>
      <c r="D24" s="346"/>
      <c r="E24" s="214"/>
      <c r="F24" s="369">
        <v>38.5</v>
      </c>
      <c r="G24" s="368">
        <f>F24*F48</f>
        <v>202314.035</v>
      </c>
      <c r="H24" s="210"/>
      <c r="I24" s="371">
        <v>12.6</v>
      </c>
      <c r="J24" s="368">
        <f>I24*F48</f>
        <v>66211.866</v>
      </c>
      <c r="K24" s="210"/>
      <c r="L24" s="371">
        <v>4</v>
      </c>
      <c r="M24" s="368">
        <f>L24*G48</f>
        <v>21526.28</v>
      </c>
      <c r="N24" s="210"/>
      <c r="O24" s="371">
        <v>32</v>
      </c>
      <c r="P24" s="372">
        <f>O24*G48</f>
        <v>172210.24</v>
      </c>
      <c r="Q24" s="324">
        <f aca="true" t="shared" si="5" ref="Q24:R28">F24+I24+L24+O24</f>
        <v>87.1</v>
      </c>
      <c r="R24" s="368">
        <v>462262.43</v>
      </c>
      <c r="S24" s="60"/>
      <c r="T24" s="8"/>
      <c r="U24" s="8"/>
      <c r="V24" s="9"/>
    </row>
    <row r="25" spans="1:22" ht="34.5" customHeight="1" hidden="1">
      <c r="A25" s="325"/>
      <c r="B25" s="347"/>
      <c r="C25" s="348"/>
      <c r="D25" s="349"/>
      <c r="E25" s="214"/>
      <c r="F25" s="370"/>
      <c r="G25" s="325"/>
      <c r="H25" s="210"/>
      <c r="I25" s="325"/>
      <c r="J25" s="325"/>
      <c r="K25" s="210"/>
      <c r="L25" s="325"/>
      <c r="M25" s="325"/>
      <c r="N25" s="210"/>
      <c r="O25" s="325"/>
      <c r="P25" s="373"/>
      <c r="Q25" s="325"/>
      <c r="R25" s="325"/>
      <c r="S25" s="60"/>
      <c r="T25" s="8"/>
      <c r="U25" s="8"/>
      <c r="V25" s="9"/>
    </row>
    <row r="26" spans="1:22" ht="32.25" customHeight="1" hidden="1">
      <c r="A26" s="213"/>
      <c r="B26" s="292" t="s">
        <v>46</v>
      </c>
      <c r="C26" s="312"/>
      <c r="D26" s="313"/>
      <c r="E26" s="214"/>
      <c r="F26" s="208"/>
      <c r="G26" s="209">
        <f>F26*F48</f>
        <v>0</v>
      </c>
      <c r="H26" s="210"/>
      <c r="I26" s="211"/>
      <c r="J26" s="209">
        <f>I26*F48</f>
        <v>0</v>
      </c>
      <c r="K26" s="210"/>
      <c r="L26" s="211"/>
      <c r="M26" s="209">
        <f>L26*G48</f>
        <v>0</v>
      </c>
      <c r="N26" s="210"/>
      <c r="O26" s="211"/>
      <c r="P26" s="230">
        <f>O26*G48</f>
        <v>0</v>
      </c>
      <c r="Q26" s="210">
        <f t="shared" si="5"/>
        <v>0</v>
      </c>
      <c r="R26" s="209">
        <f t="shared" si="5"/>
        <v>0</v>
      </c>
      <c r="S26" s="60"/>
      <c r="T26" s="8"/>
      <c r="U26" s="8"/>
      <c r="V26" s="9"/>
    </row>
    <row r="27" spans="1:22" ht="29.25" customHeight="1">
      <c r="A27" s="213"/>
      <c r="B27" s="292" t="s">
        <v>105</v>
      </c>
      <c r="C27" s="293"/>
      <c r="D27" s="294"/>
      <c r="E27" s="214"/>
      <c r="F27" s="208">
        <v>43.68</v>
      </c>
      <c r="G27" s="209">
        <f>F27*I48</f>
        <v>101774.4</v>
      </c>
      <c r="H27" s="210"/>
      <c r="I27" s="211">
        <v>43.68</v>
      </c>
      <c r="J27" s="209">
        <f>I27*I48</f>
        <v>101774.4</v>
      </c>
      <c r="K27" s="210"/>
      <c r="L27" s="211">
        <v>43.68</v>
      </c>
      <c r="M27" s="209">
        <f>L27*J48</f>
        <v>104264.16</v>
      </c>
      <c r="N27" s="210"/>
      <c r="O27" s="211">
        <v>43.68</v>
      </c>
      <c r="P27" s="230">
        <f>O27*J48</f>
        <v>104264.16</v>
      </c>
      <c r="Q27" s="210">
        <f t="shared" si="5"/>
        <v>174.72</v>
      </c>
      <c r="R27" s="209">
        <f t="shared" si="5"/>
        <v>412077.12</v>
      </c>
      <c r="S27" s="60"/>
      <c r="T27" s="8"/>
      <c r="U27" s="8"/>
      <c r="V27" s="9"/>
    </row>
    <row r="28" spans="1:22" ht="29.25" customHeight="1">
      <c r="A28" s="213"/>
      <c r="B28" s="292" t="s">
        <v>106</v>
      </c>
      <c r="C28" s="293"/>
      <c r="D28" s="294"/>
      <c r="E28" s="214"/>
      <c r="F28" s="208">
        <v>694.14</v>
      </c>
      <c r="G28" s="209">
        <f>F28*L48</f>
        <v>1617346.2</v>
      </c>
      <c r="H28" s="210"/>
      <c r="I28" s="211">
        <v>694.14</v>
      </c>
      <c r="J28" s="209">
        <f>I28*L48</f>
        <v>1617346.2</v>
      </c>
      <c r="K28" s="210"/>
      <c r="L28" s="211">
        <v>694.14</v>
      </c>
      <c r="M28" s="209">
        <f>L28*M48</f>
        <v>1651359.06</v>
      </c>
      <c r="N28" s="210"/>
      <c r="O28" s="211">
        <v>694.14</v>
      </c>
      <c r="P28" s="230">
        <f>O28*M48</f>
        <v>1651359.06</v>
      </c>
      <c r="Q28" s="210">
        <f t="shared" si="5"/>
        <v>2776.56</v>
      </c>
      <c r="R28" s="209">
        <f t="shared" si="5"/>
        <v>6537410.52</v>
      </c>
      <c r="S28" s="60"/>
      <c r="T28" s="8"/>
      <c r="U28" s="8"/>
      <c r="V28" s="9"/>
    </row>
    <row r="29" spans="1:22" s="89" customFormat="1" ht="56.25" customHeight="1">
      <c r="A29" s="200">
        <v>5</v>
      </c>
      <c r="B29" s="314" t="s">
        <v>47</v>
      </c>
      <c r="C29" s="315"/>
      <c r="D29" s="316"/>
      <c r="E29" s="217"/>
      <c r="F29" s="202">
        <f>F30+F31+F32+F33</f>
        <v>587.9200000000001</v>
      </c>
      <c r="G29" s="203">
        <f>G30+G31+G32+G33</f>
        <v>3089466.6871999996</v>
      </c>
      <c r="H29" s="204"/>
      <c r="I29" s="205">
        <f>I30+I31+I32+I33</f>
        <v>259.69</v>
      </c>
      <c r="J29" s="203">
        <v>1364647.57</v>
      </c>
      <c r="K29" s="204"/>
      <c r="L29" s="205">
        <f>L30+L31+L32+L33</f>
        <v>134.26</v>
      </c>
      <c r="M29" s="203">
        <f>M30+M31+M32+M33</f>
        <v>722529.5881999999</v>
      </c>
      <c r="N29" s="204"/>
      <c r="O29" s="205">
        <f>O30+O31+O32+O33</f>
        <v>440.49</v>
      </c>
      <c r="P29" s="229">
        <f>P30+P31+P32+P33</f>
        <v>2370527.7693</v>
      </c>
      <c r="Q29" s="204">
        <f>Q30+Q31+Q32+Q33</f>
        <v>1422.3600000000001</v>
      </c>
      <c r="R29" s="203">
        <f>R30+R31+R32+R33</f>
        <v>7547171.62</v>
      </c>
      <c r="S29" s="86"/>
      <c r="T29" s="88"/>
      <c r="U29" s="88"/>
      <c r="V29" s="87"/>
    </row>
    <row r="30" spans="1:22" ht="33" customHeight="1">
      <c r="A30" s="213"/>
      <c r="B30" s="292" t="s">
        <v>48</v>
      </c>
      <c r="C30" s="312"/>
      <c r="D30" s="313"/>
      <c r="E30" s="214"/>
      <c r="F30" s="208">
        <v>12.43</v>
      </c>
      <c r="G30" s="209">
        <f>F30*F48</f>
        <v>65318.531299999995</v>
      </c>
      <c r="H30" s="210"/>
      <c r="I30" s="211">
        <v>12.43</v>
      </c>
      <c r="J30" s="209">
        <f>I30*F48</f>
        <v>65318.531299999995</v>
      </c>
      <c r="K30" s="210"/>
      <c r="L30" s="211">
        <v>12.43</v>
      </c>
      <c r="M30" s="209">
        <f>L30*G48</f>
        <v>66892.9151</v>
      </c>
      <c r="N30" s="210"/>
      <c r="O30" s="211">
        <v>12.43</v>
      </c>
      <c r="P30" s="230">
        <f>O30*G48</f>
        <v>66892.9151</v>
      </c>
      <c r="Q30" s="210">
        <f>F30+I30+L30+O30</f>
        <v>49.72</v>
      </c>
      <c r="R30" s="209">
        <v>264422.9</v>
      </c>
      <c r="S30" s="60"/>
      <c r="T30" s="8"/>
      <c r="U30" s="8"/>
      <c r="V30" s="9"/>
    </row>
    <row r="31" spans="1:22" ht="28.5" customHeight="1">
      <c r="A31" s="213"/>
      <c r="B31" s="292" t="s">
        <v>49</v>
      </c>
      <c r="C31" s="312"/>
      <c r="D31" s="313"/>
      <c r="E31" s="214"/>
      <c r="F31" s="208">
        <v>380.5</v>
      </c>
      <c r="G31" s="209">
        <f>F31*F48</f>
        <v>1999493.255</v>
      </c>
      <c r="H31" s="210"/>
      <c r="I31" s="211">
        <v>126.2</v>
      </c>
      <c r="J31" s="209">
        <f>I31*F48</f>
        <v>663169.642</v>
      </c>
      <c r="K31" s="210"/>
      <c r="L31" s="211">
        <v>26.22</v>
      </c>
      <c r="M31" s="209">
        <f>L31*G48</f>
        <v>141104.76539999997</v>
      </c>
      <c r="N31" s="210"/>
      <c r="O31" s="211">
        <v>256.07</v>
      </c>
      <c r="P31" s="230">
        <f>O31*G48</f>
        <v>1378058.6298999998</v>
      </c>
      <c r="Q31" s="210">
        <f>F31+I31+L31+O31</f>
        <v>788.99</v>
      </c>
      <c r="R31" s="209">
        <v>4181826.3</v>
      </c>
      <c r="S31" s="60"/>
      <c r="T31" s="8"/>
      <c r="U31" s="8"/>
      <c r="V31" s="9"/>
    </row>
    <row r="32" spans="1:22" ht="26.25" customHeight="1">
      <c r="A32" s="213"/>
      <c r="B32" s="292" t="s">
        <v>50</v>
      </c>
      <c r="C32" s="312"/>
      <c r="D32" s="313"/>
      <c r="E32" s="214"/>
      <c r="F32" s="208">
        <v>91.99</v>
      </c>
      <c r="G32" s="209">
        <f>F32*F48</f>
        <v>483399.17089999997</v>
      </c>
      <c r="H32" s="210"/>
      <c r="I32" s="211">
        <v>91.99</v>
      </c>
      <c r="J32" s="209">
        <f>I32*F48</f>
        <v>483399.17089999997</v>
      </c>
      <c r="K32" s="210"/>
      <c r="L32" s="211">
        <v>91.99</v>
      </c>
      <c r="M32" s="209">
        <f>L32*G48</f>
        <v>495050.62429999997</v>
      </c>
      <c r="N32" s="210"/>
      <c r="O32" s="211">
        <v>91.99</v>
      </c>
      <c r="P32" s="230">
        <f>O32*G48</f>
        <v>495050.62429999997</v>
      </c>
      <c r="Q32" s="210">
        <f>F32+I32+L32+O32</f>
        <v>367.96</v>
      </c>
      <c r="R32" s="209">
        <v>1956899.58</v>
      </c>
      <c r="S32" s="60"/>
      <c r="T32" s="8"/>
      <c r="U32" s="8"/>
      <c r="V32" s="9"/>
    </row>
    <row r="33" spans="1:22" ht="25.5" customHeight="1">
      <c r="A33" s="213"/>
      <c r="B33" s="292" t="s">
        <v>40</v>
      </c>
      <c r="C33" s="312"/>
      <c r="D33" s="313"/>
      <c r="E33" s="214">
        <v>112.1</v>
      </c>
      <c r="F33" s="208">
        <v>103</v>
      </c>
      <c r="G33" s="209">
        <f>F33*F48</f>
        <v>541255.73</v>
      </c>
      <c r="H33" s="210"/>
      <c r="I33" s="211">
        <v>29.07</v>
      </c>
      <c r="J33" s="209">
        <f>I33*F48</f>
        <v>152760.2337</v>
      </c>
      <c r="K33" s="210"/>
      <c r="L33" s="211">
        <v>3.62</v>
      </c>
      <c r="M33" s="209">
        <f>L33*G48</f>
        <v>19481.2834</v>
      </c>
      <c r="N33" s="210"/>
      <c r="O33" s="211">
        <v>80</v>
      </c>
      <c r="P33" s="230">
        <f>O33*G48</f>
        <v>430525.6</v>
      </c>
      <c r="Q33" s="210">
        <f>F33+I33+L33+O33</f>
        <v>215.69</v>
      </c>
      <c r="R33" s="209">
        <v>1144022.84</v>
      </c>
      <c r="S33" s="60"/>
      <c r="T33" s="8"/>
      <c r="U33" s="8"/>
      <c r="V33" s="9"/>
    </row>
    <row r="34" spans="1:22" s="89" customFormat="1" ht="28.5" customHeight="1">
      <c r="A34" s="200">
        <v>6</v>
      </c>
      <c r="B34" s="314" t="s">
        <v>53</v>
      </c>
      <c r="C34" s="315"/>
      <c r="D34" s="316"/>
      <c r="E34" s="217"/>
      <c r="F34" s="202">
        <f>F35+F36+F37</f>
        <v>950.4</v>
      </c>
      <c r="G34" s="203">
        <f>G35+G36+G37</f>
        <v>4994266.464</v>
      </c>
      <c r="H34" s="204"/>
      <c r="I34" s="205">
        <f>I35+I36+I37</f>
        <v>315.2</v>
      </c>
      <c r="J34" s="203">
        <f>J35+J36+J37</f>
        <v>1656347.6319999998</v>
      </c>
      <c r="K34" s="204"/>
      <c r="L34" s="205">
        <f>L35+L36+L37</f>
        <v>96.6</v>
      </c>
      <c r="M34" s="203">
        <f>M35+M36+M37</f>
        <v>519859.662</v>
      </c>
      <c r="N34" s="204"/>
      <c r="O34" s="205">
        <f>O35+O36+O37</f>
        <v>805.8</v>
      </c>
      <c r="P34" s="229">
        <f>P35+P36+P37</f>
        <v>4336469.106</v>
      </c>
      <c r="Q34" s="204">
        <f>Q35+Q36+Q37</f>
        <v>2168</v>
      </c>
      <c r="R34" s="203">
        <f>R35+R36+R37</f>
        <v>11506942.863999998</v>
      </c>
      <c r="S34" s="86"/>
      <c r="T34" s="88"/>
      <c r="U34" s="88"/>
      <c r="V34" s="87"/>
    </row>
    <row r="35" spans="1:22" ht="27" customHeight="1">
      <c r="A35" s="213"/>
      <c r="B35" s="309" t="s">
        <v>111</v>
      </c>
      <c r="C35" s="310"/>
      <c r="D35" s="311"/>
      <c r="E35" s="214"/>
      <c r="F35" s="208">
        <v>15</v>
      </c>
      <c r="G35" s="209">
        <f>F35*F48</f>
        <v>78823.65</v>
      </c>
      <c r="H35" s="210"/>
      <c r="I35" s="211">
        <v>6</v>
      </c>
      <c r="J35" s="209">
        <f>I35*F48</f>
        <v>31529.46</v>
      </c>
      <c r="K35" s="210"/>
      <c r="L35" s="211">
        <v>1</v>
      </c>
      <c r="M35" s="209">
        <f>L35*G48</f>
        <v>5381.57</v>
      </c>
      <c r="N35" s="210"/>
      <c r="O35" s="211">
        <v>28</v>
      </c>
      <c r="P35" s="230">
        <f>O35*G48</f>
        <v>150683.96</v>
      </c>
      <c r="Q35" s="210">
        <f>F35+I35+L35+O35</f>
        <v>50</v>
      </c>
      <c r="R35" s="209">
        <f>G35+J35+M35+P35</f>
        <v>266418.64</v>
      </c>
      <c r="S35" s="60"/>
      <c r="T35" s="8"/>
      <c r="U35" s="8"/>
      <c r="V35" s="9"/>
    </row>
    <row r="36" spans="1:22" ht="27" customHeight="1">
      <c r="A36" s="213"/>
      <c r="B36" s="292" t="s">
        <v>55</v>
      </c>
      <c r="C36" s="312"/>
      <c r="D36" s="313"/>
      <c r="E36" s="214"/>
      <c r="F36" s="208">
        <v>144</v>
      </c>
      <c r="G36" s="230">
        <f>F36*F48</f>
        <v>756707.04</v>
      </c>
      <c r="H36" s="210"/>
      <c r="I36" s="211">
        <v>65</v>
      </c>
      <c r="J36" s="230">
        <f>I36*F48</f>
        <v>341569.14999999997</v>
      </c>
      <c r="K36" s="210"/>
      <c r="L36" s="211">
        <v>13</v>
      </c>
      <c r="M36" s="230">
        <f>L36*G48</f>
        <v>69960.41</v>
      </c>
      <c r="N36" s="210"/>
      <c r="O36" s="211">
        <v>97</v>
      </c>
      <c r="P36" s="230">
        <f>O36*G48</f>
        <v>522012.29</v>
      </c>
      <c r="Q36" s="210">
        <f>F36+I36+L36+O36</f>
        <v>319</v>
      </c>
      <c r="R36" s="230">
        <f>G36+J36+M36+P36</f>
        <v>1690248.89</v>
      </c>
      <c r="S36" s="60"/>
      <c r="T36" s="8"/>
      <c r="U36" s="8"/>
      <c r="V36" s="9"/>
    </row>
    <row r="37" spans="1:22" ht="27" customHeight="1">
      <c r="A37" s="213"/>
      <c r="B37" s="292" t="s">
        <v>82</v>
      </c>
      <c r="C37" s="312"/>
      <c r="D37" s="313"/>
      <c r="E37" s="214"/>
      <c r="F37" s="208">
        <v>791.4</v>
      </c>
      <c r="G37" s="209">
        <f>SUM(F37)*F48</f>
        <v>4158735.7739999997</v>
      </c>
      <c r="H37" s="210"/>
      <c r="I37" s="211">
        <v>244.2</v>
      </c>
      <c r="J37" s="209">
        <f>SUM(I37)*F48</f>
        <v>1283249.0219999999</v>
      </c>
      <c r="K37" s="210"/>
      <c r="L37" s="211">
        <v>82.6</v>
      </c>
      <c r="M37" s="209">
        <f>SUM(L37)*G48</f>
        <v>444517.682</v>
      </c>
      <c r="N37" s="210"/>
      <c r="O37" s="211">
        <v>680.8</v>
      </c>
      <c r="P37" s="230">
        <f>SUM(O37)*G48</f>
        <v>3663772.8559999997</v>
      </c>
      <c r="Q37" s="210">
        <f>F37+I37+L37+O37</f>
        <v>1798.9999999999998</v>
      </c>
      <c r="R37" s="209">
        <f>SUM(G37)+J37+M37+P37</f>
        <v>9550275.333999999</v>
      </c>
      <c r="S37" s="60"/>
      <c r="T37" s="8"/>
      <c r="U37" s="8"/>
      <c r="V37" s="9"/>
    </row>
    <row r="38" spans="1:22" s="89" customFormat="1" ht="27" customHeight="1">
      <c r="A38" s="200">
        <v>7</v>
      </c>
      <c r="B38" s="314" t="s">
        <v>56</v>
      </c>
      <c r="C38" s="315"/>
      <c r="D38" s="316"/>
      <c r="E38" s="217"/>
      <c r="F38" s="236">
        <f>SUM(F39:F40)</f>
        <v>178.585</v>
      </c>
      <c r="G38" s="203">
        <f>SUM(G39:G40)</f>
        <v>938448.1023500001</v>
      </c>
      <c r="H38" s="204"/>
      <c r="I38" s="242">
        <f>SUM(I39:I40)</f>
        <v>111.495</v>
      </c>
      <c r="J38" s="203">
        <f>SUM(J39:J40)</f>
        <v>585896.19045</v>
      </c>
      <c r="K38" s="204"/>
      <c r="L38" s="242">
        <f>SUM(L39:L40)</f>
        <v>84.745</v>
      </c>
      <c r="M38" s="203">
        <f>SUM(M39:M40)</f>
        <v>456061.14965</v>
      </c>
      <c r="N38" s="204"/>
      <c r="O38" s="242">
        <f>SUM(O39:O40)</f>
        <v>162.385</v>
      </c>
      <c r="P38" s="229">
        <v>873886.25</v>
      </c>
      <c r="Q38" s="204">
        <f>SUM(Q39:Q40)</f>
        <v>537.23</v>
      </c>
      <c r="R38" s="203">
        <f>SUM(R39:R40)</f>
        <v>2854291.6868999996</v>
      </c>
      <c r="S38" s="86"/>
      <c r="T38" s="88"/>
      <c r="U38" s="88"/>
      <c r="V38" s="87"/>
    </row>
    <row r="39" spans="1:22" s="89" customFormat="1" ht="27" customHeight="1">
      <c r="A39" s="213"/>
      <c r="B39" s="292" t="s">
        <v>87</v>
      </c>
      <c r="C39" s="293"/>
      <c r="D39" s="294"/>
      <c r="E39" s="214"/>
      <c r="F39" s="237">
        <v>172.9</v>
      </c>
      <c r="G39" s="209">
        <f>SUM(F39)*F48</f>
        <v>908573.939</v>
      </c>
      <c r="H39" s="210"/>
      <c r="I39" s="243">
        <v>105.81</v>
      </c>
      <c r="J39" s="209">
        <f>SUM(I39)*F48</f>
        <v>556022.0271</v>
      </c>
      <c r="K39" s="210"/>
      <c r="L39" s="243">
        <v>79.06</v>
      </c>
      <c r="M39" s="209">
        <f>SUM(L39)*G48</f>
        <v>425466.9242</v>
      </c>
      <c r="N39" s="210"/>
      <c r="O39" s="243">
        <v>156.7</v>
      </c>
      <c r="P39" s="230">
        <f>SUM(O39)*G48</f>
        <v>843292.0189999999</v>
      </c>
      <c r="Q39" s="210">
        <f>F39+I39+L39+O39</f>
        <v>514.47</v>
      </c>
      <c r="R39" s="209">
        <f>SUM(G39)+J39+M39+P39</f>
        <v>2733354.9092999995</v>
      </c>
      <c r="S39" s="86"/>
      <c r="T39" s="88"/>
      <c r="U39" s="88"/>
      <c r="V39" s="87"/>
    </row>
    <row r="40" spans="1:22" s="89" customFormat="1" ht="27" customHeight="1">
      <c r="A40" s="213"/>
      <c r="B40" s="292" t="s">
        <v>86</v>
      </c>
      <c r="C40" s="293"/>
      <c r="D40" s="294"/>
      <c r="E40" s="214"/>
      <c r="F40" s="237">
        <v>5.685</v>
      </c>
      <c r="G40" s="209">
        <f>SUM(F40)*F48</f>
        <v>29874.16335</v>
      </c>
      <c r="H40" s="210"/>
      <c r="I40" s="243">
        <v>5.685</v>
      </c>
      <c r="J40" s="209">
        <f>SUM(I40)*F48</f>
        <v>29874.16335</v>
      </c>
      <c r="K40" s="210"/>
      <c r="L40" s="243">
        <v>5.685</v>
      </c>
      <c r="M40" s="209">
        <f>SUM(L40)*G48</f>
        <v>30594.225449999994</v>
      </c>
      <c r="N40" s="210"/>
      <c r="O40" s="243">
        <v>5.685</v>
      </c>
      <c r="P40" s="230">
        <f>SUM(O40)*G48</f>
        <v>30594.225449999994</v>
      </c>
      <c r="Q40" s="210">
        <v>22.76</v>
      </c>
      <c r="R40" s="209">
        <f>SUM(G40)+J40+M40+P40</f>
        <v>120936.77759999999</v>
      </c>
      <c r="S40" s="86"/>
      <c r="T40" s="88"/>
      <c r="U40" s="88"/>
      <c r="V40" s="87"/>
    </row>
    <row r="41" spans="1:22" s="89" customFormat="1" ht="27" customHeight="1">
      <c r="A41" s="200">
        <v>8</v>
      </c>
      <c r="B41" s="321" t="s">
        <v>83</v>
      </c>
      <c r="C41" s="322"/>
      <c r="D41" s="323"/>
      <c r="E41" s="217"/>
      <c r="F41" s="236">
        <f>SUM(F42:F44)</f>
        <v>102.347</v>
      </c>
      <c r="G41" s="203">
        <f aca="true" t="shared" si="6" ref="G41:R41">SUM(G42:G44)</f>
        <v>537824.27377</v>
      </c>
      <c r="H41" s="204">
        <f t="shared" si="6"/>
        <v>0</v>
      </c>
      <c r="I41" s="242">
        <f t="shared" si="6"/>
        <v>90.681</v>
      </c>
      <c r="J41" s="203">
        <v>476520.5</v>
      </c>
      <c r="K41" s="204">
        <f t="shared" si="6"/>
        <v>0</v>
      </c>
      <c r="L41" s="242">
        <f t="shared" si="6"/>
        <v>8.949</v>
      </c>
      <c r="M41" s="203">
        <f t="shared" si="6"/>
        <v>48159.66993</v>
      </c>
      <c r="N41" s="204">
        <f t="shared" si="6"/>
        <v>0</v>
      </c>
      <c r="O41" s="242">
        <f t="shared" si="6"/>
        <v>116.56</v>
      </c>
      <c r="P41" s="229">
        <f t="shared" si="6"/>
        <v>627275.7992</v>
      </c>
      <c r="Q41" s="244">
        <f t="shared" si="6"/>
        <v>318.53700000000003</v>
      </c>
      <c r="R41" s="203">
        <f t="shared" si="6"/>
        <v>1689780.2367100003</v>
      </c>
      <c r="S41" s="86"/>
      <c r="T41" s="88"/>
      <c r="U41" s="88"/>
      <c r="V41" s="87"/>
    </row>
    <row r="42" spans="1:22" s="89" customFormat="1" ht="27" customHeight="1">
      <c r="A42" s="200"/>
      <c r="B42" s="292" t="s">
        <v>84</v>
      </c>
      <c r="C42" s="312"/>
      <c r="D42" s="313"/>
      <c r="E42" s="217"/>
      <c r="F42" s="237">
        <v>4.25</v>
      </c>
      <c r="G42" s="209">
        <f>SUM(F42)*F48</f>
        <v>22333.3675</v>
      </c>
      <c r="H42" s="210"/>
      <c r="I42" s="243">
        <v>4.5</v>
      </c>
      <c r="J42" s="209">
        <f>SUM(I42)*F48</f>
        <v>23647.095</v>
      </c>
      <c r="K42" s="210"/>
      <c r="L42" s="243">
        <v>0.28</v>
      </c>
      <c r="M42" s="209">
        <f>SUM(L42)*G48</f>
        <v>1506.8396</v>
      </c>
      <c r="N42" s="210"/>
      <c r="O42" s="243">
        <v>4.5</v>
      </c>
      <c r="P42" s="230">
        <f>SUM(O42)*G48</f>
        <v>24217.065</v>
      </c>
      <c r="Q42" s="245">
        <f>F42+I42+L42+O42</f>
        <v>13.53</v>
      </c>
      <c r="R42" s="209">
        <v>71704.38</v>
      </c>
      <c r="S42" s="86"/>
      <c r="T42" s="88"/>
      <c r="U42" s="88"/>
      <c r="V42" s="87"/>
    </row>
    <row r="43" spans="1:22" s="89" customFormat="1" ht="27" customHeight="1">
      <c r="A43" s="200"/>
      <c r="B43" s="292" t="s">
        <v>85</v>
      </c>
      <c r="C43" s="312"/>
      <c r="D43" s="313"/>
      <c r="E43" s="217"/>
      <c r="F43" s="237">
        <v>73.74</v>
      </c>
      <c r="G43" s="209">
        <f>SUM(F43)*F48</f>
        <v>387497.0634</v>
      </c>
      <c r="H43" s="210"/>
      <c r="I43" s="243">
        <v>73.74</v>
      </c>
      <c r="J43" s="209">
        <f>SUM(I43)*F48</f>
        <v>387497.0634</v>
      </c>
      <c r="K43" s="210"/>
      <c r="L43" s="243">
        <v>4.83</v>
      </c>
      <c r="M43" s="209">
        <f>SUM(L43)*G48</f>
        <v>25992.983099999998</v>
      </c>
      <c r="N43" s="210"/>
      <c r="O43" s="243">
        <v>91.97</v>
      </c>
      <c r="P43" s="230">
        <f>SUM(O43)*G48</f>
        <v>494942.99289999995</v>
      </c>
      <c r="Q43" s="245">
        <f>F43+I43+L43+O43</f>
        <v>244.28</v>
      </c>
      <c r="R43" s="209">
        <v>1295930.09</v>
      </c>
      <c r="S43" s="86"/>
      <c r="T43" s="88"/>
      <c r="U43" s="88"/>
      <c r="V43" s="87"/>
    </row>
    <row r="44" spans="1:22" s="89" customFormat="1" ht="27" customHeight="1">
      <c r="A44" s="200"/>
      <c r="B44" s="235" t="s">
        <v>93</v>
      </c>
      <c r="C44" s="233"/>
      <c r="D44" s="234"/>
      <c r="E44" s="217"/>
      <c r="F44" s="237">
        <v>24.357</v>
      </c>
      <c r="G44" s="209">
        <f>SUM(F44)*F48</f>
        <v>127993.84287</v>
      </c>
      <c r="H44" s="210"/>
      <c r="I44" s="243">
        <v>12.441</v>
      </c>
      <c r="J44" s="209">
        <f>SUM(I44)*F48</f>
        <v>65376.33531</v>
      </c>
      <c r="K44" s="210"/>
      <c r="L44" s="243">
        <v>3.839</v>
      </c>
      <c r="M44" s="209">
        <f>SUM(L44)*G48</f>
        <v>20659.84723</v>
      </c>
      <c r="N44" s="210"/>
      <c r="O44" s="243">
        <v>20.09</v>
      </c>
      <c r="P44" s="230">
        <f>SUM(O44)*G48</f>
        <v>108115.7413</v>
      </c>
      <c r="Q44" s="245">
        <f>F44+I44+L44+O44</f>
        <v>60.727000000000004</v>
      </c>
      <c r="R44" s="209">
        <f>SUM(G44)+J44+M44+P44</f>
        <v>322145.76671</v>
      </c>
      <c r="S44" s="86"/>
      <c r="T44" s="88"/>
      <c r="U44" s="88"/>
      <c r="V44" s="87"/>
    </row>
    <row r="45" spans="1:22" ht="26.25" customHeight="1">
      <c r="A45" s="213"/>
      <c r="B45" s="353" t="s">
        <v>19</v>
      </c>
      <c r="C45" s="354"/>
      <c r="D45" s="355"/>
      <c r="E45" s="207" t="e">
        <f>E10+#REF!+#REF!+E12+E13+E14+E15+E16+E17+E33+#REF!+#REF!+#REF!</f>
        <v>#REF!</v>
      </c>
      <c r="F45" s="218">
        <v>5432.31</v>
      </c>
      <c r="G45" s="219">
        <f aca="true" t="shared" si="7" ref="G45:R45">G10+G11+G18+G23+G29+G34+G38+G41</f>
        <v>26388190.496799998</v>
      </c>
      <c r="H45" s="220">
        <f t="shared" si="7"/>
        <v>1516</v>
      </c>
      <c r="I45" s="218">
        <v>2683.79</v>
      </c>
      <c r="J45" s="219">
        <f t="shared" si="7"/>
        <v>11944986.287929999</v>
      </c>
      <c r="K45" s="220">
        <f t="shared" si="7"/>
        <v>456.59999999999997</v>
      </c>
      <c r="L45" s="218">
        <f t="shared" si="7"/>
        <v>1399.056</v>
      </c>
      <c r="M45" s="219">
        <f t="shared" si="7"/>
        <v>5314111.051340001</v>
      </c>
      <c r="N45" s="220">
        <f t="shared" si="7"/>
        <v>3053.7</v>
      </c>
      <c r="O45" s="218">
        <v>4743.19</v>
      </c>
      <c r="P45" s="231">
        <f t="shared" si="7"/>
        <v>23310769.972159997</v>
      </c>
      <c r="Q45" s="220">
        <f t="shared" si="7"/>
        <v>14258.347000000002</v>
      </c>
      <c r="R45" s="219">
        <f t="shared" si="7"/>
        <v>66958057.812189996</v>
      </c>
      <c r="S45" s="62"/>
      <c r="T45" s="16"/>
      <c r="U45" s="9"/>
      <c r="V45" s="9"/>
    </row>
    <row r="46" spans="1:22" ht="25.5" customHeight="1">
      <c r="A46" s="221"/>
      <c r="B46" s="356" t="s">
        <v>8</v>
      </c>
      <c r="C46" s="357"/>
      <c r="D46" s="358"/>
      <c r="E46" s="332" t="s">
        <v>96</v>
      </c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4"/>
      <c r="T46" s="9"/>
      <c r="U46" s="9"/>
      <c r="V46" s="9"/>
    </row>
    <row r="47" spans="1:22" ht="15.75" customHeight="1">
      <c r="A47" s="17"/>
      <c r="B47" s="18"/>
      <c r="C47" s="120"/>
      <c r="D47" s="120"/>
      <c r="E47" s="121"/>
      <c r="F47" s="122"/>
      <c r="G47" s="123"/>
      <c r="H47" s="121"/>
      <c r="I47" s="121"/>
      <c r="J47" s="123"/>
      <c r="K47" s="19"/>
      <c r="L47" s="19"/>
      <c r="M47" s="98"/>
      <c r="N47" s="19"/>
      <c r="O47" s="19"/>
      <c r="P47" s="98"/>
      <c r="Q47" s="19"/>
      <c r="R47" s="98"/>
      <c r="T47" s="9"/>
      <c r="U47" s="9"/>
      <c r="V47" s="9"/>
    </row>
    <row r="48" spans="1:22" ht="28.5" customHeight="1">
      <c r="A48" s="20"/>
      <c r="B48" s="21"/>
      <c r="C48" s="124"/>
      <c r="D48" s="125"/>
      <c r="E48" s="126" t="s">
        <v>11</v>
      </c>
      <c r="F48" s="127">
        <v>5254.91</v>
      </c>
      <c r="G48" s="128">
        <v>5381.57</v>
      </c>
      <c r="H48" s="126"/>
      <c r="I48" s="128">
        <v>2330</v>
      </c>
      <c r="J48" s="128">
        <v>2387</v>
      </c>
      <c r="K48" s="2"/>
      <c r="L48" s="2">
        <v>2330</v>
      </c>
      <c r="M48" s="2">
        <v>2379</v>
      </c>
      <c r="N48" s="24"/>
      <c r="O48" s="24"/>
      <c r="P48" s="99"/>
      <c r="Q48" s="24"/>
      <c r="R48" s="99"/>
      <c r="T48" s="9"/>
      <c r="U48" s="9"/>
      <c r="V48" s="9"/>
    </row>
    <row r="49" spans="1:22" ht="31.5" customHeight="1">
      <c r="A49" s="352" t="s">
        <v>97</v>
      </c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T49" s="9"/>
      <c r="U49" s="9"/>
      <c r="V49" s="9"/>
    </row>
    <row r="50" spans="1:22" ht="27.75" customHeight="1">
      <c r="A50" s="285" t="s">
        <v>15</v>
      </c>
      <c r="B50" s="286" t="s">
        <v>0</v>
      </c>
      <c r="C50" s="287"/>
      <c r="D50" s="288"/>
      <c r="E50" s="295" t="s">
        <v>1</v>
      </c>
      <c r="F50" s="295"/>
      <c r="G50" s="295"/>
      <c r="H50" s="295" t="s">
        <v>3</v>
      </c>
      <c r="I50" s="295"/>
      <c r="J50" s="295"/>
      <c r="K50" s="295" t="s">
        <v>4</v>
      </c>
      <c r="L50" s="295"/>
      <c r="M50" s="295"/>
      <c r="N50" s="295" t="s">
        <v>6</v>
      </c>
      <c r="O50" s="295"/>
      <c r="P50" s="295"/>
      <c r="Q50" s="295" t="s">
        <v>7</v>
      </c>
      <c r="R50" s="295"/>
      <c r="T50" s="9"/>
      <c r="U50" s="9"/>
      <c r="V50" s="9"/>
    </row>
    <row r="51" spans="1:22" ht="30" customHeight="1">
      <c r="A51" s="285"/>
      <c r="B51" s="289"/>
      <c r="C51" s="290"/>
      <c r="D51" s="291"/>
      <c r="E51" s="57"/>
      <c r="F51" s="57" t="s">
        <v>9</v>
      </c>
      <c r="G51" s="100" t="s">
        <v>5</v>
      </c>
      <c r="H51" s="57" t="s">
        <v>9</v>
      </c>
      <c r="I51" s="57" t="s">
        <v>9</v>
      </c>
      <c r="J51" s="100" t="s">
        <v>5</v>
      </c>
      <c r="K51" s="57" t="s">
        <v>9</v>
      </c>
      <c r="L51" s="57" t="s">
        <v>9</v>
      </c>
      <c r="M51" s="100" t="s">
        <v>5</v>
      </c>
      <c r="N51" s="57" t="s">
        <v>9</v>
      </c>
      <c r="O51" s="57" t="s">
        <v>9</v>
      </c>
      <c r="P51" s="100" t="s">
        <v>5</v>
      </c>
      <c r="Q51" s="57" t="s">
        <v>9</v>
      </c>
      <c r="R51" s="100" t="s">
        <v>5</v>
      </c>
      <c r="T51" s="9"/>
      <c r="U51" s="9"/>
      <c r="V51" s="9"/>
    </row>
    <row r="52" spans="1:22" s="89" customFormat="1" ht="30" customHeight="1">
      <c r="A52" s="94">
        <v>1</v>
      </c>
      <c r="B52" s="318" t="s">
        <v>33</v>
      </c>
      <c r="C52" s="319"/>
      <c r="D52" s="320"/>
      <c r="E52" s="95">
        <v>1800</v>
      </c>
      <c r="F52" s="179">
        <v>1750</v>
      </c>
      <c r="G52" s="172">
        <f>F52*F86</f>
        <v>9618</v>
      </c>
      <c r="H52" s="172">
        <v>1200</v>
      </c>
      <c r="I52" s="179">
        <v>1750</v>
      </c>
      <c r="J52" s="172">
        <f>I52*F86</f>
        <v>9618</v>
      </c>
      <c r="K52" s="172">
        <v>1500</v>
      </c>
      <c r="L52" s="179">
        <v>1750</v>
      </c>
      <c r="M52" s="172">
        <f>L52*G86</f>
        <v>10080</v>
      </c>
      <c r="N52" s="172">
        <v>1500</v>
      </c>
      <c r="O52" s="179">
        <v>1751.1</v>
      </c>
      <c r="P52" s="172">
        <f>O52*G86</f>
        <v>10086.336</v>
      </c>
      <c r="Q52" s="172">
        <f>F52+I52+L52+O52</f>
        <v>7001.1</v>
      </c>
      <c r="R52" s="172">
        <f>G52+J52+M52+P52</f>
        <v>39402.335999999996</v>
      </c>
      <c r="S52" s="86"/>
      <c r="T52" s="87"/>
      <c r="U52" s="88"/>
      <c r="V52" s="87"/>
    </row>
    <row r="53" spans="1:22" s="89" customFormat="1" ht="30" customHeight="1">
      <c r="A53" s="96">
        <v>2</v>
      </c>
      <c r="B53" s="298" t="s">
        <v>41</v>
      </c>
      <c r="C53" s="299"/>
      <c r="D53" s="300"/>
      <c r="E53" s="95"/>
      <c r="F53" s="179">
        <f>F54+F55+F56+F57+F58+F59</f>
        <v>133250</v>
      </c>
      <c r="G53" s="172">
        <f aca="true" t="shared" si="8" ref="G53:R53">G54+G55+G56+G57+G58+G59</f>
        <v>732342.0000000001</v>
      </c>
      <c r="H53" s="172">
        <f t="shared" si="8"/>
        <v>161000</v>
      </c>
      <c r="I53" s="179">
        <f t="shared" si="8"/>
        <v>113820</v>
      </c>
      <c r="J53" s="172">
        <f t="shared" si="8"/>
        <v>625554.72</v>
      </c>
      <c r="K53" s="172">
        <f t="shared" si="8"/>
        <v>168000</v>
      </c>
      <c r="L53" s="179">
        <f t="shared" si="8"/>
        <v>113149</v>
      </c>
      <c r="M53" s="172">
        <f t="shared" si="8"/>
        <v>651738.24</v>
      </c>
      <c r="N53" s="172">
        <f t="shared" si="8"/>
        <v>244000</v>
      </c>
      <c r="O53" s="179">
        <f t="shared" si="8"/>
        <v>198010</v>
      </c>
      <c r="P53" s="172">
        <f t="shared" si="8"/>
        <v>1140537.6</v>
      </c>
      <c r="Q53" s="172">
        <f t="shared" si="8"/>
        <v>558229</v>
      </c>
      <c r="R53" s="172">
        <f t="shared" si="8"/>
        <v>3150172.56</v>
      </c>
      <c r="S53" s="86"/>
      <c r="T53" s="87"/>
      <c r="U53" s="88"/>
      <c r="V53" s="87"/>
    </row>
    <row r="54" spans="1:21" s="15" customFormat="1" ht="48" customHeight="1">
      <c r="A54" s="28"/>
      <c r="B54" s="326" t="s">
        <v>34</v>
      </c>
      <c r="C54" s="327"/>
      <c r="D54" s="328"/>
      <c r="E54" s="12">
        <v>53000</v>
      </c>
      <c r="F54" s="176">
        <v>40000</v>
      </c>
      <c r="G54" s="174">
        <f>F54*F86</f>
        <v>219840.00000000003</v>
      </c>
      <c r="H54" s="175">
        <v>36000</v>
      </c>
      <c r="I54" s="176">
        <v>30000</v>
      </c>
      <c r="J54" s="174">
        <f>I54*F86</f>
        <v>164880</v>
      </c>
      <c r="K54" s="175">
        <v>24000</v>
      </c>
      <c r="L54" s="176">
        <v>26600</v>
      </c>
      <c r="M54" s="174">
        <f>L54*G86</f>
        <v>153216</v>
      </c>
      <c r="N54" s="175">
        <v>50000</v>
      </c>
      <c r="O54" s="176">
        <v>64000</v>
      </c>
      <c r="P54" s="174">
        <f>O54*G86</f>
        <v>368640</v>
      </c>
      <c r="Q54" s="175">
        <f aca="true" t="shared" si="9" ref="Q54:Q59">F54+I54+L54+O54</f>
        <v>160600</v>
      </c>
      <c r="R54" s="174">
        <f aca="true" t="shared" si="10" ref="R54:R64">G54+J54+M54+P54</f>
        <v>906576</v>
      </c>
      <c r="S54" s="60"/>
      <c r="U54" s="14"/>
    </row>
    <row r="55" spans="1:22" ht="33.75" customHeight="1">
      <c r="A55" s="25"/>
      <c r="B55" s="329" t="s">
        <v>35</v>
      </c>
      <c r="C55" s="330"/>
      <c r="D55" s="331"/>
      <c r="E55" s="26">
        <v>27000</v>
      </c>
      <c r="F55" s="180">
        <v>23250</v>
      </c>
      <c r="G55" s="174">
        <f>F55*F86</f>
        <v>127782.00000000001</v>
      </c>
      <c r="H55" s="174">
        <v>17000</v>
      </c>
      <c r="I55" s="180">
        <v>17820</v>
      </c>
      <c r="J55" s="174">
        <f>I55*F86</f>
        <v>97938.72</v>
      </c>
      <c r="K55" s="174">
        <v>19000</v>
      </c>
      <c r="L55" s="180">
        <v>18549</v>
      </c>
      <c r="M55" s="174">
        <f>L55*G86</f>
        <v>106842.23999999999</v>
      </c>
      <c r="N55" s="174">
        <v>41000</v>
      </c>
      <c r="O55" s="180">
        <v>35010</v>
      </c>
      <c r="P55" s="174">
        <f>O55*G86</f>
        <v>201657.6</v>
      </c>
      <c r="Q55" s="174">
        <f t="shared" si="9"/>
        <v>94629</v>
      </c>
      <c r="R55" s="174">
        <f t="shared" si="10"/>
        <v>534220.56</v>
      </c>
      <c r="S55" s="60"/>
      <c r="T55" s="9"/>
      <c r="U55" s="8"/>
      <c r="V55" s="9"/>
    </row>
    <row r="56" spans="1:22" ht="35.25" customHeight="1">
      <c r="A56" s="28"/>
      <c r="B56" s="326" t="s">
        <v>36</v>
      </c>
      <c r="C56" s="327"/>
      <c r="D56" s="328"/>
      <c r="E56" s="12">
        <v>70000</v>
      </c>
      <c r="F56" s="176">
        <v>20000</v>
      </c>
      <c r="G56" s="174">
        <f>F56*F86</f>
        <v>109920.00000000001</v>
      </c>
      <c r="H56" s="175">
        <v>55000</v>
      </c>
      <c r="I56" s="176">
        <v>20000</v>
      </c>
      <c r="J56" s="174">
        <f>I56*F86</f>
        <v>109920.00000000001</v>
      </c>
      <c r="K56" s="175">
        <v>45000</v>
      </c>
      <c r="L56" s="176">
        <v>20000</v>
      </c>
      <c r="M56" s="174">
        <f>L56*G86</f>
        <v>115200</v>
      </c>
      <c r="N56" s="175">
        <v>70000</v>
      </c>
      <c r="O56" s="176">
        <v>30000</v>
      </c>
      <c r="P56" s="174">
        <f>O56*G86</f>
        <v>172800</v>
      </c>
      <c r="Q56" s="175">
        <f t="shared" si="9"/>
        <v>90000</v>
      </c>
      <c r="R56" s="174">
        <f t="shared" si="10"/>
        <v>507840</v>
      </c>
      <c r="S56" s="60"/>
      <c r="T56" s="9"/>
      <c r="U56" s="8"/>
      <c r="V56" s="9"/>
    </row>
    <row r="57" spans="1:22" ht="30.75" customHeight="1">
      <c r="A57" s="30"/>
      <c r="B57" s="308" t="s">
        <v>37</v>
      </c>
      <c r="C57" s="308"/>
      <c r="D57" s="308"/>
      <c r="E57" s="5">
        <v>17000</v>
      </c>
      <c r="F57" s="176">
        <v>20000</v>
      </c>
      <c r="G57" s="174">
        <f>F57*F86</f>
        <v>109920.00000000001</v>
      </c>
      <c r="H57" s="175">
        <v>14000</v>
      </c>
      <c r="I57" s="176">
        <v>17000</v>
      </c>
      <c r="J57" s="174">
        <f>I57*F86</f>
        <v>93432.00000000001</v>
      </c>
      <c r="K57" s="175">
        <v>13000</v>
      </c>
      <c r="L57" s="176">
        <v>16000</v>
      </c>
      <c r="M57" s="174">
        <f>L57*G86</f>
        <v>92160</v>
      </c>
      <c r="N57" s="175">
        <v>24000</v>
      </c>
      <c r="O57" s="176">
        <v>26000</v>
      </c>
      <c r="P57" s="174">
        <f>O57*G86</f>
        <v>149760</v>
      </c>
      <c r="Q57" s="175">
        <f t="shared" si="9"/>
        <v>79000</v>
      </c>
      <c r="R57" s="174">
        <f t="shared" si="10"/>
        <v>445272</v>
      </c>
      <c r="S57" s="60"/>
      <c r="T57" s="9"/>
      <c r="U57" s="8"/>
      <c r="V57" s="9"/>
    </row>
    <row r="58" spans="1:22" ht="29.25" customHeight="1">
      <c r="A58" s="30"/>
      <c r="B58" s="308" t="s">
        <v>38</v>
      </c>
      <c r="C58" s="308"/>
      <c r="D58" s="308"/>
      <c r="E58" s="5">
        <v>31000</v>
      </c>
      <c r="F58" s="176">
        <v>24000</v>
      </c>
      <c r="G58" s="174">
        <f>F58*F86</f>
        <v>131904</v>
      </c>
      <c r="H58" s="175">
        <v>27000</v>
      </c>
      <c r="I58" s="176">
        <v>23000</v>
      </c>
      <c r="J58" s="174">
        <f>I58*F86</f>
        <v>126408.00000000001</v>
      </c>
      <c r="K58" s="175">
        <v>58000</v>
      </c>
      <c r="L58" s="176">
        <v>26000</v>
      </c>
      <c r="M58" s="174">
        <f>L58*G86</f>
        <v>149760</v>
      </c>
      <c r="N58" s="175">
        <v>44000</v>
      </c>
      <c r="O58" s="176">
        <v>37000</v>
      </c>
      <c r="P58" s="174">
        <f>O58*G86</f>
        <v>213120</v>
      </c>
      <c r="Q58" s="175">
        <f t="shared" si="9"/>
        <v>110000</v>
      </c>
      <c r="R58" s="174">
        <f t="shared" si="10"/>
        <v>621192</v>
      </c>
      <c r="S58" s="60"/>
      <c r="T58" s="9"/>
      <c r="U58" s="8"/>
      <c r="V58" s="9"/>
    </row>
    <row r="59" spans="1:22" ht="45.75" customHeight="1">
      <c r="A59" s="30"/>
      <c r="B59" s="308" t="s">
        <v>39</v>
      </c>
      <c r="C59" s="308"/>
      <c r="D59" s="308"/>
      <c r="E59" s="5">
        <v>8000</v>
      </c>
      <c r="F59" s="176">
        <v>6000</v>
      </c>
      <c r="G59" s="174">
        <f>F59*F86</f>
        <v>32976</v>
      </c>
      <c r="H59" s="175">
        <v>12000</v>
      </c>
      <c r="I59" s="176">
        <v>6000</v>
      </c>
      <c r="J59" s="174">
        <f>I59*F86</f>
        <v>32976</v>
      </c>
      <c r="K59" s="175">
        <v>9000</v>
      </c>
      <c r="L59" s="176">
        <v>6000</v>
      </c>
      <c r="M59" s="174">
        <f>L59*G86</f>
        <v>34560</v>
      </c>
      <c r="N59" s="175">
        <v>15000</v>
      </c>
      <c r="O59" s="176">
        <v>6000</v>
      </c>
      <c r="P59" s="174">
        <f>O59*G86</f>
        <v>34560</v>
      </c>
      <c r="Q59" s="175">
        <f t="shared" si="9"/>
        <v>24000</v>
      </c>
      <c r="R59" s="174">
        <f t="shared" si="10"/>
        <v>135072</v>
      </c>
      <c r="S59" s="60"/>
      <c r="T59" s="9"/>
      <c r="U59" s="8"/>
      <c r="V59" s="9"/>
    </row>
    <row r="60" spans="1:22" s="89" customFormat="1" ht="27" customHeight="1">
      <c r="A60" s="96">
        <v>3</v>
      </c>
      <c r="B60" s="298" t="s">
        <v>42</v>
      </c>
      <c r="C60" s="299"/>
      <c r="D60" s="300"/>
      <c r="E60" s="83">
        <v>9000</v>
      </c>
      <c r="F60" s="173">
        <f>SUM(F61:F64)</f>
        <v>27560</v>
      </c>
      <c r="G60" s="172">
        <f aca="true" t="shared" si="11" ref="G60:R60">SUM(G61:G64)</f>
        <v>151469.76</v>
      </c>
      <c r="H60" s="85">
        <f t="shared" si="11"/>
        <v>0</v>
      </c>
      <c r="I60" s="173">
        <f t="shared" si="11"/>
        <v>27560</v>
      </c>
      <c r="J60" s="172">
        <f t="shared" si="11"/>
        <v>151469.76</v>
      </c>
      <c r="K60" s="85">
        <f t="shared" si="11"/>
        <v>0</v>
      </c>
      <c r="L60" s="173">
        <f t="shared" si="11"/>
        <v>27560</v>
      </c>
      <c r="M60" s="172">
        <f t="shared" si="11"/>
        <v>158745.59999999998</v>
      </c>
      <c r="N60" s="85">
        <f t="shared" si="11"/>
        <v>0</v>
      </c>
      <c r="O60" s="173">
        <f t="shared" si="11"/>
        <v>27560</v>
      </c>
      <c r="P60" s="172">
        <f t="shared" si="11"/>
        <v>158745.59999999998</v>
      </c>
      <c r="Q60" s="85">
        <f t="shared" si="11"/>
        <v>110240</v>
      </c>
      <c r="R60" s="172">
        <f t="shared" si="11"/>
        <v>620430.72</v>
      </c>
      <c r="S60" s="86"/>
      <c r="T60" s="87"/>
      <c r="U60" s="88"/>
      <c r="V60" s="87"/>
    </row>
    <row r="61" spans="1:22" s="89" customFormat="1" ht="27" customHeight="1">
      <c r="A61" s="28"/>
      <c r="B61" s="269" t="s">
        <v>107</v>
      </c>
      <c r="C61" s="270"/>
      <c r="D61" s="271"/>
      <c r="E61" s="5"/>
      <c r="F61" s="176">
        <v>21860</v>
      </c>
      <c r="G61" s="174">
        <f>F61*F86</f>
        <v>120142.56000000001</v>
      </c>
      <c r="H61" s="175"/>
      <c r="I61" s="176">
        <v>21860</v>
      </c>
      <c r="J61" s="174">
        <f>I61*F86</f>
        <v>120142.56000000001</v>
      </c>
      <c r="K61" s="175"/>
      <c r="L61" s="176">
        <v>21860</v>
      </c>
      <c r="M61" s="174">
        <f>L61*G86</f>
        <v>125913.59999999999</v>
      </c>
      <c r="N61" s="175"/>
      <c r="O61" s="176">
        <v>21860</v>
      </c>
      <c r="P61" s="174">
        <f>O61*G86</f>
        <v>125913.59999999999</v>
      </c>
      <c r="Q61" s="175">
        <f>F61+I61+L61+O61</f>
        <v>87440</v>
      </c>
      <c r="R61" s="174">
        <f t="shared" si="10"/>
        <v>492112.32</v>
      </c>
      <c r="S61" s="86"/>
      <c r="T61" s="87"/>
      <c r="U61" s="88"/>
      <c r="V61" s="87"/>
    </row>
    <row r="62" spans="1:22" s="89" customFormat="1" ht="27" customHeight="1">
      <c r="A62" s="28"/>
      <c r="B62" s="269" t="s">
        <v>108</v>
      </c>
      <c r="C62" s="270"/>
      <c r="D62" s="271"/>
      <c r="E62" s="5"/>
      <c r="F62" s="176">
        <v>2400</v>
      </c>
      <c r="G62" s="174">
        <f>F62*F86</f>
        <v>13190.400000000001</v>
      </c>
      <c r="H62" s="175"/>
      <c r="I62" s="176">
        <v>2400</v>
      </c>
      <c r="J62" s="174">
        <f>I62*F86</f>
        <v>13190.400000000001</v>
      </c>
      <c r="K62" s="175"/>
      <c r="L62" s="176">
        <v>2400</v>
      </c>
      <c r="M62" s="174">
        <f>L62*G86</f>
        <v>13824</v>
      </c>
      <c r="N62" s="175"/>
      <c r="O62" s="176">
        <v>2400</v>
      </c>
      <c r="P62" s="174">
        <f>O62*G86</f>
        <v>13824</v>
      </c>
      <c r="Q62" s="175">
        <f>F62+I62+L62+O62</f>
        <v>9600</v>
      </c>
      <c r="R62" s="174">
        <f t="shared" si="10"/>
        <v>54028.8</v>
      </c>
      <c r="S62" s="86"/>
      <c r="T62" s="87"/>
      <c r="U62" s="88"/>
      <c r="V62" s="87"/>
    </row>
    <row r="63" spans="1:22" s="89" customFormat="1" ht="27" customHeight="1">
      <c r="A63" s="28"/>
      <c r="B63" s="269" t="s">
        <v>110</v>
      </c>
      <c r="C63" s="270"/>
      <c r="D63" s="271"/>
      <c r="E63" s="5"/>
      <c r="F63" s="176">
        <v>1800</v>
      </c>
      <c r="G63" s="174">
        <f>F63*F86</f>
        <v>9892.800000000001</v>
      </c>
      <c r="H63" s="175"/>
      <c r="I63" s="176">
        <v>1800</v>
      </c>
      <c r="J63" s="174">
        <f>I63*F86</f>
        <v>9892.800000000001</v>
      </c>
      <c r="K63" s="175"/>
      <c r="L63" s="176">
        <v>1800</v>
      </c>
      <c r="M63" s="174">
        <f>L63*G86</f>
        <v>10368</v>
      </c>
      <c r="N63" s="175"/>
      <c r="O63" s="176">
        <v>1800</v>
      </c>
      <c r="P63" s="174">
        <f>O63*G86</f>
        <v>10368</v>
      </c>
      <c r="Q63" s="175">
        <f>F63+I63+L63+O63</f>
        <v>7200</v>
      </c>
      <c r="R63" s="174">
        <f t="shared" si="10"/>
        <v>40521.600000000006</v>
      </c>
      <c r="S63" s="86"/>
      <c r="T63" s="87"/>
      <c r="U63" s="88"/>
      <c r="V63" s="87"/>
    </row>
    <row r="64" spans="1:22" s="89" customFormat="1" ht="27" customHeight="1">
      <c r="A64" s="28"/>
      <c r="B64" s="269" t="s">
        <v>109</v>
      </c>
      <c r="C64" s="270"/>
      <c r="D64" s="271"/>
      <c r="E64" s="5"/>
      <c r="F64" s="176">
        <v>1500</v>
      </c>
      <c r="G64" s="174">
        <f>F64*F86</f>
        <v>8244</v>
      </c>
      <c r="H64" s="175"/>
      <c r="I64" s="176">
        <v>1500</v>
      </c>
      <c r="J64" s="174">
        <f>I64*F86</f>
        <v>8244</v>
      </c>
      <c r="K64" s="175"/>
      <c r="L64" s="176">
        <v>1500</v>
      </c>
      <c r="M64" s="174">
        <f>L64*G86</f>
        <v>8640</v>
      </c>
      <c r="N64" s="175"/>
      <c r="O64" s="176">
        <v>1500</v>
      </c>
      <c r="P64" s="174">
        <f>O64*G86</f>
        <v>8640</v>
      </c>
      <c r="Q64" s="175">
        <f>F64+I64+L64+O64</f>
        <v>6000</v>
      </c>
      <c r="R64" s="174">
        <f t="shared" si="10"/>
        <v>33768</v>
      </c>
      <c r="S64" s="86"/>
      <c r="T64" s="87"/>
      <c r="U64" s="88"/>
      <c r="V64" s="87"/>
    </row>
    <row r="65" spans="1:22" s="89" customFormat="1" ht="28.5" customHeight="1">
      <c r="A65" s="96">
        <v>4</v>
      </c>
      <c r="B65" s="298" t="s">
        <v>43</v>
      </c>
      <c r="C65" s="299"/>
      <c r="D65" s="300"/>
      <c r="E65" s="83">
        <v>20000</v>
      </c>
      <c r="F65" s="173">
        <f>F66+F67+F68</f>
        <v>54055.8</v>
      </c>
      <c r="G65" s="172">
        <v>297090.67</v>
      </c>
      <c r="H65" s="85">
        <f aca="true" t="shared" si="12" ref="H65:R65">H66+H67+H68</f>
        <v>0</v>
      </c>
      <c r="I65" s="173">
        <f t="shared" si="12"/>
        <v>21293.3</v>
      </c>
      <c r="J65" s="172">
        <f t="shared" si="12"/>
        <v>117027.97680000002</v>
      </c>
      <c r="K65" s="85">
        <f t="shared" si="12"/>
        <v>0</v>
      </c>
      <c r="L65" s="173">
        <f t="shared" si="12"/>
        <v>14436.5</v>
      </c>
      <c r="M65" s="172">
        <f t="shared" si="12"/>
        <v>83154.23999999999</v>
      </c>
      <c r="N65" s="85">
        <f t="shared" si="12"/>
        <v>0</v>
      </c>
      <c r="O65" s="173">
        <f t="shared" si="12"/>
        <v>68819.1</v>
      </c>
      <c r="P65" s="172">
        <f t="shared" si="12"/>
        <v>396398.01599999995</v>
      </c>
      <c r="Q65" s="85">
        <f t="shared" si="12"/>
        <v>158604.7</v>
      </c>
      <c r="R65" s="172">
        <f t="shared" si="12"/>
        <v>893670.91</v>
      </c>
      <c r="S65" s="86"/>
      <c r="T65" s="87"/>
      <c r="U65" s="88"/>
      <c r="V65" s="87"/>
    </row>
    <row r="66" spans="1:22" ht="37.5" customHeight="1">
      <c r="A66" s="30"/>
      <c r="B66" s="276" t="s">
        <v>44</v>
      </c>
      <c r="C66" s="277"/>
      <c r="D66" s="278"/>
      <c r="E66" s="5"/>
      <c r="F66" s="176">
        <v>5377.8</v>
      </c>
      <c r="G66" s="174">
        <f>F66*F86</f>
        <v>29556.388800000004</v>
      </c>
      <c r="H66" s="175"/>
      <c r="I66" s="176">
        <v>4645.3</v>
      </c>
      <c r="J66" s="174">
        <f>I66*F86</f>
        <v>25530.568800000005</v>
      </c>
      <c r="K66" s="175"/>
      <c r="L66" s="176">
        <v>4901.5</v>
      </c>
      <c r="M66" s="174">
        <f>L66*G86</f>
        <v>28232.64</v>
      </c>
      <c r="N66" s="175"/>
      <c r="O66" s="176">
        <v>5942.1</v>
      </c>
      <c r="P66" s="174">
        <f>O66*G86</f>
        <v>34226.496</v>
      </c>
      <c r="Q66" s="175">
        <f aca="true" t="shared" si="13" ref="Q66:R68">F66+I66+L66+O66</f>
        <v>20866.7</v>
      </c>
      <c r="R66" s="174">
        <v>117546.1</v>
      </c>
      <c r="S66" s="60"/>
      <c r="T66" s="9"/>
      <c r="U66" s="8"/>
      <c r="V66" s="9"/>
    </row>
    <row r="67" spans="1:22" ht="34.5" customHeight="1">
      <c r="A67" s="30"/>
      <c r="B67" s="276" t="s">
        <v>58</v>
      </c>
      <c r="C67" s="277"/>
      <c r="D67" s="278"/>
      <c r="E67" s="5">
        <v>29400</v>
      </c>
      <c r="F67" s="176">
        <v>42474</v>
      </c>
      <c r="G67" s="174">
        <f>F67*F86</f>
        <v>233437.10400000002</v>
      </c>
      <c r="H67" s="175"/>
      <c r="I67" s="176">
        <v>14312</v>
      </c>
      <c r="J67" s="174">
        <f>I67*F86</f>
        <v>78658.75200000001</v>
      </c>
      <c r="K67" s="175"/>
      <c r="L67" s="176">
        <v>6138</v>
      </c>
      <c r="M67" s="174">
        <f>L67*G86</f>
        <v>35354.88</v>
      </c>
      <c r="N67" s="175"/>
      <c r="O67" s="176">
        <v>56542</v>
      </c>
      <c r="P67" s="174">
        <f>O67*G86</f>
        <v>325681.92</v>
      </c>
      <c r="Q67" s="175">
        <f t="shared" si="13"/>
        <v>119466</v>
      </c>
      <c r="R67" s="174">
        <v>673132.65</v>
      </c>
      <c r="S67" s="60"/>
      <c r="T67" s="9"/>
      <c r="U67" s="8"/>
      <c r="V67" s="9"/>
    </row>
    <row r="68" spans="1:22" ht="33" customHeight="1">
      <c r="A68" s="30"/>
      <c r="B68" s="276" t="s">
        <v>59</v>
      </c>
      <c r="C68" s="277"/>
      <c r="D68" s="278"/>
      <c r="E68" s="5"/>
      <c r="F68" s="176">
        <v>6204</v>
      </c>
      <c r="G68" s="174">
        <f>F68*F86</f>
        <v>34097.184</v>
      </c>
      <c r="H68" s="175"/>
      <c r="I68" s="176">
        <v>2336</v>
      </c>
      <c r="J68" s="174">
        <f>I68*F86</f>
        <v>12838.656</v>
      </c>
      <c r="K68" s="175"/>
      <c r="L68" s="176">
        <v>3397</v>
      </c>
      <c r="M68" s="174">
        <f>L68*G86</f>
        <v>19566.719999999998</v>
      </c>
      <c r="N68" s="175"/>
      <c r="O68" s="176">
        <v>6335</v>
      </c>
      <c r="P68" s="174">
        <f>O68*G86</f>
        <v>36489.6</v>
      </c>
      <c r="Q68" s="175">
        <f t="shared" si="13"/>
        <v>18272</v>
      </c>
      <c r="R68" s="174">
        <f t="shared" si="13"/>
        <v>102992.16</v>
      </c>
      <c r="S68" s="60"/>
      <c r="T68" s="9"/>
      <c r="U68" s="8"/>
      <c r="V68" s="9"/>
    </row>
    <row r="69" spans="1:22" s="89" customFormat="1" ht="27" customHeight="1">
      <c r="A69" s="96">
        <v>5</v>
      </c>
      <c r="B69" s="298" t="s">
        <v>47</v>
      </c>
      <c r="C69" s="299"/>
      <c r="D69" s="300"/>
      <c r="E69" s="90"/>
      <c r="F69" s="173">
        <f>F70+F71+F72+F73</f>
        <v>27639</v>
      </c>
      <c r="G69" s="172">
        <v>151903.95</v>
      </c>
      <c r="H69" s="85">
        <f aca="true" t="shared" si="14" ref="H69:R69">H70+H71+H72+H73</f>
        <v>0</v>
      </c>
      <c r="I69" s="173">
        <f t="shared" si="14"/>
        <v>24645</v>
      </c>
      <c r="J69" s="172">
        <f t="shared" si="14"/>
        <v>135448.92</v>
      </c>
      <c r="K69" s="85">
        <f t="shared" si="14"/>
        <v>0</v>
      </c>
      <c r="L69" s="173">
        <f t="shared" si="14"/>
        <v>26938</v>
      </c>
      <c r="M69" s="172">
        <f t="shared" si="14"/>
        <v>155162.88</v>
      </c>
      <c r="N69" s="85">
        <f t="shared" si="14"/>
        <v>0</v>
      </c>
      <c r="O69" s="173">
        <f t="shared" si="14"/>
        <v>29247</v>
      </c>
      <c r="P69" s="172">
        <f t="shared" si="14"/>
        <v>168462.72</v>
      </c>
      <c r="Q69" s="85">
        <f t="shared" si="14"/>
        <v>108469</v>
      </c>
      <c r="R69" s="172">
        <f t="shared" si="14"/>
        <v>610978.464</v>
      </c>
      <c r="S69" s="86"/>
      <c r="T69" s="87"/>
      <c r="U69" s="88"/>
      <c r="V69" s="87"/>
    </row>
    <row r="70" spans="1:22" ht="33" customHeight="1">
      <c r="A70" s="30"/>
      <c r="B70" s="276" t="s">
        <v>48</v>
      </c>
      <c r="C70" s="277"/>
      <c r="D70" s="278"/>
      <c r="E70" s="5"/>
      <c r="F70" s="176">
        <v>3193</v>
      </c>
      <c r="G70" s="181">
        <f>F70*F86</f>
        <v>17548.728000000003</v>
      </c>
      <c r="H70" s="175"/>
      <c r="I70" s="176">
        <v>2815</v>
      </c>
      <c r="J70" s="174">
        <f>I70*F86</f>
        <v>15471.240000000002</v>
      </c>
      <c r="K70" s="175"/>
      <c r="L70" s="176">
        <v>2814</v>
      </c>
      <c r="M70" s="174">
        <f>L70*G86</f>
        <v>16208.64</v>
      </c>
      <c r="N70" s="175"/>
      <c r="O70" s="176">
        <v>2588</v>
      </c>
      <c r="P70" s="174">
        <f>O70*G86</f>
        <v>14906.88</v>
      </c>
      <c r="Q70" s="175">
        <f aca="true" t="shared" si="15" ref="Q70:R74">F70+I70+L70+O70</f>
        <v>11410</v>
      </c>
      <c r="R70" s="174">
        <f t="shared" si="15"/>
        <v>64135.488000000005</v>
      </c>
      <c r="S70" s="60"/>
      <c r="T70" s="9"/>
      <c r="U70" s="8"/>
      <c r="V70" s="9"/>
    </row>
    <row r="71" spans="1:22" ht="36" customHeight="1">
      <c r="A71" s="30"/>
      <c r="B71" s="276" t="s">
        <v>49</v>
      </c>
      <c r="C71" s="277"/>
      <c r="D71" s="278"/>
      <c r="E71" s="5"/>
      <c r="F71" s="176">
        <v>13050</v>
      </c>
      <c r="G71" s="174">
        <f>F71*F86</f>
        <v>71722.8</v>
      </c>
      <c r="H71" s="175"/>
      <c r="I71" s="176">
        <v>13050</v>
      </c>
      <c r="J71" s="174">
        <f>I71*F86</f>
        <v>71722.8</v>
      </c>
      <c r="K71" s="175"/>
      <c r="L71" s="176">
        <v>12950</v>
      </c>
      <c r="M71" s="174">
        <f>L71*G86</f>
        <v>74592</v>
      </c>
      <c r="N71" s="175"/>
      <c r="O71" s="176">
        <v>13682.38</v>
      </c>
      <c r="P71" s="174">
        <f>O71*G86</f>
        <v>78810.5088</v>
      </c>
      <c r="Q71" s="175">
        <f t="shared" si="15"/>
        <v>52732.38</v>
      </c>
      <c r="R71" s="174">
        <f t="shared" si="15"/>
        <v>296848.1088</v>
      </c>
      <c r="S71" s="60"/>
      <c r="T71" s="9"/>
      <c r="U71" s="8"/>
      <c r="V71" s="9"/>
    </row>
    <row r="72" spans="1:22" ht="34.5" customHeight="1">
      <c r="A72" s="30"/>
      <c r="B72" s="276" t="s">
        <v>50</v>
      </c>
      <c r="C72" s="277"/>
      <c r="D72" s="278"/>
      <c r="E72" s="5"/>
      <c r="F72" s="176">
        <v>8118</v>
      </c>
      <c r="G72" s="174">
        <f>F72*F86</f>
        <v>44616.528000000006</v>
      </c>
      <c r="H72" s="175"/>
      <c r="I72" s="176">
        <v>7069</v>
      </c>
      <c r="J72" s="174">
        <f>I72*F86</f>
        <v>38851.224</v>
      </c>
      <c r="K72" s="175"/>
      <c r="L72" s="176">
        <v>8715</v>
      </c>
      <c r="M72" s="174">
        <f>L72*G86</f>
        <v>50198.4</v>
      </c>
      <c r="N72" s="175"/>
      <c r="O72" s="176">
        <v>9280.62</v>
      </c>
      <c r="P72" s="174">
        <f>O72*G86</f>
        <v>53456.3712</v>
      </c>
      <c r="Q72" s="175">
        <f t="shared" si="15"/>
        <v>33182.62</v>
      </c>
      <c r="R72" s="174">
        <f t="shared" si="15"/>
        <v>187122.5232</v>
      </c>
      <c r="S72" s="60"/>
      <c r="T72" s="9"/>
      <c r="U72" s="8"/>
      <c r="V72" s="9"/>
    </row>
    <row r="73" spans="1:22" ht="31.5" customHeight="1">
      <c r="A73" s="30"/>
      <c r="B73" s="304" t="s">
        <v>40</v>
      </c>
      <c r="C73" s="304"/>
      <c r="D73" s="304"/>
      <c r="E73" s="5"/>
      <c r="F73" s="176">
        <v>3278</v>
      </c>
      <c r="G73" s="174">
        <f>F73*F86</f>
        <v>18015.888000000003</v>
      </c>
      <c r="H73" s="175"/>
      <c r="I73" s="176">
        <v>1711</v>
      </c>
      <c r="J73" s="174">
        <f>I73*F86</f>
        <v>9403.656</v>
      </c>
      <c r="K73" s="175"/>
      <c r="L73" s="176">
        <v>2459</v>
      </c>
      <c r="M73" s="174">
        <f>L73*G86</f>
        <v>14163.84</v>
      </c>
      <c r="N73" s="175"/>
      <c r="O73" s="176">
        <v>3696</v>
      </c>
      <c r="P73" s="174">
        <f>O73*G86</f>
        <v>21288.96</v>
      </c>
      <c r="Q73" s="175">
        <f t="shared" si="15"/>
        <v>11144</v>
      </c>
      <c r="R73" s="174">
        <f t="shared" si="15"/>
        <v>62872.344000000005</v>
      </c>
      <c r="S73" s="60"/>
      <c r="T73" s="9"/>
      <c r="U73" s="8"/>
      <c r="V73" s="9"/>
    </row>
    <row r="74" spans="1:22" s="89" customFormat="1" ht="27" customHeight="1">
      <c r="A74" s="96">
        <v>6</v>
      </c>
      <c r="B74" s="298" t="s">
        <v>53</v>
      </c>
      <c r="C74" s="299"/>
      <c r="D74" s="300"/>
      <c r="E74" s="90"/>
      <c r="F74" s="173">
        <f>F75+F76+F77</f>
        <v>216845.17</v>
      </c>
      <c r="G74" s="172">
        <f aca="true" t="shared" si="16" ref="G74:P74">G75+G76+G77</f>
        <v>1191781.05432</v>
      </c>
      <c r="H74" s="85">
        <f t="shared" si="16"/>
        <v>0</v>
      </c>
      <c r="I74" s="173">
        <f t="shared" si="16"/>
        <v>195445.17</v>
      </c>
      <c r="J74" s="172">
        <f t="shared" si="16"/>
        <v>1074166.6543200002</v>
      </c>
      <c r="K74" s="85">
        <f t="shared" si="16"/>
        <v>0</v>
      </c>
      <c r="L74" s="173">
        <f t="shared" si="16"/>
        <v>189645.17</v>
      </c>
      <c r="M74" s="172">
        <f t="shared" si="16"/>
        <v>1092356.1792000001</v>
      </c>
      <c r="N74" s="85">
        <f t="shared" si="16"/>
        <v>0</v>
      </c>
      <c r="O74" s="173">
        <f t="shared" si="16"/>
        <v>204645.17</v>
      </c>
      <c r="P74" s="172">
        <f t="shared" si="16"/>
        <v>1178756.1792000001</v>
      </c>
      <c r="Q74" s="85">
        <f t="shared" si="15"/>
        <v>806580.68</v>
      </c>
      <c r="R74" s="172">
        <f t="shared" si="15"/>
        <v>4537060.06704</v>
      </c>
      <c r="S74" s="86"/>
      <c r="T74" s="87"/>
      <c r="U74" s="88"/>
      <c r="V74" s="87"/>
    </row>
    <row r="75" spans="1:22" ht="36" customHeight="1">
      <c r="A75" s="30"/>
      <c r="B75" s="309" t="s">
        <v>111</v>
      </c>
      <c r="C75" s="310"/>
      <c r="D75" s="311"/>
      <c r="E75" s="5"/>
      <c r="F75" s="176">
        <v>5200</v>
      </c>
      <c r="G75" s="174">
        <f>F75*F86</f>
        <v>28579.2</v>
      </c>
      <c r="H75" s="175"/>
      <c r="I75" s="176">
        <v>4800</v>
      </c>
      <c r="J75" s="174">
        <f>I75*F86</f>
        <v>26380.800000000003</v>
      </c>
      <c r="K75" s="175"/>
      <c r="L75" s="176">
        <v>4000</v>
      </c>
      <c r="M75" s="174">
        <f>L75*G86</f>
        <v>23040</v>
      </c>
      <c r="N75" s="175"/>
      <c r="O75" s="176">
        <v>6000</v>
      </c>
      <c r="P75" s="174">
        <f>O75*G86</f>
        <v>34560</v>
      </c>
      <c r="Q75" s="175">
        <f>F75+I75+L75+O75</f>
        <v>20000</v>
      </c>
      <c r="R75" s="174">
        <f>G75+J75+M75+P75</f>
        <v>112560</v>
      </c>
      <c r="S75" s="60"/>
      <c r="T75" s="9"/>
      <c r="U75" s="8"/>
      <c r="V75" s="9"/>
    </row>
    <row r="76" spans="1:22" ht="31.5" customHeight="1">
      <c r="A76" s="30"/>
      <c r="B76" s="276" t="s">
        <v>55</v>
      </c>
      <c r="C76" s="277"/>
      <c r="D76" s="278"/>
      <c r="E76" s="5"/>
      <c r="F76" s="176">
        <v>30000</v>
      </c>
      <c r="G76" s="174">
        <f>F76*F86</f>
        <v>164880</v>
      </c>
      <c r="H76" s="175"/>
      <c r="I76" s="176">
        <v>9000</v>
      </c>
      <c r="J76" s="174">
        <f>I76*F86</f>
        <v>49464.00000000001</v>
      </c>
      <c r="K76" s="175"/>
      <c r="L76" s="176">
        <v>4000</v>
      </c>
      <c r="M76" s="174">
        <f>L76*G86</f>
        <v>23040</v>
      </c>
      <c r="N76" s="175"/>
      <c r="O76" s="176">
        <v>17000</v>
      </c>
      <c r="P76" s="174">
        <f>O76*G86</f>
        <v>97920</v>
      </c>
      <c r="Q76" s="175">
        <f>F76+I76+L76+O76</f>
        <v>60000</v>
      </c>
      <c r="R76" s="174">
        <f>G76+J76+M76+P76</f>
        <v>335304</v>
      </c>
      <c r="S76" s="60"/>
      <c r="T76" s="9"/>
      <c r="U76" s="8"/>
      <c r="V76" s="9"/>
    </row>
    <row r="77" spans="1:22" ht="31.5" customHeight="1">
      <c r="A77" s="30"/>
      <c r="B77" s="276" t="s">
        <v>82</v>
      </c>
      <c r="C77" s="277"/>
      <c r="D77" s="278"/>
      <c r="E77" s="5"/>
      <c r="F77" s="176">
        <v>181645.17</v>
      </c>
      <c r="G77" s="174">
        <f>SUM(F77)*F86</f>
        <v>998321.8543200002</v>
      </c>
      <c r="H77" s="175"/>
      <c r="I77" s="176">
        <v>181645.17</v>
      </c>
      <c r="J77" s="174">
        <f>SUM(I77)*F86</f>
        <v>998321.8543200002</v>
      </c>
      <c r="K77" s="175"/>
      <c r="L77" s="176">
        <v>181645.17</v>
      </c>
      <c r="M77" s="174">
        <f>SUM(L77)*G86</f>
        <v>1046276.1792</v>
      </c>
      <c r="N77" s="175"/>
      <c r="O77" s="176">
        <v>181645.17</v>
      </c>
      <c r="P77" s="174">
        <f>SUM(O77)*G86</f>
        <v>1046276.1792</v>
      </c>
      <c r="Q77" s="175">
        <f>F77+I77+L77+O77</f>
        <v>726580.68</v>
      </c>
      <c r="R77" s="174">
        <f>SUM(G77)+J77+M77+P77</f>
        <v>4089196.0670400006</v>
      </c>
      <c r="S77" s="60"/>
      <c r="T77" s="9"/>
      <c r="U77" s="8"/>
      <c r="V77" s="9"/>
    </row>
    <row r="78" spans="1:22" ht="31.5" customHeight="1">
      <c r="A78" s="92">
        <v>7</v>
      </c>
      <c r="B78" s="298" t="s">
        <v>83</v>
      </c>
      <c r="C78" s="299"/>
      <c r="D78" s="300"/>
      <c r="E78" s="5"/>
      <c r="F78" s="223">
        <f>SUM(F79:F80)</f>
        <v>5703</v>
      </c>
      <c r="G78" s="226">
        <f aca="true" t="shared" si="17" ref="G78:R78">SUM(G79:G80)</f>
        <v>31343.688000000002</v>
      </c>
      <c r="H78" s="222">
        <f t="shared" si="17"/>
        <v>0</v>
      </c>
      <c r="I78" s="223">
        <f t="shared" si="17"/>
        <v>5447</v>
      </c>
      <c r="J78" s="226">
        <f t="shared" si="17"/>
        <v>29936.712000000003</v>
      </c>
      <c r="K78" s="222">
        <f t="shared" si="17"/>
        <v>0</v>
      </c>
      <c r="L78" s="223">
        <f t="shared" si="17"/>
        <v>6414</v>
      </c>
      <c r="M78" s="226">
        <f t="shared" si="17"/>
        <v>36944.64</v>
      </c>
      <c r="N78" s="222">
        <f t="shared" si="17"/>
        <v>0</v>
      </c>
      <c r="O78" s="223">
        <f t="shared" si="17"/>
        <v>5543</v>
      </c>
      <c r="P78" s="226">
        <f t="shared" si="17"/>
        <v>31927.68</v>
      </c>
      <c r="Q78" s="222">
        <f t="shared" si="17"/>
        <v>23107</v>
      </c>
      <c r="R78" s="226">
        <f t="shared" si="17"/>
        <v>130152.72</v>
      </c>
      <c r="S78" s="60"/>
      <c r="T78" s="9"/>
      <c r="U78" s="8"/>
      <c r="V78" s="9"/>
    </row>
    <row r="79" spans="1:22" ht="31.5" customHeight="1">
      <c r="A79" s="92"/>
      <c r="B79" s="269" t="s">
        <v>84</v>
      </c>
      <c r="C79" s="272"/>
      <c r="D79" s="273"/>
      <c r="E79" s="5"/>
      <c r="F79" s="176">
        <v>0</v>
      </c>
      <c r="G79" s="174">
        <f>SUM(F79)*F86</f>
        <v>0</v>
      </c>
      <c r="H79" s="175"/>
      <c r="I79" s="176">
        <v>0</v>
      </c>
      <c r="J79" s="174">
        <f>SUM(I79)*F86</f>
        <v>0</v>
      </c>
      <c r="K79" s="175"/>
      <c r="L79" s="176">
        <v>0</v>
      </c>
      <c r="M79" s="174">
        <f>SUM(L79)*G86</f>
        <v>0</v>
      </c>
      <c r="N79" s="175"/>
      <c r="O79" s="176">
        <v>0</v>
      </c>
      <c r="P79" s="174">
        <f>SUM(O79)*G86</f>
        <v>0</v>
      </c>
      <c r="Q79" s="175">
        <f>SUM(F79)+I79+L79+O79</f>
        <v>0</v>
      </c>
      <c r="R79" s="174">
        <f>SUM(G79)+J79+M79+P79</f>
        <v>0</v>
      </c>
      <c r="S79" s="60"/>
      <c r="T79" s="9"/>
      <c r="U79" s="8"/>
      <c r="V79" s="9"/>
    </row>
    <row r="80" spans="1:22" ht="31.5" customHeight="1">
      <c r="A80" s="92"/>
      <c r="B80" s="269" t="s">
        <v>85</v>
      </c>
      <c r="C80" s="272"/>
      <c r="D80" s="273"/>
      <c r="E80" s="5"/>
      <c r="F80" s="176">
        <v>5703</v>
      </c>
      <c r="G80" s="174">
        <f>SUM(F80)*F86</f>
        <v>31343.688000000002</v>
      </c>
      <c r="H80" s="175"/>
      <c r="I80" s="176">
        <v>5447</v>
      </c>
      <c r="J80" s="174">
        <f>SUM(I80)*F86</f>
        <v>29936.712000000003</v>
      </c>
      <c r="K80" s="175"/>
      <c r="L80" s="176">
        <v>6414</v>
      </c>
      <c r="M80" s="174">
        <f>SUM(L80)*G86</f>
        <v>36944.64</v>
      </c>
      <c r="N80" s="175"/>
      <c r="O80" s="176">
        <v>5543</v>
      </c>
      <c r="P80" s="174">
        <f>SUM(O80)*G86</f>
        <v>31927.68</v>
      </c>
      <c r="Q80" s="175">
        <f>SUM(F80)+I80+L80+O80</f>
        <v>23107</v>
      </c>
      <c r="R80" s="174">
        <f>SUM(G80)+J80+M80+P80</f>
        <v>130152.72</v>
      </c>
      <c r="S80" s="60"/>
      <c r="T80" s="9"/>
      <c r="U80" s="8"/>
      <c r="V80" s="9"/>
    </row>
    <row r="81" spans="1:22" ht="31.5" customHeight="1">
      <c r="A81" s="92">
        <v>8</v>
      </c>
      <c r="B81" s="376" t="s">
        <v>56</v>
      </c>
      <c r="C81" s="377"/>
      <c r="D81" s="378"/>
      <c r="E81" s="83"/>
      <c r="F81" s="173">
        <f>SUM(F82:F83)</f>
        <v>89160</v>
      </c>
      <c r="G81" s="172">
        <f aca="true" t="shared" si="18" ref="G81:P81">SUM(G82:G83)</f>
        <v>490023.36000000004</v>
      </c>
      <c r="H81" s="85">
        <f t="shared" si="18"/>
        <v>0</v>
      </c>
      <c r="I81" s="173">
        <f t="shared" si="18"/>
        <v>61792</v>
      </c>
      <c r="J81" s="172">
        <f t="shared" si="18"/>
        <v>339608.832</v>
      </c>
      <c r="K81" s="85">
        <f t="shared" si="18"/>
        <v>0</v>
      </c>
      <c r="L81" s="173">
        <f t="shared" si="18"/>
        <v>43368</v>
      </c>
      <c r="M81" s="172">
        <f t="shared" si="18"/>
        <v>249799.68</v>
      </c>
      <c r="N81" s="85">
        <f t="shared" si="18"/>
        <v>0</v>
      </c>
      <c r="O81" s="173">
        <f t="shared" si="18"/>
        <v>91168</v>
      </c>
      <c r="P81" s="172">
        <f t="shared" si="18"/>
        <v>525127.6799999999</v>
      </c>
      <c r="Q81" s="85">
        <f aca="true" t="shared" si="19" ref="Q81:R83">F81+I81+L81+O81</f>
        <v>285488</v>
      </c>
      <c r="R81" s="172">
        <f t="shared" si="19"/>
        <v>1604559.552</v>
      </c>
      <c r="S81" s="60"/>
      <c r="T81" s="9"/>
      <c r="U81" s="8"/>
      <c r="V81" s="9"/>
    </row>
    <row r="82" spans="1:22" ht="31.5" customHeight="1">
      <c r="A82" s="92"/>
      <c r="B82" s="269" t="s">
        <v>88</v>
      </c>
      <c r="C82" s="293"/>
      <c r="D82" s="294"/>
      <c r="E82" s="5"/>
      <c r="F82" s="176">
        <v>600</v>
      </c>
      <c r="G82" s="174">
        <f>F82*F86</f>
        <v>3297.6000000000004</v>
      </c>
      <c r="H82" s="175"/>
      <c r="I82" s="176">
        <v>600</v>
      </c>
      <c r="J82" s="174">
        <f>I82*F86</f>
        <v>3297.6000000000004</v>
      </c>
      <c r="K82" s="175"/>
      <c r="L82" s="176">
        <v>600</v>
      </c>
      <c r="M82" s="174">
        <f>L82*G86</f>
        <v>3456</v>
      </c>
      <c r="N82" s="175"/>
      <c r="O82" s="176">
        <v>600</v>
      </c>
      <c r="P82" s="174">
        <f>O82*G86</f>
        <v>3456</v>
      </c>
      <c r="Q82" s="175">
        <f t="shared" si="19"/>
        <v>2400</v>
      </c>
      <c r="R82" s="174">
        <f t="shared" si="19"/>
        <v>13507.2</v>
      </c>
      <c r="S82" s="60"/>
      <c r="T82" s="9"/>
      <c r="U82" s="8"/>
      <c r="V82" s="9"/>
    </row>
    <row r="83" spans="1:22" ht="31.5" customHeight="1">
      <c r="A83" s="92"/>
      <c r="B83" s="269" t="s">
        <v>89</v>
      </c>
      <c r="C83" s="293"/>
      <c r="D83" s="294"/>
      <c r="E83" s="5"/>
      <c r="F83" s="176">
        <v>88560</v>
      </c>
      <c r="G83" s="174">
        <f>F83*F86</f>
        <v>486725.76000000007</v>
      </c>
      <c r="H83" s="175"/>
      <c r="I83" s="176">
        <v>61192</v>
      </c>
      <c r="J83" s="174">
        <f>I83*F86</f>
        <v>336311.232</v>
      </c>
      <c r="K83" s="175"/>
      <c r="L83" s="176">
        <v>42768</v>
      </c>
      <c r="M83" s="174">
        <f>L83*G86</f>
        <v>246343.68</v>
      </c>
      <c r="N83" s="175"/>
      <c r="O83" s="176">
        <v>90568</v>
      </c>
      <c r="P83" s="174">
        <f>O83*G86</f>
        <v>521671.68</v>
      </c>
      <c r="Q83" s="175">
        <f t="shared" si="19"/>
        <v>283088</v>
      </c>
      <c r="R83" s="174">
        <f t="shared" si="19"/>
        <v>1591052.352</v>
      </c>
      <c r="S83" s="60"/>
      <c r="T83" s="9"/>
      <c r="U83" s="8"/>
      <c r="V83" s="9"/>
    </row>
    <row r="84" spans="1:22" ht="30" customHeight="1">
      <c r="A84" s="30"/>
      <c r="B84" s="317" t="s">
        <v>19</v>
      </c>
      <c r="C84" s="317"/>
      <c r="D84" s="317"/>
      <c r="E84" s="12">
        <f>SUM(E52:E67)</f>
        <v>266200</v>
      </c>
      <c r="F84" s="177">
        <f aca="true" t="shared" si="20" ref="F84:R84">F52+F53+F60+F65+F69+F74+F78+F81</f>
        <v>555962.97</v>
      </c>
      <c r="G84" s="178">
        <f t="shared" si="20"/>
        <v>3055572.48232</v>
      </c>
      <c r="H84" s="54">
        <f t="shared" si="20"/>
        <v>162200</v>
      </c>
      <c r="I84" s="177">
        <f t="shared" si="20"/>
        <v>451752.47</v>
      </c>
      <c r="J84" s="178">
        <f t="shared" si="20"/>
        <v>2482831.57512</v>
      </c>
      <c r="K84" s="54">
        <f t="shared" si="20"/>
        <v>169500</v>
      </c>
      <c r="L84" s="177">
        <f t="shared" si="20"/>
        <v>423260.67000000004</v>
      </c>
      <c r="M84" s="178">
        <f t="shared" si="20"/>
        <v>2437981.4592000004</v>
      </c>
      <c r="N84" s="54">
        <f t="shared" si="20"/>
        <v>245500</v>
      </c>
      <c r="O84" s="177">
        <f t="shared" si="20"/>
        <v>626743.37</v>
      </c>
      <c r="P84" s="178">
        <f t="shared" si="20"/>
        <v>3610041.8112000003</v>
      </c>
      <c r="Q84" s="54">
        <f t="shared" si="20"/>
        <v>2057719.48</v>
      </c>
      <c r="R84" s="178">
        <f t="shared" si="20"/>
        <v>11586427.32904</v>
      </c>
      <c r="S84" s="62"/>
      <c r="T84" s="32"/>
      <c r="U84" s="9"/>
      <c r="V84" s="9"/>
    </row>
    <row r="85" spans="1:22" ht="50.25" customHeight="1">
      <c r="A85" s="33"/>
      <c r="B85" s="307" t="s">
        <v>8</v>
      </c>
      <c r="C85" s="307"/>
      <c r="D85" s="307"/>
      <c r="E85" s="301" t="s">
        <v>98</v>
      </c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3"/>
      <c r="T85" s="9"/>
      <c r="U85" s="9"/>
      <c r="V85" s="9"/>
    </row>
    <row r="86" spans="1:22" ht="32.25" customHeight="1">
      <c r="A86" s="3"/>
      <c r="B86" s="3"/>
      <c r="C86" s="3"/>
      <c r="D86" s="3"/>
      <c r="E86" s="3"/>
      <c r="F86" s="129">
        <v>5.496</v>
      </c>
      <c r="G86" s="129">
        <v>5.76</v>
      </c>
      <c r="H86" s="129"/>
      <c r="I86" s="129"/>
      <c r="J86" s="130"/>
      <c r="K86" s="3"/>
      <c r="L86" s="3"/>
      <c r="M86" s="97"/>
      <c r="N86" s="3"/>
      <c r="O86" s="3"/>
      <c r="P86" s="104"/>
      <c r="Q86" s="34"/>
      <c r="R86" s="97"/>
      <c r="T86" s="9"/>
      <c r="U86" s="9"/>
      <c r="V86" s="9"/>
    </row>
    <row r="87" spans="1:22" ht="21" customHeight="1">
      <c r="A87" s="35"/>
      <c r="B87" s="36"/>
      <c r="C87" s="36"/>
      <c r="D87" s="36"/>
      <c r="E87" s="37" t="s">
        <v>13</v>
      </c>
      <c r="F87" s="129"/>
      <c r="G87" s="131"/>
      <c r="H87" s="132"/>
      <c r="I87" s="132"/>
      <c r="J87" s="133"/>
      <c r="K87" s="38"/>
      <c r="L87" s="38"/>
      <c r="M87" s="101"/>
      <c r="N87" s="38"/>
      <c r="O87" s="38"/>
      <c r="P87" s="101"/>
      <c r="Q87" s="38"/>
      <c r="R87" s="101"/>
      <c r="T87" s="9"/>
      <c r="U87" s="9"/>
      <c r="V87" s="9"/>
    </row>
    <row r="88" spans="1:22" ht="2.25" customHeight="1">
      <c r="A88" s="35"/>
      <c r="B88" s="36"/>
      <c r="C88" s="36"/>
      <c r="D88" s="36"/>
      <c r="E88" s="37"/>
      <c r="F88" s="134"/>
      <c r="G88" s="130"/>
      <c r="H88" s="134"/>
      <c r="I88" s="134"/>
      <c r="J88" s="133"/>
      <c r="K88" s="38"/>
      <c r="L88" s="38"/>
      <c r="M88" s="101"/>
      <c r="N88" s="38"/>
      <c r="O88" s="38"/>
      <c r="P88" s="104"/>
      <c r="Q88" s="39"/>
      <c r="R88" s="105"/>
      <c r="T88" s="9"/>
      <c r="U88" s="9"/>
      <c r="V88" s="9"/>
    </row>
    <row r="89" spans="1:22" ht="14.25" customHeight="1">
      <c r="A89" s="35"/>
      <c r="B89" s="40"/>
      <c r="C89" s="40"/>
      <c r="D89" s="40"/>
      <c r="E89" s="41"/>
      <c r="F89" s="129"/>
      <c r="G89" s="130"/>
      <c r="H89" s="129"/>
      <c r="I89" s="129"/>
      <c r="J89" s="133"/>
      <c r="K89" s="42"/>
      <c r="L89" s="42"/>
      <c r="M89" s="101"/>
      <c r="N89" s="43"/>
      <c r="O89" s="43"/>
      <c r="P89" s="306"/>
      <c r="Q89" s="306"/>
      <c r="R89" s="306"/>
      <c r="T89" s="9"/>
      <c r="U89" s="9"/>
      <c r="V89" s="9"/>
    </row>
    <row r="90" spans="1:22" ht="9.75" customHeight="1">
      <c r="A90" s="35"/>
      <c r="B90" s="40"/>
      <c r="C90" s="40"/>
      <c r="D90" s="40"/>
      <c r="E90" s="41"/>
      <c r="F90" s="3"/>
      <c r="G90" s="97"/>
      <c r="H90" s="3"/>
      <c r="I90" s="3"/>
      <c r="J90" s="101"/>
      <c r="K90" s="42"/>
      <c r="L90" s="42"/>
      <c r="M90" s="101"/>
      <c r="N90" s="43"/>
      <c r="O90" s="43"/>
      <c r="P90" s="306"/>
      <c r="Q90" s="306"/>
      <c r="R90" s="306"/>
      <c r="T90" s="9"/>
      <c r="U90" s="9"/>
      <c r="V90" s="9"/>
    </row>
    <row r="91" spans="1:22" ht="13.5" customHeight="1" hidden="1">
      <c r="A91" s="35"/>
      <c r="B91" s="40"/>
      <c r="C91" s="40"/>
      <c r="D91" s="40"/>
      <c r="E91" s="41"/>
      <c r="F91" s="3"/>
      <c r="G91" s="97"/>
      <c r="H91" s="3"/>
      <c r="I91" s="3"/>
      <c r="J91" s="101"/>
      <c r="K91" s="42"/>
      <c r="L91" s="42"/>
      <c r="M91" s="101"/>
      <c r="N91" s="43"/>
      <c r="O91" s="43"/>
      <c r="P91" s="306"/>
      <c r="Q91" s="306"/>
      <c r="R91" s="306"/>
      <c r="T91" s="9"/>
      <c r="U91" s="9"/>
      <c r="V91" s="9"/>
    </row>
    <row r="92" spans="1:22" ht="15.75" customHeight="1" hidden="1">
      <c r="A92" s="35"/>
      <c r="B92" s="40"/>
      <c r="C92" s="40"/>
      <c r="D92" s="40"/>
      <c r="E92" s="41"/>
      <c r="F92" s="3"/>
      <c r="G92" s="97"/>
      <c r="H92" s="3"/>
      <c r="I92" s="3"/>
      <c r="J92" s="101"/>
      <c r="K92" s="42"/>
      <c r="L92" s="42"/>
      <c r="M92" s="101"/>
      <c r="N92" s="43"/>
      <c r="O92" s="43"/>
      <c r="P92" s="101"/>
      <c r="Q92" s="43"/>
      <c r="R92" s="101"/>
      <c r="T92" s="9"/>
      <c r="U92" s="9"/>
      <c r="V92" s="9"/>
    </row>
    <row r="93" spans="1:22" ht="26.25" customHeight="1">
      <c r="A93" s="296" t="s">
        <v>99</v>
      </c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T93" s="9"/>
      <c r="U93" s="9"/>
      <c r="V93" s="9"/>
    </row>
    <row r="94" spans="1:18" ht="25.5">
      <c r="A94" s="297" t="s">
        <v>15</v>
      </c>
      <c r="B94" s="279" t="s">
        <v>0</v>
      </c>
      <c r="C94" s="280"/>
      <c r="D94" s="281"/>
      <c r="E94" s="295" t="s">
        <v>1</v>
      </c>
      <c r="F94" s="295"/>
      <c r="G94" s="295"/>
      <c r="H94" s="295" t="s">
        <v>3</v>
      </c>
      <c r="I94" s="295"/>
      <c r="J94" s="295"/>
      <c r="K94" s="295" t="s">
        <v>4</v>
      </c>
      <c r="L94" s="295"/>
      <c r="M94" s="295"/>
      <c r="N94" s="295" t="s">
        <v>6</v>
      </c>
      <c r="O94" s="295"/>
      <c r="P94" s="295"/>
      <c r="Q94" s="295" t="s">
        <v>7</v>
      </c>
      <c r="R94" s="295"/>
    </row>
    <row r="95" spans="1:18" ht="25.5">
      <c r="A95" s="297"/>
      <c r="B95" s="282"/>
      <c r="C95" s="283"/>
      <c r="D95" s="284"/>
      <c r="F95" s="57" t="s">
        <v>10</v>
      </c>
      <c r="G95" s="100" t="s">
        <v>5</v>
      </c>
      <c r="H95" s="57" t="s">
        <v>10</v>
      </c>
      <c r="I95" s="57" t="s">
        <v>10</v>
      </c>
      <c r="J95" s="100" t="s">
        <v>5</v>
      </c>
      <c r="K95" s="57" t="s">
        <v>10</v>
      </c>
      <c r="L95" s="57" t="s">
        <v>10</v>
      </c>
      <c r="M95" s="100" t="s">
        <v>5</v>
      </c>
      <c r="N95" s="57" t="s">
        <v>10</v>
      </c>
      <c r="O95" s="57" t="s">
        <v>10</v>
      </c>
      <c r="P95" s="100" t="s">
        <v>5</v>
      </c>
      <c r="Q95" s="57" t="s">
        <v>10</v>
      </c>
      <c r="R95" s="100" t="s">
        <v>5</v>
      </c>
    </row>
    <row r="96" spans="1:21" s="89" customFormat="1" ht="32.25" customHeight="1">
      <c r="A96" s="96">
        <v>1</v>
      </c>
      <c r="B96" s="298" t="s">
        <v>33</v>
      </c>
      <c r="C96" s="299"/>
      <c r="D96" s="300"/>
      <c r="E96" s="83">
        <v>14.8</v>
      </c>
      <c r="F96" s="173">
        <v>3.3</v>
      </c>
      <c r="G96" s="172">
        <f>F96*F125</f>
        <v>101.211</v>
      </c>
      <c r="H96" s="85">
        <v>14.8</v>
      </c>
      <c r="I96" s="173">
        <v>3.3</v>
      </c>
      <c r="J96" s="172">
        <f>I96*F125</f>
        <v>101.211</v>
      </c>
      <c r="K96" s="85">
        <v>15</v>
      </c>
      <c r="L96" s="173">
        <v>3.4</v>
      </c>
      <c r="M96" s="172">
        <f>L96*G125</f>
        <v>131.07</v>
      </c>
      <c r="N96" s="85">
        <v>15</v>
      </c>
      <c r="O96" s="173">
        <v>3.3</v>
      </c>
      <c r="P96" s="182">
        <f>O96*G125</f>
        <v>127.21499999999999</v>
      </c>
      <c r="Q96" s="183">
        <f>F96+I96+L96+O96</f>
        <v>13.3</v>
      </c>
      <c r="R96" s="182">
        <f>G96+J96+M96+P96</f>
        <v>460.70699999999994</v>
      </c>
      <c r="S96" s="86" t="s">
        <v>21</v>
      </c>
      <c r="T96" s="93"/>
      <c r="U96" s="93"/>
    </row>
    <row r="97" spans="1:21" s="89" customFormat="1" ht="32.25" customHeight="1">
      <c r="A97" s="96">
        <v>2</v>
      </c>
      <c r="B97" s="298" t="s">
        <v>41</v>
      </c>
      <c r="C97" s="299"/>
      <c r="D97" s="300"/>
      <c r="E97" s="90"/>
      <c r="F97" s="173">
        <f>F98+F99+F100+F101+F102+F103</f>
        <v>1459</v>
      </c>
      <c r="G97" s="172">
        <f>G98+G99+G100+G101+G102+G103</f>
        <v>50227.53</v>
      </c>
      <c r="H97" s="85"/>
      <c r="I97" s="173">
        <f>I98+I99+I100+I101+I102+I103</f>
        <v>1766.4</v>
      </c>
      <c r="J97" s="172">
        <f>J98+J99+J100+J101+J102+J103</f>
        <v>62285.888</v>
      </c>
      <c r="K97" s="85"/>
      <c r="L97" s="173">
        <f>L98+L99+L100+L101+L102+L103</f>
        <v>1840.8</v>
      </c>
      <c r="M97" s="172">
        <f>M98+M99+M100+M101+M102+M103</f>
        <v>80662.73999999999</v>
      </c>
      <c r="N97" s="85"/>
      <c r="O97" s="173">
        <f>O98+O99+O100+O101+O102+O103</f>
        <v>1893.8</v>
      </c>
      <c r="P97" s="182">
        <f>P98+P99+P100+P101+P102+P103</f>
        <v>81662.89</v>
      </c>
      <c r="Q97" s="183">
        <f aca="true" t="shared" si="21" ref="Q97:R103">F97+I97+L97+O97</f>
        <v>6960</v>
      </c>
      <c r="R97" s="182">
        <f t="shared" si="21"/>
        <v>274839.048</v>
      </c>
      <c r="S97" s="86"/>
      <c r="T97" s="93"/>
      <c r="U97" s="93"/>
    </row>
    <row r="98" spans="1:21" s="15" customFormat="1" ht="49.5" customHeight="1">
      <c r="A98" s="28"/>
      <c r="B98" s="276" t="s">
        <v>34</v>
      </c>
      <c r="C98" s="277"/>
      <c r="D98" s="278"/>
      <c r="E98" s="5">
        <v>3068.8</v>
      </c>
      <c r="F98" s="176">
        <v>350</v>
      </c>
      <c r="G98" s="174">
        <f>F98*F125</f>
        <v>10734.5</v>
      </c>
      <c r="H98" s="175">
        <v>2511</v>
      </c>
      <c r="I98" s="176">
        <v>300</v>
      </c>
      <c r="J98" s="174">
        <f>I98*F125</f>
        <v>9201</v>
      </c>
      <c r="K98" s="175">
        <v>2511</v>
      </c>
      <c r="L98" s="176">
        <v>308</v>
      </c>
      <c r="M98" s="174">
        <f>L98*G125</f>
        <v>11873.4</v>
      </c>
      <c r="N98" s="175">
        <v>2511</v>
      </c>
      <c r="O98" s="176">
        <v>342</v>
      </c>
      <c r="P98" s="184">
        <f>O98*G125</f>
        <v>13184.099999999999</v>
      </c>
      <c r="Q98" s="185">
        <f t="shared" si="21"/>
        <v>1300</v>
      </c>
      <c r="R98" s="184">
        <f aca="true" t="shared" si="22" ref="R98:R103">G98+J98+M98+P98</f>
        <v>44993</v>
      </c>
      <c r="S98" s="60" t="s">
        <v>78</v>
      </c>
      <c r="T98" s="14"/>
      <c r="U98" s="14"/>
    </row>
    <row r="99" spans="1:21" ht="48.75" customHeight="1">
      <c r="A99" s="25"/>
      <c r="B99" s="276" t="s">
        <v>35</v>
      </c>
      <c r="C99" s="277"/>
      <c r="D99" s="278"/>
      <c r="E99" s="44">
        <v>609</v>
      </c>
      <c r="F99" s="176">
        <v>170</v>
      </c>
      <c r="G99" s="174">
        <f>F99*F125</f>
        <v>5213.900000000001</v>
      </c>
      <c r="H99" s="175">
        <v>609</v>
      </c>
      <c r="I99" s="176">
        <v>150</v>
      </c>
      <c r="J99" s="174">
        <f>I99*F125</f>
        <v>4600.5</v>
      </c>
      <c r="K99" s="175">
        <v>609</v>
      </c>
      <c r="L99" s="176">
        <v>170</v>
      </c>
      <c r="M99" s="174">
        <f>L99*G125</f>
        <v>6553.499999999999</v>
      </c>
      <c r="N99" s="175">
        <v>609</v>
      </c>
      <c r="O99" s="176">
        <v>150</v>
      </c>
      <c r="P99" s="184">
        <f>O99*G125</f>
        <v>5782.5</v>
      </c>
      <c r="Q99" s="185">
        <f t="shared" si="21"/>
        <v>640</v>
      </c>
      <c r="R99" s="184">
        <f t="shared" si="22"/>
        <v>22150.4</v>
      </c>
      <c r="S99" s="60" t="s">
        <v>78</v>
      </c>
      <c r="T99" s="10"/>
      <c r="U99" s="10"/>
    </row>
    <row r="100" spans="1:21" ht="47.25" customHeight="1">
      <c r="A100" s="28"/>
      <c r="B100" s="276" t="s">
        <v>36</v>
      </c>
      <c r="C100" s="277"/>
      <c r="D100" s="278"/>
      <c r="E100" s="5">
        <v>725.1</v>
      </c>
      <c r="F100" s="176">
        <v>350</v>
      </c>
      <c r="G100" s="174">
        <f>F100*F126</f>
        <v>14570.5</v>
      </c>
      <c r="H100" s="175">
        <v>885.2</v>
      </c>
      <c r="I100" s="176">
        <v>300</v>
      </c>
      <c r="J100" s="174">
        <f>I100*F126</f>
        <v>12489</v>
      </c>
      <c r="K100" s="175">
        <v>727.3</v>
      </c>
      <c r="L100" s="176">
        <v>200</v>
      </c>
      <c r="M100" s="174">
        <f>L100*G126</f>
        <v>9796</v>
      </c>
      <c r="N100" s="175">
        <v>892.61</v>
      </c>
      <c r="O100" s="176">
        <v>350</v>
      </c>
      <c r="P100" s="184">
        <f>O100*G126</f>
        <v>17143</v>
      </c>
      <c r="Q100" s="185">
        <f t="shared" si="21"/>
        <v>1200</v>
      </c>
      <c r="R100" s="184">
        <f t="shared" si="22"/>
        <v>53998.5</v>
      </c>
      <c r="S100" s="60" t="s">
        <v>78</v>
      </c>
      <c r="T100" s="10"/>
      <c r="U100" s="10"/>
    </row>
    <row r="101" spans="1:21" ht="30.75" customHeight="1">
      <c r="A101" s="28"/>
      <c r="B101" s="304" t="s">
        <v>37</v>
      </c>
      <c r="C101" s="304"/>
      <c r="D101" s="304"/>
      <c r="E101" s="5">
        <v>1639</v>
      </c>
      <c r="F101" s="176">
        <v>150</v>
      </c>
      <c r="G101" s="174">
        <f>F101*F126</f>
        <v>6244.5</v>
      </c>
      <c r="H101" s="175">
        <v>1584</v>
      </c>
      <c r="I101" s="176">
        <v>440</v>
      </c>
      <c r="J101" s="174">
        <f>I101*F126</f>
        <v>18317.2</v>
      </c>
      <c r="K101" s="175">
        <v>1344</v>
      </c>
      <c r="L101" s="176">
        <v>730</v>
      </c>
      <c r="M101" s="174">
        <f>L101*G126</f>
        <v>35755.399999999994</v>
      </c>
      <c r="N101" s="175">
        <v>1639</v>
      </c>
      <c r="O101" s="176">
        <v>480</v>
      </c>
      <c r="P101" s="184">
        <f>O101*G126</f>
        <v>23510.399999999998</v>
      </c>
      <c r="Q101" s="185">
        <f t="shared" si="21"/>
        <v>1800</v>
      </c>
      <c r="R101" s="184">
        <f t="shared" si="22"/>
        <v>83827.49999999999</v>
      </c>
      <c r="S101" s="60" t="s">
        <v>78</v>
      </c>
      <c r="T101" s="10"/>
      <c r="U101" s="10"/>
    </row>
    <row r="102" spans="1:21" s="112" customFormat="1" ht="33" customHeight="1">
      <c r="A102" s="113"/>
      <c r="B102" s="305" t="s">
        <v>38</v>
      </c>
      <c r="C102" s="305"/>
      <c r="D102" s="305"/>
      <c r="E102" s="108">
        <v>53.7</v>
      </c>
      <c r="F102" s="186">
        <v>400</v>
      </c>
      <c r="G102" s="187">
        <f>F102*F125</f>
        <v>12268</v>
      </c>
      <c r="H102" s="188">
        <v>43.6</v>
      </c>
      <c r="I102" s="186">
        <v>550</v>
      </c>
      <c r="J102" s="187">
        <f>I102*F125</f>
        <v>16868.5</v>
      </c>
      <c r="K102" s="188">
        <v>43.8</v>
      </c>
      <c r="L102" s="186">
        <v>350</v>
      </c>
      <c r="M102" s="187">
        <f>L102*G125</f>
        <v>13492.499999999998</v>
      </c>
      <c r="N102" s="188">
        <v>43.8</v>
      </c>
      <c r="O102" s="186">
        <v>550</v>
      </c>
      <c r="P102" s="189">
        <f>O102*G125</f>
        <v>21202.5</v>
      </c>
      <c r="Q102" s="190">
        <f t="shared" si="21"/>
        <v>1850</v>
      </c>
      <c r="R102" s="189">
        <f t="shared" si="22"/>
        <v>63831.5</v>
      </c>
      <c r="S102" s="109" t="s">
        <v>78</v>
      </c>
      <c r="T102" s="114"/>
      <c r="U102" s="114"/>
    </row>
    <row r="103" spans="1:21" s="112" customFormat="1" ht="54.75" customHeight="1">
      <c r="A103" s="113"/>
      <c r="B103" s="305" t="s">
        <v>39</v>
      </c>
      <c r="C103" s="305"/>
      <c r="D103" s="305"/>
      <c r="E103" s="108">
        <v>51</v>
      </c>
      <c r="F103" s="186">
        <v>39</v>
      </c>
      <c r="G103" s="187">
        <f>F103*F125</f>
        <v>1196.13</v>
      </c>
      <c r="H103" s="188">
        <v>48</v>
      </c>
      <c r="I103" s="186">
        <v>26.4</v>
      </c>
      <c r="J103" s="187">
        <f>I103*F125</f>
        <v>809.688</v>
      </c>
      <c r="K103" s="188">
        <v>48</v>
      </c>
      <c r="L103" s="186">
        <v>82.8</v>
      </c>
      <c r="M103" s="187">
        <f>L103*G125</f>
        <v>3191.9399999999996</v>
      </c>
      <c r="N103" s="188">
        <v>51</v>
      </c>
      <c r="O103" s="186">
        <v>21.8</v>
      </c>
      <c r="P103" s="189">
        <f>O103*G125</f>
        <v>840.39</v>
      </c>
      <c r="Q103" s="190">
        <f t="shared" si="21"/>
        <v>170</v>
      </c>
      <c r="R103" s="189">
        <f t="shared" si="22"/>
        <v>6038.148</v>
      </c>
      <c r="S103" s="109" t="s">
        <v>78</v>
      </c>
      <c r="T103" s="114"/>
      <c r="U103" s="114"/>
    </row>
    <row r="104" spans="1:21" s="89" customFormat="1" ht="55.5" customHeight="1">
      <c r="A104" s="96">
        <v>3</v>
      </c>
      <c r="B104" s="298" t="s">
        <v>42</v>
      </c>
      <c r="C104" s="299"/>
      <c r="D104" s="300"/>
      <c r="E104" s="90">
        <v>76.86</v>
      </c>
      <c r="F104" s="263">
        <f>SUM(F105:F108)</f>
        <v>94.525</v>
      </c>
      <c r="G104" s="172">
        <f aca="true" t="shared" si="23" ref="G104:R104">SUM(G105:G108)</f>
        <v>2964.8417500000005</v>
      </c>
      <c r="H104" s="85">
        <f t="shared" si="23"/>
        <v>0</v>
      </c>
      <c r="I104" s="263">
        <f t="shared" si="23"/>
        <v>94.525</v>
      </c>
      <c r="J104" s="172">
        <f t="shared" si="23"/>
        <v>2964.8417500000005</v>
      </c>
      <c r="K104" s="85">
        <f t="shared" si="23"/>
        <v>0</v>
      </c>
      <c r="L104" s="263">
        <f t="shared" si="23"/>
        <v>94.525</v>
      </c>
      <c r="M104" s="172">
        <f t="shared" si="23"/>
        <v>3706.5187499999993</v>
      </c>
      <c r="N104" s="85">
        <f t="shared" si="23"/>
        <v>0</v>
      </c>
      <c r="O104" s="263">
        <f t="shared" si="23"/>
        <v>94.525</v>
      </c>
      <c r="P104" s="182">
        <f t="shared" si="23"/>
        <v>3706.5187499999993</v>
      </c>
      <c r="Q104" s="264">
        <f t="shared" si="23"/>
        <v>378.12</v>
      </c>
      <c r="R104" s="182">
        <f t="shared" si="23"/>
        <v>13342.721</v>
      </c>
      <c r="S104" s="86" t="s">
        <v>21</v>
      </c>
      <c r="T104" s="93"/>
      <c r="U104" s="93"/>
    </row>
    <row r="105" spans="1:21" ht="28.5" customHeight="1">
      <c r="A105" s="28"/>
      <c r="B105" s="269" t="s">
        <v>107</v>
      </c>
      <c r="C105" s="270"/>
      <c r="D105" s="271"/>
      <c r="E105" s="5"/>
      <c r="F105" s="176">
        <v>58.525</v>
      </c>
      <c r="G105" s="174">
        <f>F105*F125</f>
        <v>1794.9617500000002</v>
      </c>
      <c r="H105" s="175"/>
      <c r="I105" s="176">
        <v>58.525</v>
      </c>
      <c r="J105" s="174">
        <f>I105*F125</f>
        <v>1794.9617500000002</v>
      </c>
      <c r="K105" s="175"/>
      <c r="L105" s="176">
        <v>58.525</v>
      </c>
      <c r="M105" s="174">
        <f>L105*G125</f>
        <v>2256.1387499999996</v>
      </c>
      <c r="N105" s="175"/>
      <c r="O105" s="176">
        <v>58.525</v>
      </c>
      <c r="P105" s="184">
        <f>O105*G125</f>
        <v>2256.1387499999996</v>
      </c>
      <c r="Q105" s="185">
        <v>234.12</v>
      </c>
      <c r="R105" s="184">
        <f>G105+J105+M105+P105</f>
        <v>8102.200999999999</v>
      </c>
      <c r="S105" s="60"/>
      <c r="T105" s="10"/>
      <c r="U105" s="10"/>
    </row>
    <row r="106" spans="1:21" ht="24.75" customHeight="1">
      <c r="A106" s="28"/>
      <c r="B106" s="269" t="s">
        <v>108</v>
      </c>
      <c r="C106" s="270"/>
      <c r="D106" s="271"/>
      <c r="E106" s="5"/>
      <c r="F106" s="246">
        <v>6</v>
      </c>
      <c r="G106" s="174">
        <f>F106*F126</f>
        <v>249.78000000000003</v>
      </c>
      <c r="H106" s="54"/>
      <c r="I106" s="246">
        <v>6</v>
      </c>
      <c r="J106" s="174">
        <f>I106*F126</f>
        <v>249.78000000000003</v>
      </c>
      <c r="K106" s="54"/>
      <c r="L106" s="246">
        <v>6</v>
      </c>
      <c r="M106" s="174">
        <f>L106*G126</f>
        <v>293.88</v>
      </c>
      <c r="N106" s="54"/>
      <c r="O106" s="246">
        <v>6</v>
      </c>
      <c r="P106" s="184">
        <f>O106*G126</f>
        <v>293.88</v>
      </c>
      <c r="Q106" s="185">
        <f>F106+I106+L106+O106</f>
        <v>24</v>
      </c>
      <c r="R106" s="184">
        <f>G106+J106+M106+P106</f>
        <v>1087.3200000000002</v>
      </c>
      <c r="S106" s="60"/>
      <c r="T106" s="10"/>
      <c r="U106" s="10"/>
    </row>
    <row r="107" spans="1:21" ht="26.25" customHeight="1">
      <c r="A107" s="28"/>
      <c r="B107" s="269" t="s">
        <v>110</v>
      </c>
      <c r="C107" s="270"/>
      <c r="D107" s="271"/>
      <c r="E107" s="5"/>
      <c r="F107" s="246">
        <v>9</v>
      </c>
      <c r="G107" s="174">
        <f>F107*F125</f>
        <v>276.03000000000003</v>
      </c>
      <c r="H107" s="54"/>
      <c r="I107" s="246">
        <v>9</v>
      </c>
      <c r="J107" s="262">
        <f>I107*F125</f>
        <v>276.03000000000003</v>
      </c>
      <c r="K107" s="54"/>
      <c r="L107" s="246">
        <v>9</v>
      </c>
      <c r="M107" s="174">
        <f>L107*G125</f>
        <v>346.95</v>
      </c>
      <c r="N107" s="54"/>
      <c r="O107" s="246">
        <v>9</v>
      </c>
      <c r="P107" s="184">
        <f>O107*G125</f>
        <v>346.95</v>
      </c>
      <c r="Q107" s="185">
        <f>F107+I107+L107+O107</f>
        <v>36</v>
      </c>
      <c r="R107" s="184">
        <f>G107+J107+M107+P107</f>
        <v>1245.96</v>
      </c>
      <c r="S107" s="60"/>
      <c r="T107" s="10"/>
      <c r="U107" s="10"/>
    </row>
    <row r="108" spans="1:21" ht="26.25" customHeight="1">
      <c r="A108" s="28"/>
      <c r="B108" s="269" t="s">
        <v>109</v>
      </c>
      <c r="C108" s="270"/>
      <c r="D108" s="271"/>
      <c r="E108" s="5"/>
      <c r="F108" s="246">
        <v>21</v>
      </c>
      <c r="G108" s="174">
        <f>F108*F125</f>
        <v>644.07</v>
      </c>
      <c r="H108" s="54"/>
      <c r="I108" s="246">
        <v>21</v>
      </c>
      <c r="J108" s="174">
        <f>I108*F125</f>
        <v>644.07</v>
      </c>
      <c r="K108" s="54"/>
      <c r="L108" s="246">
        <v>21</v>
      </c>
      <c r="M108" s="174">
        <f>L108*G125</f>
        <v>809.55</v>
      </c>
      <c r="N108" s="54"/>
      <c r="O108" s="246">
        <v>21</v>
      </c>
      <c r="P108" s="184">
        <f>O108*G125</f>
        <v>809.55</v>
      </c>
      <c r="Q108" s="185">
        <f>F108+I108+L108+O108</f>
        <v>84</v>
      </c>
      <c r="R108" s="184">
        <f>G108+J108+M108+P108</f>
        <v>2907.24</v>
      </c>
      <c r="S108" s="60"/>
      <c r="T108" s="10"/>
      <c r="U108" s="10"/>
    </row>
    <row r="109" spans="1:21" s="89" customFormat="1" ht="30.75" customHeight="1">
      <c r="A109" s="96">
        <v>4</v>
      </c>
      <c r="B109" s="298" t="s">
        <v>43</v>
      </c>
      <c r="C109" s="299"/>
      <c r="D109" s="300"/>
      <c r="E109" s="90">
        <v>172</v>
      </c>
      <c r="F109" s="173">
        <f>F110</f>
        <v>23.4</v>
      </c>
      <c r="G109" s="172">
        <f>G110</f>
        <v>717.678</v>
      </c>
      <c r="H109" s="85"/>
      <c r="I109" s="173">
        <f>I110</f>
        <v>23.4</v>
      </c>
      <c r="J109" s="172">
        <f>J110</f>
        <v>717.678</v>
      </c>
      <c r="K109" s="85"/>
      <c r="L109" s="173">
        <f>L110</f>
        <v>23.7</v>
      </c>
      <c r="M109" s="172">
        <f>M110</f>
        <v>913.6349999999999</v>
      </c>
      <c r="N109" s="85"/>
      <c r="O109" s="173">
        <f>O110</f>
        <v>23.1</v>
      </c>
      <c r="P109" s="182">
        <f>P110</f>
        <v>890.505</v>
      </c>
      <c r="Q109" s="183">
        <f>Q110</f>
        <v>93.6</v>
      </c>
      <c r="R109" s="182">
        <f>R110</f>
        <v>3239.51</v>
      </c>
      <c r="S109" s="86" t="s">
        <v>21</v>
      </c>
      <c r="T109" s="93"/>
      <c r="U109" s="93"/>
    </row>
    <row r="110" spans="1:21" ht="36.75" customHeight="1">
      <c r="A110" s="28"/>
      <c r="B110" s="276" t="s">
        <v>44</v>
      </c>
      <c r="C110" s="277"/>
      <c r="D110" s="278"/>
      <c r="E110" s="5"/>
      <c r="F110" s="176">
        <v>23.4</v>
      </c>
      <c r="G110" s="174">
        <f>F110*F125</f>
        <v>717.678</v>
      </c>
      <c r="H110" s="175"/>
      <c r="I110" s="176">
        <v>23.4</v>
      </c>
      <c r="J110" s="174">
        <f>I110*F125</f>
        <v>717.678</v>
      </c>
      <c r="K110" s="175"/>
      <c r="L110" s="176">
        <v>23.7</v>
      </c>
      <c r="M110" s="174">
        <f>L110*G125</f>
        <v>913.6349999999999</v>
      </c>
      <c r="N110" s="175"/>
      <c r="O110" s="176">
        <v>23.1</v>
      </c>
      <c r="P110" s="184">
        <f>O110*G125</f>
        <v>890.505</v>
      </c>
      <c r="Q110" s="185">
        <f>F110+I110+L110+O110</f>
        <v>93.6</v>
      </c>
      <c r="R110" s="184">
        <v>3239.51</v>
      </c>
      <c r="S110" s="60"/>
      <c r="T110" s="10"/>
      <c r="U110" s="10"/>
    </row>
    <row r="111" spans="1:21" s="89" customFormat="1" ht="48.75" customHeight="1">
      <c r="A111" s="96">
        <v>5</v>
      </c>
      <c r="B111" s="298" t="s">
        <v>47</v>
      </c>
      <c r="C111" s="299"/>
      <c r="D111" s="300"/>
      <c r="E111" s="90"/>
      <c r="F111" s="173">
        <f>F112+F113+F114+F115</f>
        <v>139.38</v>
      </c>
      <c r="G111" s="173">
        <f aca="true" t="shared" si="24" ref="G111:P111">G112+G113+G114+G115</f>
        <v>4452.3366000000005</v>
      </c>
      <c r="H111" s="173">
        <f t="shared" si="24"/>
        <v>0</v>
      </c>
      <c r="I111" s="173">
        <f t="shared" si="24"/>
        <v>136.18</v>
      </c>
      <c r="J111" s="173">
        <f t="shared" si="24"/>
        <v>4556.12848</v>
      </c>
      <c r="K111" s="173">
        <f t="shared" si="24"/>
        <v>0</v>
      </c>
      <c r="L111" s="173">
        <f t="shared" si="24"/>
        <v>129.14</v>
      </c>
      <c r="M111" s="173">
        <f t="shared" si="24"/>
        <v>5292.29</v>
      </c>
      <c r="N111" s="173">
        <f t="shared" si="24"/>
        <v>0</v>
      </c>
      <c r="O111" s="173">
        <f t="shared" si="24"/>
        <v>245.81</v>
      </c>
      <c r="P111" s="173">
        <f t="shared" si="24"/>
        <v>9733.5965</v>
      </c>
      <c r="Q111" s="183">
        <f>Q112+Q113+Q114+Q115</f>
        <v>650.51</v>
      </c>
      <c r="R111" s="182">
        <f>R112+R113+R114+R115</f>
        <v>24034.3649</v>
      </c>
      <c r="S111" s="86"/>
      <c r="T111" s="93"/>
      <c r="U111" s="93"/>
    </row>
    <row r="112" spans="1:21" ht="33.75" customHeight="1">
      <c r="A112" s="28"/>
      <c r="B112" s="276" t="s">
        <v>92</v>
      </c>
      <c r="C112" s="277"/>
      <c r="D112" s="278"/>
      <c r="E112" s="5"/>
      <c r="F112" s="176">
        <v>14.18</v>
      </c>
      <c r="G112" s="174">
        <f>F112*F125</f>
        <v>434.9006</v>
      </c>
      <c r="H112" s="175"/>
      <c r="I112" s="176">
        <v>13.14</v>
      </c>
      <c r="J112" s="174">
        <f>I112*F125</f>
        <v>403.0038</v>
      </c>
      <c r="K112" s="175"/>
      <c r="L112" s="176">
        <v>13.29</v>
      </c>
      <c r="M112" s="174">
        <f>L112*G125</f>
        <v>512.3294999999999</v>
      </c>
      <c r="N112" s="175"/>
      <c r="O112" s="176">
        <v>32.91</v>
      </c>
      <c r="P112" s="184">
        <f>O112*G125</f>
        <v>1268.6804999999997</v>
      </c>
      <c r="Q112" s="185">
        <f aca="true" t="shared" si="25" ref="Q112:R115">F112+I112+L112+O112</f>
        <v>73.52</v>
      </c>
      <c r="R112" s="184">
        <f t="shared" si="25"/>
        <v>2618.9143999999997</v>
      </c>
      <c r="S112" s="60"/>
      <c r="T112" s="10"/>
      <c r="U112" s="10"/>
    </row>
    <row r="113" spans="1:21" ht="33.75" customHeight="1">
      <c r="A113" s="28"/>
      <c r="B113" s="276" t="s">
        <v>49</v>
      </c>
      <c r="C113" s="277"/>
      <c r="D113" s="278"/>
      <c r="E113" s="5"/>
      <c r="F113" s="176">
        <v>48</v>
      </c>
      <c r="G113" s="174">
        <f>36*F125+12*F126</f>
        <v>1603.6800000000003</v>
      </c>
      <c r="H113" s="175"/>
      <c r="I113" s="176">
        <v>48</v>
      </c>
      <c r="J113" s="174">
        <f>36*F125+12*F126</f>
        <v>1603.6800000000003</v>
      </c>
      <c r="K113" s="175"/>
      <c r="L113" s="176">
        <v>72.35</v>
      </c>
      <c r="M113" s="174">
        <f>52.35*G125+20*G126</f>
        <v>2997.6925</v>
      </c>
      <c r="N113" s="175"/>
      <c r="O113" s="176">
        <v>48</v>
      </c>
      <c r="P113" s="184">
        <f>36*G125+12*G126</f>
        <v>1975.56</v>
      </c>
      <c r="Q113" s="185">
        <f t="shared" si="25"/>
        <v>216.35</v>
      </c>
      <c r="R113" s="184">
        <f t="shared" si="25"/>
        <v>8180.612500000001</v>
      </c>
      <c r="S113" s="60"/>
      <c r="T113" s="10"/>
      <c r="U113" s="10"/>
    </row>
    <row r="114" spans="1:21" ht="33.75" customHeight="1">
      <c r="A114" s="28"/>
      <c r="B114" s="276" t="s">
        <v>50</v>
      </c>
      <c r="C114" s="277"/>
      <c r="D114" s="278"/>
      <c r="E114" s="5"/>
      <c r="F114" s="176">
        <v>32.2</v>
      </c>
      <c r="G114" s="174">
        <f>28*F125+4.2*F126</f>
        <v>1033.606</v>
      </c>
      <c r="H114" s="175"/>
      <c r="I114" s="176">
        <v>50.64</v>
      </c>
      <c r="J114" s="174">
        <f>28*F125+22.636*F126</f>
        <v>1801.09668</v>
      </c>
      <c r="K114" s="175"/>
      <c r="L114" s="176">
        <v>29.1</v>
      </c>
      <c r="M114" s="174">
        <f>19*G125+10.1*G126</f>
        <v>1227.148</v>
      </c>
      <c r="N114" s="175"/>
      <c r="O114" s="176">
        <v>31.7</v>
      </c>
      <c r="P114" s="184">
        <f>19*G125+12.7*G126</f>
        <v>1354.4959999999999</v>
      </c>
      <c r="Q114" s="185">
        <f t="shared" si="25"/>
        <v>143.64</v>
      </c>
      <c r="R114" s="184">
        <v>5416.36</v>
      </c>
      <c r="S114" s="60"/>
      <c r="T114" s="10"/>
      <c r="U114" s="10"/>
    </row>
    <row r="115" spans="1:21" ht="35.25" customHeight="1">
      <c r="A115" s="28"/>
      <c r="B115" s="304" t="s">
        <v>40</v>
      </c>
      <c r="C115" s="304"/>
      <c r="D115" s="304"/>
      <c r="E115" s="5"/>
      <c r="F115" s="176">
        <v>45</v>
      </c>
      <c r="G115" s="174">
        <f>F115*F125</f>
        <v>1380.15</v>
      </c>
      <c r="H115" s="175"/>
      <c r="I115" s="176">
        <v>24.4</v>
      </c>
      <c r="J115" s="174">
        <f>I115*F125</f>
        <v>748.348</v>
      </c>
      <c r="K115" s="175"/>
      <c r="L115" s="176">
        <v>14.4</v>
      </c>
      <c r="M115" s="174">
        <f>L115*G125</f>
        <v>555.12</v>
      </c>
      <c r="N115" s="175"/>
      <c r="O115" s="176">
        <v>133.2</v>
      </c>
      <c r="P115" s="184">
        <f>O115*G125</f>
        <v>5134.859999999999</v>
      </c>
      <c r="Q115" s="185">
        <f t="shared" si="25"/>
        <v>217</v>
      </c>
      <c r="R115" s="184">
        <f t="shared" si="25"/>
        <v>7818.477999999999</v>
      </c>
      <c r="S115" s="60" t="s">
        <v>79</v>
      </c>
      <c r="T115" s="10"/>
      <c r="U115" s="10"/>
    </row>
    <row r="116" spans="1:21" s="89" customFormat="1" ht="30.75" customHeight="1">
      <c r="A116" s="96">
        <v>6</v>
      </c>
      <c r="B116" s="298" t="s">
        <v>53</v>
      </c>
      <c r="C116" s="299"/>
      <c r="D116" s="300"/>
      <c r="E116" s="90"/>
      <c r="F116" s="173">
        <f>F117+F118+F119</f>
        <v>2682</v>
      </c>
      <c r="G116" s="172">
        <f>G117+G118+G119</f>
        <v>82256.94</v>
      </c>
      <c r="H116" s="85"/>
      <c r="I116" s="173">
        <f>I117+I118+I119</f>
        <v>2575</v>
      </c>
      <c r="J116" s="172">
        <f>J117+J118+J119</f>
        <v>78975.25</v>
      </c>
      <c r="K116" s="85"/>
      <c r="L116" s="173">
        <f>L117+L118+L119</f>
        <v>2376</v>
      </c>
      <c r="M116" s="172">
        <f>M117+M118+M119</f>
        <v>91594.8</v>
      </c>
      <c r="N116" s="85"/>
      <c r="O116" s="173">
        <f>O117+O118+O119</f>
        <v>2710</v>
      </c>
      <c r="P116" s="182">
        <f>P117+P118+P119</f>
        <v>104470.5</v>
      </c>
      <c r="Q116" s="183">
        <f aca="true" t="shared" si="26" ref="Q116:R118">F116+I116+L116+O116</f>
        <v>10343</v>
      </c>
      <c r="R116" s="182">
        <f t="shared" si="26"/>
        <v>357297.49</v>
      </c>
      <c r="S116" s="86"/>
      <c r="T116" s="93"/>
      <c r="U116" s="93"/>
    </row>
    <row r="117" spans="1:21" ht="36.75" customHeight="1">
      <c r="A117" s="30"/>
      <c r="B117" s="309" t="s">
        <v>111</v>
      </c>
      <c r="C117" s="310"/>
      <c r="D117" s="311"/>
      <c r="E117" s="5"/>
      <c r="F117" s="176">
        <v>192</v>
      </c>
      <c r="G117" s="174">
        <f>F117*F125</f>
        <v>5888.64</v>
      </c>
      <c r="H117" s="175"/>
      <c r="I117" s="176">
        <v>185</v>
      </c>
      <c r="J117" s="174">
        <f>I117*F125</f>
        <v>5673.950000000001</v>
      </c>
      <c r="K117" s="175"/>
      <c r="L117" s="176">
        <v>86</v>
      </c>
      <c r="M117" s="174">
        <f>L117*G125</f>
        <v>3315.2999999999997</v>
      </c>
      <c r="N117" s="175"/>
      <c r="O117" s="176">
        <v>220</v>
      </c>
      <c r="P117" s="184">
        <f>O117*G125</f>
        <v>8481</v>
      </c>
      <c r="Q117" s="185">
        <f t="shared" si="26"/>
        <v>683</v>
      </c>
      <c r="R117" s="184">
        <f t="shared" si="26"/>
        <v>23358.89</v>
      </c>
      <c r="S117" s="60"/>
      <c r="T117" s="10"/>
      <c r="U117" s="10"/>
    </row>
    <row r="118" spans="1:21" ht="35.25" customHeight="1">
      <c r="A118" s="30"/>
      <c r="B118" s="276" t="s">
        <v>55</v>
      </c>
      <c r="C118" s="277"/>
      <c r="D118" s="278"/>
      <c r="E118" s="5"/>
      <c r="F118" s="176">
        <v>300</v>
      </c>
      <c r="G118" s="174">
        <f>F118*F125</f>
        <v>9201</v>
      </c>
      <c r="H118" s="175"/>
      <c r="I118" s="176">
        <v>200</v>
      </c>
      <c r="J118" s="174">
        <f>I118*F125</f>
        <v>6134</v>
      </c>
      <c r="K118" s="175"/>
      <c r="L118" s="176">
        <v>100</v>
      </c>
      <c r="M118" s="174">
        <f>L118*G125</f>
        <v>3854.9999999999995</v>
      </c>
      <c r="N118" s="175"/>
      <c r="O118" s="176">
        <v>300</v>
      </c>
      <c r="P118" s="184">
        <f>O118*G125</f>
        <v>11565</v>
      </c>
      <c r="Q118" s="185">
        <f t="shared" si="26"/>
        <v>900</v>
      </c>
      <c r="R118" s="184">
        <f t="shared" si="26"/>
        <v>30755</v>
      </c>
      <c r="S118" s="60"/>
      <c r="T118" s="10"/>
      <c r="U118" s="10"/>
    </row>
    <row r="119" spans="1:21" ht="36.75" customHeight="1">
      <c r="A119" s="30"/>
      <c r="B119" s="276" t="s">
        <v>82</v>
      </c>
      <c r="C119" s="277"/>
      <c r="D119" s="278"/>
      <c r="E119" s="5"/>
      <c r="F119" s="176">
        <v>2190</v>
      </c>
      <c r="G119" s="174">
        <f>SUM(F119)*F125</f>
        <v>67167.3</v>
      </c>
      <c r="H119" s="175"/>
      <c r="I119" s="176">
        <v>2190</v>
      </c>
      <c r="J119" s="174">
        <f>SUM(I119)*F125</f>
        <v>67167.3</v>
      </c>
      <c r="K119" s="175"/>
      <c r="L119" s="176">
        <v>2190</v>
      </c>
      <c r="M119" s="174">
        <f>SUM(L119)*G125</f>
        <v>84424.5</v>
      </c>
      <c r="N119" s="175"/>
      <c r="O119" s="176">
        <v>2190</v>
      </c>
      <c r="P119" s="184">
        <f>SUM(O119)*G125</f>
        <v>84424.5</v>
      </c>
      <c r="Q119" s="185">
        <f>F119+I119+L119+O119</f>
        <v>8760</v>
      </c>
      <c r="R119" s="184">
        <f>SUM(G119)+J119+M119+P119</f>
        <v>303183.6</v>
      </c>
      <c r="S119" s="60"/>
      <c r="T119" s="10"/>
      <c r="U119" s="10"/>
    </row>
    <row r="120" spans="1:21" ht="36.75" customHeight="1">
      <c r="A120" s="92">
        <v>7</v>
      </c>
      <c r="B120" s="298" t="s">
        <v>83</v>
      </c>
      <c r="C120" s="299"/>
      <c r="D120" s="300"/>
      <c r="E120" s="5"/>
      <c r="F120" s="223">
        <f>SUM(F121:F122)</f>
        <v>30</v>
      </c>
      <c r="G120" s="226">
        <f aca="true" t="shared" si="27" ref="G120:R120">SUM(G121:G122)</f>
        <v>920.1</v>
      </c>
      <c r="H120" s="222">
        <f t="shared" si="27"/>
        <v>0</v>
      </c>
      <c r="I120" s="223">
        <f t="shared" si="27"/>
        <v>30</v>
      </c>
      <c r="J120" s="226">
        <f t="shared" si="27"/>
        <v>920.1</v>
      </c>
      <c r="K120" s="222">
        <f t="shared" si="27"/>
        <v>0</v>
      </c>
      <c r="L120" s="223">
        <f t="shared" si="27"/>
        <v>30</v>
      </c>
      <c r="M120" s="226">
        <f t="shared" si="27"/>
        <v>1156.5</v>
      </c>
      <c r="N120" s="222">
        <f t="shared" si="27"/>
        <v>0</v>
      </c>
      <c r="O120" s="223">
        <f t="shared" si="27"/>
        <v>30</v>
      </c>
      <c r="P120" s="224">
        <f t="shared" si="27"/>
        <v>1156.5</v>
      </c>
      <c r="Q120" s="227">
        <f t="shared" si="27"/>
        <v>120</v>
      </c>
      <c r="R120" s="224">
        <f t="shared" si="27"/>
        <v>4153.2</v>
      </c>
      <c r="S120" s="60"/>
      <c r="T120" s="10"/>
      <c r="U120" s="10"/>
    </row>
    <row r="121" spans="1:21" ht="36.75" customHeight="1">
      <c r="A121" s="92"/>
      <c r="B121" s="269" t="s">
        <v>84</v>
      </c>
      <c r="C121" s="272"/>
      <c r="D121" s="273"/>
      <c r="E121" s="5"/>
      <c r="F121" s="176">
        <v>0</v>
      </c>
      <c r="G121" s="174"/>
      <c r="H121" s="175"/>
      <c r="I121" s="176">
        <v>0</v>
      </c>
      <c r="J121" s="174"/>
      <c r="K121" s="175"/>
      <c r="L121" s="176">
        <v>0</v>
      </c>
      <c r="M121" s="174"/>
      <c r="N121" s="175"/>
      <c r="O121" s="176">
        <v>0</v>
      </c>
      <c r="P121" s="184"/>
      <c r="Q121" s="185"/>
      <c r="R121" s="184"/>
      <c r="S121" s="60"/>
      <c r="T121" s="10"/>
      <c r="U121" s="10"/>
    </row>
    <row r="122" spans="1:21" ht="36.75" customHeight="1">
      <c r="A122" s="92"/>
      <c r="B122" s="269" t="s">
        <v>85</v>
      </c>
      <c r="C122" s="272"/>
      <c r="D122" s="273"/>
      <c r="E122" s="5"/>
      <c r="F122" s="176">
        <v>30</v>
      </c>
      <c r="G122" s="174">
        <f>SUM(F122)*F125</f>
        <v>920.1</v>
      </c>
      <c r="H122" s="175"/>
      <c r="I122" s="176">
        <v>30</v>
      </c>
      <c r="J122" s="174">
        <f>SUM(I122)*F125</f>
        <v>920.1</v>
      </c>
      <c r="K122" s="175"/>
      <c r="L122" s="176">
        <v>30</v>
      </c>
      <c r="M122" s="174">
        <f>SUM(L122)*G125</f>
        <v>1156.5</v>
      </c>
      <c r="N122" s="175"/>
      <c r="O122" s="176">
        <v>30</v>
      </c>
      <c r="P122" s="184">
        <f>SUM(O122)*G125</f>
        <v>1156.5</v>
      </c>
      <c r="Q122" s="185">
        <f>F122+I122+L122+O122</f>
        <v>120</v>
      </c>
      <c r="R122" s="184">
        <f>SUM(G122)+J122+M122+P122</f>
        <v>4153.2</v>
      </c>
      <c r="S122" s="60"/>
      <c r="T122" s="10"/>
      <c r="U122" s="10"/>
    </row>
    <row r="123" spans="1:22" ht="31.5" customHeight="1">
      <c r="A123" s="33"/>
      <c r="B123" s="365" t="s">
        <v>19</v>
      </c>
      <c r="C123" s="366"/>
      <c r="D123" s="367"/>
      <c r="E123" s="12" t="e">
        <f>E96+#REF!+#REF!+E98+E99+E100+#REF!+E101+E102+E103+E104+E109+#REF!</f>
        <v>#REF!</v>
      </c>
      <c r="F123" s="177">
        <f>F96+F97+F104+F109+F111+F116+F120</f>
        <v>4431.605</v>
      </c>
      <c r="G123" s="178">
        <f aca="true" t="shared" si="28" ref="G123:R123">G96+G97+G104+G109+G111+G116+G120</f>
        <v>141640.63735</v>
      </c>
      <c r="H123" s="54">
        <f t="shared" si="28"/>
        <v>14.8</v>
      </c>
      <c r="I123" s="54">
        <f t="shared" si="28"/>
        <v>4628.805</v>
      </c>
      <c r="J123" s="178">
        <f t="shared" si="28"/>
        <v>150521.09723</v>
      </c>
      <c r="K123" s="54">
        <f t="shared" si="28"/>
        <v>15</v>
      </c>
      <c r="L123" s="177">
        <f t="shared" si="28"/>
        <v>4497.5650000000005</v>
      </c>
      <c r="M123" s="178">
        <v>183457.56</v>
      </c>
      <c r="N123" s="54">
        <f t="shared" si="28"/>
        <v>15</v>
      </c>
      <c r="O123" s="177">
        <f t="shared" si="28"/>
        <v>5000.535</v>
      </c>
      <c r="P123" s="192">
        <v>201747.74</v>
      </c>
      <c r="Q123" s="193">
        <f t="shared" si="28"/>
        <v>18558.53</v>
      </c>
      <c r="R123" s="192">
        <f t="shared" si="28"/>
        <v>677367.0408999999</v>
      </c>
      <c r="T123" s="9"/>
      <c r="U123" s="9"/>
      <c r="V123" s="9"/>
    </row>
    <row r="124" spans="1:22" ht="26.25" customHeight="1">
      <c r="A124" s="33"/>
      <c r="B124" s="307" t="s">
        <v>17</v>
      </c>
      <c r="C124" s="307"/>
      <c r="D124" s="307"/>
      <c r="E124" s="295" t="s">
        <v>100</v>
      </c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T124" s="9"/>
      <c r="U124" s="9"/>
      <c r="V124" s="9"/>
    </row>
    <row r="125" spans="1:22" ht="25.5" customHeight="1">
      <c r="A125" s="41"/>
      <c r="B125" s="41"/>
      <c r="C125" s="41"/>
      <c r="D125" s="135"/>
      <c r="E125" s="135"/>
      <c r="F125" s="129">
        <v>30.67</v>
      </c>
      <c r="G125" s="132">
        <v>38.55</v>
      </c>
      <c r="H125" s="132"/>
      <c r="I125" s="132"/>
      <c r="J125" s="131"/>
      <c r="K125" s="37"/>
      <c r="L125" s="37"/>
      <c r="M125" s="97"/>
      <c r="N125" s="37"/>
      <c r="O125" s="37"/>
      <c r="P125" s="97"/>
      <c r="Q125" s="37"/>
      <c r="R125" s="97"/>
      <c r="T125" s="9"/>
      <c r="U125" s="9"/>
      <c r="V125" s="9"/>
    </row>
    <row r="126" spans="1:22" ht="33" customHeight="1">
      <c r="A126" s="41"/>
      <c r="B126" s="41"/>
      <c r="C126" s="41"/>
      <c r="D126" s="135"/>
      <c r="E126" s="135"/>
      <c r="F126" s="136">
        <v>41.63</v>
      </c>
      <c r="G126" s="132">
        <v>48.98</v>
      </c>
      <c r="H126" s="132"/>
      <c r="I126" s="132"/>
      <c r="J126" s="131"/>
      <c r="K126" s="37"/>
      <c r="L126" s="37"/>
      <c r="M126" s="97"/>
      <c r="N126" s="37"/>
      <c r="O126" s="37"/>
      <c r="P126" s="104"/>
      <c r="Q126" s="39"/>
      <c r="R126" s="97"/>
      <c r="T126" s="9"/>
      <c r="U126" s="9"/>
      <c r="V126" s="9"/>
    </row>
    <row r="127" spans="1:22" ht="34.5" customHeight="1">
      <c r="A127" s="296" t="s">
        <v>101</v>
      </c>
      <c r="B127" s="296"/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T127" s="9"/>
      <c r="U127" s="9"/>
      <c r="V127" s="9"/>
    </row>
    <row r="128" spans="1:22" ht="25.5">
      <c r="A128" s="297" t="s">
        <v>15</v>
      </c>
      <c r="B128" s="279" t="s">
        <v>0</v>
      </c>
      <c r="C128" s="280"/>
      <c r="D128" s="281"/>
      <c r="E128" s="295" t="s">
        <v>1</v>
      </c>
      <c r="F128" s="295"/>
      <c r="G128" s="295"/>
      <c r="H128" s="295" t="s">
        <v>3</v>
      </c>
      <c r="I128" s="295"/>
      <c r="J128" s="295"/>
      <c r="K128" s="295" t="s">
        <v>4</v>
      </c>
      <c r="L128" s="295"/>
      <c r="M128" s="295"/>
      <c r="N128" s="295" t="s">
        <v>6</v>
      </c>
      <c r="O128" s="295"/>
      <c r="P128" s="295"/>
      <c r="Q128" s="295" t="s">
        <v>7</v>
      </c>
      <c r="R128" s="295"/>
      <c r="T128" s="9"/>
      <c r="U128" s="9"/>
      <c r="V128" s="9"/>
    </row>
    <row r="129" spans="1:22" ht="25.5">
      <c r="A129" s="297"/>
      <c r="B129" s="282"/>
      <c r="C129" s="283"/>
      <c r="D129" s="284"/>
      <c r="E129" s="57" t="s">
        <v>10</v>
      </c>
      <c r="F129" s="57" t="s">
        <v>10</v>
      </c>
      <c r="G129" s="100" t="s">
        <v>5</v>
      </c>
      <c r="H129" s="57" t="s">
        <v>10</v>
      </c>
      <c r="I129" s="57" t="s">
        <v>10</v>
      </c>
      <c r="J129" s="100" t="s">
        <v>5</v>
      </c>
      <c r="K129" s="57" t="s">
        <v>10</v>
      </c>
      <c r="L129" s="57" t="s">
        <v>10</v>
      </c>
      <c r="M129" s="100" t="s">
        <v>5</v>
      </c>
      <c r="N129" s="57" t="s">
        <v>10</v>
      </c>
      <c r="O129" s="57" t="s">
        <v>10</v>
      </c>
      <c r="P129" s="100" t="s">
        <v>5</v>
      </c>
      <c r="Q129" s="57" t="s">
        <v>10</v>
      </c>
      <c r="R129" s="100" t="s">
        <v>5</v>
      </c>
      <c r="T129" s="9"/>
      <c r="U129" s="9"/>
      <c r="V129" s="9"/>
    </row>
    <row r="130" spans="1:22" s="89" customFormat="1" ht="25.5" customHeight="1">
      <c r="A130" s="96">
        <v>1</v>
      </c>
      <c r="B130" s="298" t="s">
        <v>33</v>
      </c>
      <c r="C130" s="299"/>
      <c r="D130" s="300"/>
      <c r="E130" s="90">
        <v>17.5</v>
      </c>
      <c r="F130" s="173">
        <v>12.3</v>
      </c>
      <c r="G130" s="182">
        <f>F130*F159</f>
        <v>495.567</v>
      </c>
      <c r="H130" s="85">
        <v>17.5</v>
      </c>
      <c r="I130" s="173">
        <v>8.3</v>
      </c>
      <c r="J130" s="182">
        <f>I130*F159</f>
        <v>334.40700000000004</v>
      </c>
      <c r="K130" s="85">
        <v>17.5</v>
      </c>
      <c r="L130" s="173">
        <v>5.4</v>
      </c>
      <c r="M130" s="182">
        <f>L130*G159</f>
        <v>217.566</v>
      </c>
      <c r="N130" s="85">
        <v>17.5</v>
      </c>
      <c r="O130" s="173">
        <v>11.3</v>
      </c>
      <c r="P130" s="182">
        <f>O130*G159</f>
        <v>455.27700000000004</v>
      </c>
      <c r="Q130" s="85">
        <f>F130+I130+L130+O130</f>
        <v>37.3</v>
      </c>
      <c r="R130" s="172">
        <v>1502.83</v>
      </c>
      <c r="S130" s="86"/>
      <c r="T130" s="88"/>
      <c r="U130" s="88"/>
      <c r="V130" s="87"/>
    </row>
    <row r="131" spans="1:22" s="89" customFormat="1" ht="36" customHeight="1">
      <c r="A131" s="96">
        <v>2</v>
      </c>
      <c r="B131" s="298" t="s">
        <v>41</v>
      </c>
      <c r="C131" s="299"/>
      <c r="D131" s="300"/>
      <c r="E131" s="90"/>
      <c r="F131" s="173">
        <f>F132+F133+F134+F135+F136+F137</f>
        <v>2337.2799999999997</v>
      </c>
      <c r="G131" s="182">
        <f>G132+G133+G134+G135+G137+G136</f>
        <v>76527.8112</v>
      </c>
      <c r="H131" s="85"/>
      <c r="I131" s="173">
        <f>I132+I133+I134+I135+I136+I137</f>
        <v>2346.05</v>
      </c>
      <c r="J131" s="182">
        <v>66759.16</v>
      </c>
      <c r="K131" s="85"/>
      <c r="L131" s="173">
        <f>L132+L133+L134+L135+L136+L137</f>
        <v>2354.71</v>
      </c>
      <c r="M131" s="182">
        <v>70087.06</v>
      </c>
      <c r="N131" s="85"/>
      <c r="O131" s="173">
        <f>O132+O133+O134+O135+O136+O137</f>
        <v>2390.2300000000005</v>
      </c>
      <c r="P131" s="182">
        <f>P132+P133+P134+P135+P136+P137</f>
        <v>72276.8667</v>
      </c>
      <c r="Q131" s="85">
        <f>F131+I131+L131+O131</f>
        <v>9428.27</v>
      </c>
      <c r="R131" s="172">
        <f>G131+J131+M131+P131</f>
        <v>285650.8979</v>
      </c>
      <c r="S131" s="86"/>
      <c r="T131" s="88"/>
      <c r="U131" s="88"/>
      <c r="V131" s="87"/>
    </row>
    <row r="132" spans="1:21" ht="51.75" customHeight="1">
      <c r="A132" s="30"/>
      <c r="B132" s="276" t="s">
        <v>34</v>
      </c>
      <c r="C132" s="277"/>
      <c r="D132" s="278"/>
      <c r="E132" s="5">
        <v>2715</v>
      </c>
      <c r="F132" s="176">
        <v>748.28</v>
      </c>
      <c r="G132" s="184">
        <f>F132*F159</f>
        <v>30148.2012</v>
      </c>
      <c r="H132" s="175">
        <v>2715</v>
      </c>
      <c r="I132" s="176">
        <v>409.15</v>
      </c>
      <c r="J132" s="184">
        <f>I132*F159</f>
        <v>16484.6535</v>
      </c>
      <c r="K132" s="175">
        <v>2715</v>
      </c>
      <c r="L132" s="176">
        <v>662.91</v>
      </c>
      <c r="M132" s="184">
        <f>L132*G159</f>
        <v>26708.6439</v>
      </c>
      <c r="N132" s="175">
        <v>2715</v>
      </c>
      <c r="O132" s="176">
        <v>464.93</v>
      </c>
      <c r="P132" s="184">
        <f>O132*G159</f>
        <v>18732.0297</v>
      </c>
      <c r="Q132" s="175">
        <f aca="true" t="shared" si="29" ref="Q132:Q137">F132+I132+L132+O132</f>
        <v>2285.2699999999995</v>
      </c>
      <c r="R132" s="174">
        <v>92073.52</v>
      </c>
      <c r="S132" s="60" t="s">
        <v>78</v>
      </c>
      <c r="T132" s="10"/>
      <c r="U132" s="10"/>
    </row>
    <row r="133" spans="1:22" ht="51.75" customHeight="1">
      <c r="A133" s="30"/>
      <c r="B133" s="362" t="s">
        <v>35</v>
      </c>
      <c r="C133" s="363"/>
      <c r="D133" s="364"/>
      <c r="E133" s="5">
        <v>816</v>
      </c>
      <c r="F133" s="176">
        <v>250</v>
      </c>
      <c r="G133" s="184">
        <f>F133*F159</f>
        <v>10072.5</v>
      </c>
      <c r="H133" s="175">
        <v>816</v>
      </c>
      <c r="I133" s="176">
        <v>230</v>
      </c>
      <c r="J133" s="184">
        <f>I133*F159</f>
        <v>9266.699999999999</v>
      </c>
      <c r="K133" s="175">
        <v>816</v>
      </c>
      <c r="L133" s="176">
        <v>230</v>
      </c>
      <c r="M133" s="184">
        <f>L133*G159</f>
        <v>9266.699999999999</v>
      </c>
      <c r="N133" s="175">
        <v>816</v>
      </c>
      <c r="O133" s="176">
        <v>250</v>
      </c>
      <c r="P133" s="184">
        <f>O133*G159</f>
        <v>10072.5</v>
      </c>
      <c r="Q133" s="175">
        <f t="shared" si="29"/>
        <v>960</v>
      </c>
      <c r="R133" s="174">
        <f>G133+J133+M133+P133</f>
        <v>38678.399999999994</v>
      </c>
      <c r="S133" s="60" t="s">
        <v>78</v>
      </c>
      <c r="T133" s="8"/>
      <c r="U133" s="8"/>
      <c r="V133" s="9"/>
    </row>
    <row r="134" spans="1:22" ht="51" customHeight="1">
      <c r="A134" s="30"/>
      <c r="B134" s="276" t="s">
        <v>36</v>
      </c>
      <c r="C134" s="277"/>
      <c r="D134" s="278"/>
      <c r="E134" s="5">
        <v>910.2</v>
      </c>
      <c r="F134" s="176">
        <v>400</v>
      </c>
      <c r="G134" s="184">
        <f>F134*F160</f>
        <v>4548</v>
      </c>
      <c r="H134" s="175">
        <v>1072.5</v>
      </c>
      <c r="I134" s="176">
        <v>450</v>
      </c>
      <c r="J134" s="184">
        <f>I134*F160</f>
        <v>5116.5</v>
      </c>
      <c r="K134" s="175">
        <v>905.1</v>
      </c>
      <c r="L134" s="176">
        <v>200</v>
      </c>
      <c r="M134" s="184">
        <f>L134*G160</f>
        <v>3000</v>
      </c>
      <c r="N134" s="175">
        <v>1121.6</v>
      </c>
      <c r="O134" s="176">
        <v>400</v>
      </c>
      <c r="P134" s="184">
        <f>O134*G160</f>
        <v>6000</v>
      </c>
      <c r="Q134" s="175">
        <f t="shared" si="29"/>
        <v>1450</v>
      </c>
      <c r="R134" s="174">
        <f>G134+J134+M134+P134</f>
        <v>18664.5</v>
      </c>
      <c r="S134" s="60" t="s">
        <v>78</v>
      </c>
      <c r="T134" s="8"/>
      <c r="U134" s="8"/>
      <c r="V134" s="9"/>
    </row>
    <row r="135" spans="1:22" ht="36" customHeight="1">
      <c r="A135" s="30"/>
      <c r="B135" s="304" t="s">
        <v>37</v>
      </c>
      <c r="C135" s="304"/>
      <c r="D135" s="304"/>
      <c r="E135" s="5">
        <v>1845</v>
      </c>
      <c r="F135" s="176">
        <v>210</v>
      </c>
      <c r="G135" s="184">
        <f>F135*F160</f>
        <v>2387.7</v>
      </c>
      <c r="H135" s="175">
        <v>1803</v>
      </c>
      <c r="I135" s="176">
        <v>510</v>
      </c>
      <c r="J135" s="184">
        <f>I135*F160</f>
        <v>5798.7</v>
      </c>
      <c r="K135" s="175">
        <v>1803</v>
      </c>
      <c r="L135" s="176">
        <v>780</v>
      </c>
      <c r="M135" s="184">
        <f>L135*G160</f>
        <v>11700</v>
      </c>
      <c r="N135" s="175">
        <v>1813.3</v>
      </c>
      <c r="O135" s="176">
        <v>550</v>
      </c>
      <c r="P135" s="184">
        <f>O135*G160</f>
        <v>8250</v>
      </c>
      <c r="Q135" s="175">
        <f t="shared" si="29"/>
        <v>2050</v>
      </c>
      <c r="R135" s="174">
        <f>G135+J135+M135+P135</f>
        <v>28136.4</v>
      </c>
      <c r="S135" s="60" t="s">
        <v>78</v>
      </c>
      <c r="T135" s="8"/>
      <c r="U135" s="8"/>
      <c r="V135" s="9"/>
    </row>
    <row r="136" spans="1:22" s="112" customFormat="1" ht="33" customHeight="1">
      <c r="A136" s="115"/>
      <c r="B136" s="305" t="s">
        <v>38</v>
      </c>
      <c r="C136" s="305"/>
      <c r="D136" s="305"/>
      <c r="E136" s="108">
        <v>74.5</v>
      </c>
      <c r="F136" s="186">
        <v>675</v>
      </c>
      <c r="G136" s="189">
        <f>F136*F159</f>
        <v>27195.75</v>
      </c>
      <c r="H136" s="188">
        <v>72.8</v>
      </c>
      <c r="I136" s="186">
        <v>706.5</v>
      </c>
      <c r="J136" s="189">
        <f>I136*F159</f>
        <v>28464.885</v>
      </c>
      <c r="K136" s="188">
        <v>72.9</v>
      </c>
      <c r="L136" s="186">
        <v>400</v>
      </c>
      <c r="M136" s="189">
        <f>L136*G159</f>
        <v>16116</v>
      </c>
      <c r="N136" s="188">
        <v>72.9</v>
      </c>
      <c r="O136" s="186">
        <v>658.5</v>
      </c>
      <c r="P136" s="189">
        <f>O136*G159</f>
        <v>26530.965</v>
      </c>
      <c r="Q136" s="188">
        <f t="shared" si="29"/>
        <v>2440</v>
      </c>
      <c r="R136" s="187">
        <v>98307.61</v>
      </c>
      <c r="S136" s="109" t="s">
        <v>78</v>
      </c>
      <c r="T136" s="111"/>
      <c r="U136" s="111"/>
      <c r="V136" s="110"/>
    </row>
    <row r="137" spans="1:22" s="112" customFormat="1" ht="55.5" customHeight="1">
      <c r="A137" s="115"/>
      <c r="B137" s="305" t="s">
        <v>39</v>
      </c>
      <c r="C137" s="305"/>
      <c r="D137" s="305"/>
      <c r="E137" s="108">
        <v>88.6</v>
      </c>
      <c r="F137" s="194">
        <v>54</v>
      </c>
      <c r="G137" s="189">
        <f>F137*F159</f>
        <v>2175.66</v>
      </c>
      <c r="H137" s="188">
        <v>88.5</v>
      </c>
      <c r="I137" s="195">
        <v>40.4</v>
      </c>
      <c r="J137" s="189">
        <f>I137*F159</f>
        <v>1627.716</v>
      </c>
      <c r="K137" s="188">
        <v>88.5</v>
      </c>
      <c r="L137" s="186">
        <v>81.8</v>
      </c>
      <c r="M137" s="189">
        <f>L137*G159</f>
        <v>3295.7219999999998</v>
      </c>
      <c r="N137" s="188">
        <v>88.5</v>
      </c>
      <c r="O137" s="195">
        <v>66.8</v>
      </c>
      <c r="P137" s="189">
        <f>O137*G159</f>
        <v>2691.372</v>
      </c>
      <c r="Q137" s="188">
        <f t="shared" si="29"/>
        <v>243</v>
      </c>
      <c r="R137" s="187">
        <f>G137+J137+M137+P137</f>
        <v>9790.47</v>
      </c>
      <c r="S137" s="109" t="s">
        <v>78</v>
      </c>
      <c r="T137" s="111"/>
      <c r="U137" s="111"/>
      <c r="V137" s="110"/>
    </row>
    <row r="138" spans="1:22" s="89" customFormat="1" ht="51.75" customHeight="1">
      <c r="A138" s="96">
        <v>3</v>
      </c>
      <c r="B138" s="298" t="s">
        <v>42</v>
      </c>
      <c r="C138" s="299"/>
      <c r="D138" s="300"/>
      <c r="E138" s="90">
        <v>118.05</v>
      </c>
      <c r="F138" s="263">
        <f>SUM(F139:F142)</f>
        <v>82.525</v>
      </c>
      <c r="G138" s="182">
        <f aca="true" t="shared" si="30" ref="G138:R138">SUM(G139:G142)</f>
        <v>3064.6522499999996</v>
      </c>
      <c r="H138" s="85">
        <f t="shared" si="30"/>
        <v>0</v>
      </c>
      <c r="I138" s="263">
        <f t="shared" si="30"/>
        <v>82.525</v>
      </c>
      <c r="J138" s="182">
        <f t="shared" si="30"/>
        <v>3064.6522499999996</v>
      </c>
      <c r="K138" s="85">
        <f t="shared" si="30"/>
        <v>0</v>
      </c>
      <c r="L138" s="263">
        <f t="shared" si="30"/>
        <v>82.525</v>
      </c>
      <c r="M138" s="182">
        <f t="shared" si="30"/>
        <v>3097.3222499999997</v>
      </c>
      <c r="N138" s="85">
        <f t="shared" si="30"/>
        <v>0</v>
      </c>
      <c r="O138" s="263">
        <f t="shared" si="30"/>
        <v>82.525</v>
      </c>
      <c r="P138" s="182">
        <f t="shared" si="30"/>
        <v>3097.3222499999997</v>
      </c>
      <c r="Q138" s="265">
        <f t="shared" si="30"/>
        <v>330.12</v>
      </c>
      <c r="R138" s="172">
        <f t="shared" si="30"/>
        <v>12323.948999999999</v>
      </c>
      <c r="S138" s="86"/>
      <c r="T138" s="88"/>
      <c r="U138" s="88"/>
      <c r="V138" s="87"/>
    </row>
    <row r="139" spans="1:22" ht="42.75" customHeight="1">
      <c r="A139" s="28"/>
      <c r="B139" s="269" t="s">
        <v>107</v>
      </c>
      <c r="C139" s="270"/>
      <c r="D139" s="271"/>
      <c r="E139" s="5"/>
      <c r="F139" s="176">
        <v>58.525</v>
      </c>
      <c r="G139" s="184">
        <f>F139*F159</f>
        <v>2357.97225</v>
      </c>
      <c r="H139" s="54"/>
      <c r="I139" s="176">
        <v>58.525</v>
      </c>
      <c r="J139" s="184">
        <f>I139*F159</f>
        <v>2357.97225</v>
      </c>
      <c r="K139" s="175"/>
      <c r="L139" s="176">
        <v>58.525</v>
      </c>
      <c r="M139" s="184">
        <f>L139*G159</f>
        <v>2357.97225</v>
      </c>
      <c r="N139" s="175"/>
      <c r="O139" s="176">
        <v>58.525</v>
      </c>
      <c r="P139" s="184">
        <f>O139*G159</f>
        <v>2357.97225</v>
      </c>
      <c r="Q139" s="175">
        <v>234.12</v>
      </c>
      <c r="R139" s="174">
        <f>G139+J139+M139+P139</f>
        <v>9431.889</v>
      </c>
      <c r="S139" s="60"/>
      <c r="T139" s="8"/>
      <c r="U139" s="8"/>
      <c r="V139" s="9"/>
    </row>
    <row r="140" spans="1:22" ht="39.75" customHeight="1">
      <c r="A140" s="28"/>
      <c r="B140" s="269" t="s">
        <v>108</v>
      </c>
      <c r="C140" s="270"/>
      <c r="D140" s="271"/>
      <c r="E140" s="5"/>
      <c r="F140" s="246">
        <v>9</v>
      </c>
      <c r="G140" s="184">
        <f>F140*F160</f>
        <v>102.33</v>
      </c>
      <c r="H140" s="54"/>
      <c r="I140" s="246">
        <v>9</v>
      </c>
      <c r="J140" s="184">
        <f>I140*F160</f>
        <v>102.33</v>
      </c>
      <c r="K140" s="175"/>
      <c r="L140" s="246">
        <v>9</v>
      </c>
      <c r="M140" s="184">
        <f>L140*G160</f>
        <v>135</v>
      </c>
      <c r="N140" s="175"/>
      <c r="O140" s="246">
        <v>9</v>
      </c>
      <c r="P140" s="184">
        <f>O140*G160</f>
        <v>135</v>
      </c>
      <c r="Q140" s="175">
        <f>F140+I140+L140+O140</f>
        <v>36</v>
      </c>
      <c r="R140" s="174">
        <f>G140+J140+M140+P140</f>
        <v>474.65999999999997</v>
      </c>
      <c r="S140" s="60"/>
      <c r="T140" s="8"/>
      <c r="U140" s="8"/>
      <c r="V140" s="9"/>
    </row>
    <row r="141" spans="1:22" ht="39.75" customHeight="1">
      <c r="A141" s="28"/>
      <c r="B141" s="269" t="s">
        <v>110</v>
      </c>
      <c r="C141" s="270"/>
      <c r="D141" s="271"/>
      <c r="E141" s="5"/>
      <c r="F141" s="246">
        <v>15</v>
      </c>
      <c r="G141" s="184">
        <f>F141*F159</f>
        <v>604.35</v>
      </c>
      <c r="H141" s="54"/>
      <c r="I141" s="246">
        <v>15</v>
      </c>
      <c r="J141" s="184">
        <f>I141*F159</f>
        <v>604.35</v>
      </c>
      <c r="K141" s="175"/>
      <c r="L141" s="246">
        <v>15</v>
      </c>
      <c r="M141" s="184">
        <f>L141*G159</f>
        <v>604.35</v>
      </c>
      <c r="N141" s="175"/>
      <c r="O141" s="246">
        <v>15</v>
      </c>
      <c r="P141" s="184">
        <f>O141*G159</f>
        <v>604.35</v>
      </c>
      <c r="Q141" s="175">
        <f>F141+I141+L141+O141</f>
        <v>60</v>
      </c>
      <c r="R141" s="174">
        <f>G141+J141+M141+P141</f>
        <v>2417.4</v>
      </c>
      <c r="S141" s="60"/>
      <c r="T141" s="8"/>
      <c r="U141" s="8"/>
      <c r="V141" s="9"/>
    </row>
    <row r="142" spans="1:22" ht="33.75" customHeight="1">
      <c r="A142" s="28"/>
      <c r="B142" s="269" t="s">
        <v>109</v>
      </c>
      <c r="C142" s="270"/>
      <c r="D142" s="271"/>
      <c r="E142" s="5"/>
      <c r="F142" s="246">
        <v>0</v>
      </c>
      <c r="G142" s="184">
        <f>F142*F159</f>
        <v>0</v>
      </c>
      <c r="H142" s="54"/>
      <c r="I142" s="246">
        <v>0</v>
      </c>
      <c r="J142" s="184">
        <f>I142*F159</f>
        <v>0</v>
      </c>
      <c r="K142" s="175"/>
      <c r="L142" s="246">
        <v>0</v>
      </c>
      <c r="M142" s="184">
        <f>L142*G159</f>
        <v>0</v>
      </c>
      <c r="N142" s="175"/>
      <c r="O142" s="246">
        <v>0</v>
      </c>
      <c r="P142" s="184">
        <f>O142*G159</f>
        <v>0</v>
      </c>
      <c r="Q142" s="175">
        <f>F142+I142+L142+O142</f>
        <v>0</v>
      </c>
      <c r="R142" s="174">
        <f>G142+J142+M142+P142</f>
        <v>0</v>
      </c>
      <c r="S142" s="60"/>
      <c r="T142" s="8"/>
      <c r="U142" s="8"/>
      <c r="V142" s="9"/>
    </row>
    <row r="143" spans="1:22" s="89" customFormat="1" ht="33.75" customHeight="1">
      <c r="A143" s="96">
        <v>4</v>
      </c>
      <c r="B143" s="298" t="s">
        <v>43</v>
      </c>
      <c r="C143" s="299"/>
      <c r="D143" s="300"/>
      <c r="E143" s="90">
        <v>180</v>
      </c>
      <c r="F143" s="173">
        <f>F144</f>
        <v>23.4</v>
      </c>
      <c r="G143" s="182">
        <f>G144</f>
        <v>942.786</v>
      </c>
      <c r="H143" s="85"/>
      <c r="I143" s="173">
        <f>I144</f>
        <v>23.4</v>
      </c>
      <c r="J143" s="182">
        <f>J144</f>
        <v>942.786</v>
      </c>
      <c r="K143" s="85"/>
      <c r="L143" s="173">
        <f>L144</f>
        <v>23.7</v>
      </c>
      <c r="M143" s="182">
        <f>M144</f>
        <v>954.8729999999999</v>
      </c>
      <c r="N143" s="85"/>
      <c r="O143" s="173">
        <f>O144</f>
        <v>23.1</v>
      </c>
      <c r="P143" s="182">
        <f>P144</f>
        <v>930.6990000000001</v>
      </c>
      <c r="Q143" s="85">
        <f>Q144</f>
        <v>93.6</v>
      </c>
      <c r="R143" s="172">
        <f>R144</f>
        <v>3771.15</v>
      </c>
      <c r="S143" s="86"/>
      <c r="T143" s="88"/>
      <c r="U143" s="88"/>
      <c r="V143" s="87"/>
    </row>
    <row r="144" spans="1:22" ht="33.75" customHeight="1">
      <c r="A144" s="30"/>
      <c r="B144" s="276" t="s">
        <v>44</v>
      </c>
      <c r="C144" s="277"/>
      <c r="D144" s="278"/>
      <c r="E144" s="5"/>
      <c r="F144" s="176">
        <v>23.4</v>
      </c>
      <c r="G144" s="184">
        <f>F144*F159</f>
        <v>942.786</v>
      </c>
      <c r="H144" s="175"/>
      <c r="I144" s="176">
        <v>23.4</v>
      </c>
      <c r="J144" s="184">
        <f>I144*F159</f>
        <v>942.786</v>
      </c>
      <c r="K144" s="175"/>
      <c r="L144" s="176">
        <v>23.7</v>
      </c>
      <c r="M144" s="184">
        <f>L144*G159</f>
        <v>954.8729999999999</v>
      </c>
      <c r="N144" s="175"/>
      <c r="O144" s="176">
        <v>23.1</v>
      </c>
      <c r="P144" s="184">
        <f>O144*G159</f>
        <v>930.6990000000001</v>
      </c>
      <c r="Q144" s="175">
        <f>F144+I144+L144+O144</f>
        <v>93.6</v>
      </c>
      <c r="R144" s="174">
        <v>3771.15</v>
      </c>
      <c r="S144" s="60"/>
      <c r="T144" s="8"/>
      <c r="U144" s="8"/>
      <c r="V144" s="9"/>
    </row>
    <row r="145" spans="1:22" s="89" customFormat="1" ht="53.25" customHeight="1">
      <c r="A145" s="96">
        <v>5</v>
      </c>
      <c r="B145" s="298" t="s">
        <v>47</v>
      </c>
      <c r="C145" s="299"/>
      <c r="D145" s="300"/>
      <c r="E145" s="90"/>
      <c r="F145" s="173">
        <f>F146+F147+F148+F149</f>
        <v>197.28199999999998</v>
      </c>
      <c r="G145" s="182">
        <v>7080.9</v>
      </c>
      <c r="H145" s="85"/>
      <c r="I145" s="173">
        <f>I146+I147+I148+I149</f>
        <v>196.812</v>
      </c>
      <c r="J145" s="182">
        <f>J146+J147+J148+J149</f>
        <v>6772.75548</v>
      </c>
      <c r="K145" s="85"/>
      <c r="L145" s="173">
        <f>L146+L147+L148+L149</f>
        <v>173.609</v>
      </c>
      <c r="M145" s="182">
        <v>5814.81</v>
      </c>
      <c r="N145" s="85"/>
      <c r="O145" s="173">
        <f>O146+O147+O148+O149</f>
        <v>245.33999999999997</v>
      </c>
      <c r="P145" s="182">
        <v>8873.16</v>
      </c>
      <c r="Q145" s="85">
        <f>Q146+Q147+Q148+Q149</f>
        <v>813.0429999999999</v>
      </c>
      <c r="R145" s="172">
        <v>28541.63</v>
      </c>
      <c r="S145" s="86"/>
      <c r="T145" s="88"/>
      <c r="U145" s="88"/>
      <c r="V145" s="87"/>
    </row>
    <row r="146" spans="1:22" ht="33.75" customHeight="1">
      <c r="A146" s="28"/>
      <c r="B146" s="276" t="s">
        <v>48</v>
      </c>
      <c r="C146" s="277"/>
      <c r="D146" s="278"/>
      <c r="E146" s="5"/>
      <c r="F146" s="251">
        <v>16.782</v>
      </c>
      <c r="G146" s="184">
        <f>F146*F159</f>
        <v>676.14678</v>
      </c>
      <c r="H146" s="175"/>
      <c r="I146" s="251">
        <v>15.742</v>
      </c>
      <c r="J146" s="184">
        <f>I146*F159</f>
        <v>634.24518</v>
      </c>
      <c r="K146" s="175"/>
      <c r="L146" s="251">
        <v>15.954</v>
      </c>
      <c r="M146" s="184">
        <f>L146*G159</f>
        <v>642.78666</v>
      </c>
      <c r="N146" s="175"/>
      <c r="O146" s="251">
        <v>32.88</v>
      </c>
      <c r="P146" s="184">
        <f>O146*G159</f>
        <v>1324.7352</v>
      </c>
      <c r="Q146" s="175">
        <f aca="true" t="shared" si="31" ref="Q146:R149">F146+I146+L146+O146</f>
        <v>81.358</v>
      </c>
      <c r="R146" s="174">
        <v>3277.93</v>
      </c>
      <c r="S146" s="60"/>
      <c r="T146" s="8"/>
      <c r="U146" s="8"/>
      <c r="V146" s="9"/>
    </row>
    <row r="147" spans="1:22" ht="33.75" customHeight="1">
      <c r="A147" s="28"/>
      <c r="B147" s="276" t="s">
        <v>49</v>
      </c>
      <c r="C147" s="277"/>
      <c r="D147" s="278"/>
      <c r="E147" s="5"/>
      <c r="F147" s="176">
        <v>73</v>
      </c>
      <c r="G147" s="184">
        <f>53*F159+20*F160</f>
        <v>2362.77</v>
      </c>
      <c r="H147" s="175"/>
      <c r="I147" s="176">
        <v>72</v>
      </c>
      <c r="J147" s="184">
        <f>52*F159+20*F160</f>
        <v>2322.48</v>
      </c>
      <c r="K147" s="175"/>
      <c r="L147" s="176">
        <v>81.655</v>
      </c>
      <c r="M147" s="184">
        <f>55*G159+26.655*G160</f>
        <v>2615.7749999999996</v>
      </c>
      <c r="N147" s="175"/>
      <c r="O147" s="176">
        <v>71</v>
      </c>
      <c r="P147" s="184">
        <f>51*G159+20*G160</f>
        <v>2354.79</v>
      </c>
      <c r="Q147" s="175">
        <f t="shared" si="31"/>
        <v>297.655</v>
      </c>
      <c r="R147" s="174">
        <f t="shared" si="31"/>
        <v>9655.814999999999</v>
      </c>
      <c r="S147" s="60"/>
      <c r="T147" s="8"/>
      <c r="U147" s="8"/>
      <c r="V147" s="9"/>
    </row>
    <row r="148" spans="1:22" ht="33.75" customHeight="1">
      <c r="A148" s="28"/>
      <c r="B148" s="276" t="s">
        <v>50</v>
      </c>
      <c r="C148" s="277"/>
      <c r="D148" s="278"/>
      <c r="E148" s="5"/>
      <c r="F148" s="176">
        <v>47.3</v>
      </c>
      <c r="G148" s="184">
        <f>37.3*F159+10*F160</f>
        <v>1616.5169999999998</v>
      </c>
      <c r="H148" s="175"/>
      <c r="I148" s="176">
        <v>62.07</v>
      </c>
      <c r="J148" s="184">
        <f>42.07*F159+20*F160</f>
        <v>1922.4002999999998</v>
      </c>
      <c r="K148" s="175"/>
      <c r="L148" s="176">
        <v>41.1</v>
      </c>
      <c r="M148" s="184">
        <f>21.1*G159+20*G160</f>
        <v>1150.1190000000001</v>
      </c>
      <c r="N148" s="175"/>
      <c r="O148" s="176">
        <v>47.5</v>
      </c>
      <c r="P148" s="184">
        <f>27.5*G159+20*G160</f>
        <v>1407.975</v>
      </c>
      <c r="Q148" s="175">
        <f t="shared" si="31"/>
        <v>197.97</v>
      </c>
      <c r="R148" s="174">
        <v>6097.02</v>
      </c>
      <c r="S148" s="60" t="s">
        <v>78</v>
      </c>
      <c r="T148" s="8"/>
      <c r="U148" s="8"/>
      <c r="V148" s="9"/>
    </row>
    <row r="149" spans="1:22" ht="33.75" customHeight="1">
      <c r="A149" s="28"/>
      <c r="B149" s="304" t="s">
        <v>40</v>
      </c>
      <c r="C149" s="304"/>
      <c r="D149" s="304"/>
      <c r="E149" s="5"/>
      <c r="F149" s="176">
        <v>60.2</v>
      </c>
      <c r="G149" s="184">
        <f>F149*F159</f>
        <v>2425.458</v>
      </c>
      <c r="H149" s="175"/>
      <c r="I149" s="176">
        <v>47</v>
      </c>
      <c r="J149" s="184">
        <f>I149*F159</f>
        <v>1893.6299999999999</v>
      </c>
      <c r="K149" s="175"/>
      <c r="L149" s="176">
        <v>34.9</v>
      </c>
      <c r="M149" s="184">
        <f>L149*G159</f>
        <v>1406.1209999999999</v>
      </c>
      <c r="N149" s="175"/>
      <c r="O149" s="176">
        <v>93.96</v>
      </c>
      <c r="P149" s="184">
        <f>O149*G159</f>
        <v>3785.6483999999996</v>
      </c>
      <c r="Q149" s="175">
        <f t="shared" si="31"/>
        <v>236.06</v>
      </c>
      <c r="R149" s="174">
        <f t="shared" si="31"/>
        <v>9510.857399999999</v>
      </c>
      <c r="S149" s="60" t="s">
        <v>78</v>
      </c>
      <c r="T149" s="8"/>
      <c r="U149" s="8"/>
      <c r="V149" s="9"/>
    </row>
    <row r="150" spans="1:22" s="89" customFormat="1" ht="33.75" customHeight="1">
      <c r="A150" s="96">
        <v>6</v>
      </c>
      <c r="B150" s="298" t="s">
        <v>53</v>
      </c>
      <c r="C150" s="299"/>
      <c r="D150" s="300"/>
      <c r="E150" s="90"/>
      <c r="F150" s="173">
        <f>F151+F152+F153</f>
        <v>3319.1</v>
      </c>
      <c r="G150" s="182">
        <f>G151+G152+G153</f>
        <v>133726.539</v>
      </c>
      <c r="H150" s="85"/>
      <c r="I150" s="173">
        <f>I151+I152+I153</f>
        <v>3004.1</v>
      </c>
      <c r="J150" s="182">
        <f>J151+J152+J153</f>
        <v>121035.189</v>
      </c>
      <c r="K150" s="85"/>
      <c r="L150" s="173">
        <f>L151+L152+L153</f>
        <v>2722.1</v>
      </c>
      <c r="M150" s="182">
        <f>M151+M152+M153</f>
        <v>109673.409</v>
      </c>
      <c r="N150" s="85"/>
      <c r="O150" s="173">
        <f>O151+O152+O153</f>
        <v>3046.1</v>
      </c>
      <c r="P150" s="182">
        <f>P151+P152+P153</f>
        <v>122727.369</v>
      </c>
      <c r="Q150" s="85">
        <f aca="true" t="shared" si="32" ref="Q150:R153">F150+I150+L150+O150</f>
        <v>12091.4</v>
      </c>
      <c r="R150" s="172">
        <f t="shared" si="32"/>
        <v>487162.506</v>
      </c>
      <c r="S150" s="86"/>
      <c r="T150" s="88"/>
      <c r="U150" s="88"/>
      <c r="V150" s="87"/>
    </row>
    <row r="151" spans="1:22" ht="38.25" customHeight="1">
      <c r="A151" s="30"/>
      <c r="B151" s="309" t="s">
        <v>111</v>
      </c>
      <c r="C151" s="310"/>
      <c r="D151" s="311"/>
      <c r="E151" s="5"/>
      <c r="F151" s="176">
        <v>233</v>
      </c>
      <c r="G151" s="184">
        <f>F151*F159</f>
        <v>9387.57</v>
      </c>
      <c r="H151" s="175"/>
      <c r="I151" s="176">
        <v>218</v>
      </c>
      <c r="J151" s="184">
        <f>I151*F159</f>
        <v>8783.22</v>
      </c>
      <c r="K151" s="175"/>
      <c r="L151" s="176">
        <v>96</v>
      </c>
      <c r="M151" s="184">
        <f>L151*G159</f>
        <v>3867.84</v>
      </c>
      <c r="N151" s="175"/>
      <c r="O151" s="176">
        <v>260</v>
      </c>
      <c r="P151" s="184">
        <f>O151*G159</f>
        <v>10475.4</v>
      </c>
      <c r="Q151" s="175">
        <f t="shared" si="32"/>
        <v>807</v>
      </c>
      <c r="R151" s="174">
        <f t="shared" si="32"/>
        <v>32514.03</v>
      </c>
      <c r="S151" s="60" t="s">
        <v>78</v>
      </c>
      <c r="T151" s="8"/>
      <c r="U151" s="8"/>
      <c r="V151" s="9"/>
    </row>
    <row r="152" spans="1:22" ht="36.75" customHeight="1">
      <c r="A152" s="30"/>
      <c r="B152" s="276" t="s">
        <v>55</v>
      </c>
      <c r="C152" s="277"/>
      <c r="D152" s="278"/>
      <c r="E152" s="5"/>
      <c r="F152" s="176">
        <v>600</v>
      </c>
      <c r="G152" s="184">
        <f>F152*F159</f>
        <v>24174</v>
      </c>
      <c r="H152" s="175"/>
      <c r="I152" s="176">
        <v>300</v>
      </c>
      <c r="J152" s="184">
        <f>I152*F159</f>
        <v>12087</v>
      </c>
      <c r="K152" s="175"/>
      <c r="L152" s="246">
        <v>140</v>
      </c>
      <c r="M152" s="184">
        <f>L152*G159</f>
        <v>5640.599999999999</v>
      </c>
      <c r="N152" s="175"/>
      <c r="O152" s="246">
        <v>300</v>
      </c>
      <c r="P152" s="184">
        <f>O152*G159</f>
        <v>12087</v>
      </c>
      <c r="Q152" s="175">
        <f t="shared" si="32"/>
        <v>1340</v>
      </c>
      <c r="R152" s="174">
        <f t="shared" si="32"/>
        <v>53988.6</v>
      </c>
      <c r="S152" s="60" t="s">
        <v>78</v>
      </c>
      <c r="T152" s="8"/>
      <c r="U152" s="8"/>
      <c r="V152" s="9"/>
    </row>
    <row r="153" spans="1:22" ht="33.75" customHeight="1">
      <c r="A153" s="30"/>
      <c r="B153" s="276" t="s">
        <v>82</v>
      </c>
      <c r="C153" s="277"/>
      <c r="D153" s="278"/>
      <c r="E153" s="5"/>
      <c r="F153" s="176">
        <v>2486.1</v>
      </c>
      <c r="G153" s="184">
        <f>SUM(F153)*F159</f>
        <v>100164.969</v>
      </c>
      <c r="H153" s="175"/>
      <c r="I153" s="176">
        <v>2486.1</v>
      </c>
      <c r="J153" s="184">
        <f>SUM(I153)*F159</f>
        <v>100164.969</v>
      </c>
      <c r="K153" s="175"/>
      <c r="L153" s="246">
        <v>2486.1</v>
      </c>
      <c r="M153" s="184">
        <f>SUM(L153)*G159</f>
        <v>100164.969</v>
      </c>
      <c r="N153" s="175"/>
      <c r="O153" s="246">
        <v>2486.1</v>
      </c>
      <c r="P153" s="184">
        <f>SUM(O153)*G159</f>
        <v>100164.969</v>
      </c>
      <c r="Q153" s="175">
        <f t="shared" si="32"/>
        <v>9944.4</v>
      </c>
      <c r="R153" s="174">
        <f t="shared" si="32"/>
        <v>400659.876</v>
      </c>
      <c r="S153" s="60"/>
      <c r="T153" s="8"/>
      <c r="U153" s="8"/>
      <c r="V153" s="9"/>
    </row>
    <row r="154" spans="1:22" ht="33.75" customHeight="1">
      <c r="A154" s="92">
        <v>7</v>
      </c>
      <c r="B154" s="298" t="s">
        <v>83</v>
      </c>
      <c r="C154" s="299"/>
      <c r="D154" s="300"/>
      <c r="E154" s="5"/>
      <c r="F154" s="223">
        <f>SUM(F155:F156)</f>
        <v>25</v>
      </c>
      <c r="G154" s="224">
        <f aca="true" t="shared" si="33" ref="G154:R154">SUM(G155:G156)</f>
        <v>1007.25</v>
      </c>
      <c r="H154" s="222">
        <f t="shared" si="33"/>
        <v>0</v>
      </c>
      <c r="I154" s="223">
        <f t="shared" si="33"/>
        <v>25</v>
      </c>
      <c r="J154" s="224">
        <f t="shared" si="33"/>
        <v>1007.25</v>
      </c>
      <c r="K154" s="222">
        <f t="shared" si="33"/>
        <v>0</v>
      </c>
      <c r="L154" s="225">
        <f t="shared" si="33"/>
        <v>25</v>
      </c>
      <c r="M154" s="224">
        <f t="shared" si="33"/>
        <v>1007.25</v>
      </c>
      <c r="N154" s="222">
        <f t="shared" si="33"/>
        <v>0</v>
      </c>
      <c r="O154" s="225">
        <f t="shared" si="33"/>
        <v>25</v>
      </c>
      <c r="P154" s="224">
        <f t="shared" si="33"/>
        <v>1007.25</v>
      </c>
      <c r="Q154" s="222">
        <f t="shared" si="33"/>
        <v>100</v>
      </c>
      <c r="R154" s="226">
        <f t="shared" si="33"/>
        <v>4029</v>
      </c>
      <c r="S154" s="60"/>
      <c r="T154" s="8"/>
      <c r="U154" s="8"/>
      <c r="V154" s="9"/>
    </row>
    <row r="155" spans="1:22" ht="33.75" customHeight="1">
      <c r="A155" s="92"/>
      <c r="B155" s="269" t="s">
        <v>84</v>
      </c>
      <c r="C155" s="272"/>
      <c r="D155" s="273"/>
      <c r="E155" s="5"/>
      <c r="F155" s="176">
        <v>0</v>
      </c>
      <c r="G155" s="184">
        <f>SUM(F155)*F159</f>
        <v>0</v>
      </c>
      <c r="H155" s="175"/>
      <c r="I155" s="176">
        <v>0</v>
      </c>
      <c r="J155" s="184">
        <f>SUM(I155)*F159</f>
        <v>0</v>
      </c>
      <c r="K155" s="175"/>
      <c r="L155" s="176">
        <v>0</v>
      </c>
      <c r="M155" s="184">
        <f>SUM(L155)*G159</f>
        <v>0</v>
      </c>
      <c r="N155" s="175"/>
      <c r="O155" s="176">
        <v>0</v>
      </c>
      <c r="P155" s="184">
        <f>SUM(O155)*G159</f>
        <v>0</v>
      </c>
      <c r="Q155" s="175">
        <f>F155+I155+L155+O155</f>
        <v>0</v>
      </c>
      <c r="R155" s="174">
        <f>SUM(G155)+J155+M155+P155</f>
        <v>0</v>
      </c>
      <c r="S155" s="60"/>
      <c r="T155" s="8"/>
      <c r="U155" s="8"/>
      <c r="V155" s="9"/>
    </row>
    <row r="156" spans="1:22" ht="33.75" customHeight="1">
      <c r="A156" s="92"/>
      <c r="B156" s="269" t="s">
        <v>85</v>
      </c>
      <c r="C156" s="272"/>
      <c r="D156" s="273"/>
      <c r="E156" s="5"/>
      <c r="F156" s="176">
        <v>25</v>
      </c>
      <c r="G156" s="184">
        <f>SUM(F156)*F159</f>
        <v>1007.25</v>
      </c>
      <c r="H156" s="175"/>
      <c r="I156" s="176">
        <v>25</v>
      </c>
      <c r="J156" s="184">
        <f>SUM(I156)*F159</f>
        <v>1007.25</v>
      </c>
      <c r="K156" s="175"/>
      <c r="L156" s="191">
        <v>25</v>
      </c>
      <c r="M156" s="184">
        <f>SUM(L156)*G159</f>
        <v>1007.25</v>
      </c>
      <c r="N156" s="175"/>
      <c r="O156" s="191">
        <v>25</v>
      </c>
      <c r="P156" s="184">
        <f>SUM(O156)*G159</f>
        <v>1007.25</v>
      </c>
      <c r="Q156" s="175">
        <f>F156+I156+L156+O156</f>
        <v>100</v>
      </c>
      <c r="R156" s="174">
        <f>SUM(G156)+J156+M156+P156</f>
        <v>4029</v>
      </c>
      <c r="S156" s="60"/>
      <c r="T156" s="8"/>
      <c r="U156" s="8"/>
      <c r="V156" s="9"/>
    </row>
    <row r="157" spans="1:22" ht="35.25">
      <c r="A157" s="46"/>
      <c r="B157" s="317" t="s">
        <v>19</v>
      </c>
      <c r="C157" s="317"/>
      <c r="D157" s="317"/>
      <c r="E157" s="12">
        <f>SUM(E130:E143)</f>
        <v>6764.85</v>
      </c>
      <c r="F157" s="177">
        <f aca="true" t="shared" si="34" ref="F157:R157">F130+F131+F138+F143+F145+F150+F154</f>
        <v>5996.887000000001</v>
      </c>
      <c r="G157" s="192">
        <f t="shared" si="34"/>
        <v>222845.50544999997</v>
      </c>
      <c r="H157" s="54">
        <f t="shared" si="34"/>
        <v>17.5</v>
      </c>
      <c r="I157" s="177">
        <f t="shared" si="34"/>
        <v>5686.187</v>
      </c>
      <c r="J157" s="192">
        <v>199916.21</v>
      </c>
      <c r="K157" s="54">
        <f t="shared" si="34"/>
        <v>17.5</v>
      </c>
      <c r="L157" s="177">
        <v>5387.05</v>
      </c>
      <c r="M157" s="192">
        <f t="shared" si="34"/>
        <v>190852.29025000002</v>
      </c>
      <c r="N157" s="54">
        <f t="shared" si="34"/>
        <v>17.5</v>
      </c>
      <c r="O157" s="177">
        <f t="shared" si="34"/>
        <v>5823.595000000001</v>
      </c>
      <c r="P157" s="192">
        <v>209367.95</v>
      </c>
      <c r="Q157" s="54">
        <f t="shared" si="34"/>
        <v>22893.733</v>
      </c>
      <c r="R157" s="178">
        <f t="shared" si="34"/>
        <v>822981.9629</v>
      </c>
      <c r="S157" s="60"/>
      <c r="T157" s="47"/>
      <c r="U157" s="47"/>
      <c r="V157" s="47"/>
    </row>
    <row r="158" spans="1:18" ht="38.25" customHeight="1">
      <c r="A158" s="33"/>
      <c r="B158" s="359" t="s">
        <v>17</v>
      </c>
      <c r="C158" s="360"/>
      <c r="D158" s="361"/>
      <c r="E158" s="301" t="s">
        <v>104</v>
      </c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3"/>
    </row>
    <row r="159" spans="1:18" ht="26.25">
      <c r="A159" s="41"/>
      <c r="B159" s="37"/>
      <c r="C159" s="37"/>
      <c r="D159" s="135"/>
      <c r="E159" s="135"/>
      <c r="F159" s="129">
        <v>40.29</v>
      </c>
      <c r="G159" s="132">
        <v>40.29</v>
      </c>
      <c r="H159" s="132"/>
      <c r="I159" s="132"/>
      <c r="J159" s="131"/>
      <c r="K159" s="4"/>
      <c r="L159" s="4"/>
      <c r="M159" s="97"/>
      <c r="N159" s="37"/>
      <c r="O159" s="37"/>
      <c r="P159" s="97"/>
      <c r="Q159" s="37"/>
      <c r="R159" s="97"/>
    </row>
    <row r="160" spans="1:18" ht="26.25">
      <c r="A160" s="41"/>
      <c r="B160" s="37"/>
      <c r="C160" s="37"/>
      <c r="D160" s="135"/>
      <c r="E160" s="135"/>
      <c r="F160" s="129">
        <v>11.37</v>
      </c>
      <c r="G160" s="137">
        <v>15</v>
      </c>
      <c r="H160" s="132"/>
      <c r="I160" s="132"/>
      <c r="J160" s="131"/>
      <c r="K160" s="4"/>
      <c r="L160" s="4"/>
      <c r="M160" s="97"/>
      <c r="N160" s="37"/>
      <c r="O160" s="37"/>
      <c r="P160" s="97"/>
      <c r="Q160" s="37"/>
      <c r="R160" s="97"/>
    </row>
    <row r="161" spans="1:18" ht="26.25">
      <c r="A161" s="41"/>
      <c r="B161" s="37"/>
      <c r="C161" s="37"/>
      <c r="D161" s="135"/>
      <c r="E161" s="135"/>
      <c r="F161" s="129"/>
      <c r="G161" s="129"/>
      <c r="H161" s="112"/>
      <c r="I161" s="135"/>
      <c r="J161" s="130"/>
      <c r="K161" s="37"/>
      <c r="L161" s="37"/>
      <c r="M161" s="97"/>
      <c r="N161" s="37"/>
      <c r="O161" s="37"/>
      <c r="P161" s="97"/>
      <c r="Q161" s="37"/>
      <c r="R161" s="97"/>
    </row>
    <row r="162" spans="1:18" ht="26.25">
      <c r="A162" s="45"/>
      <c r="B162" s="37"/>
      <c r="C162" s="37"/>
      <c r="D162" s="37"/>
      <c r="E162" s="37"/>
      <c r="F162" s="37"/>
      <c r="G162" s="97"/>
      <c r="H162" s="4"/>
      <c r="I162" s="4"/>
      <c r="J162" s="97"/>
      <c r="K162" s="37"/>
      <c r="L162" s="37"/>
      <c r="M162" s="97"/>
      <c r="N162" s="37"/>
      <c r="O162" s="37"/>
      <c r="P162" s="97"/>
      <c r="Q162" s="37"/>
      <c r="R162" s="97"/>
    </row>
    <row r="163" spans="1:18" ht="26.25">
      <c r="A163" s="4"/>
      <c r="B163" s="37"/>
      <c r="C163" s="37"/>
      <c r="D163" s="37"/>
      <c r="E163" s="37"/>
      <c r="F163" s="37"/>
      <c r="G163" s="97"/>
      <c r="H163" s="37"/>
      <c r="I163" s="37"/>
      <c r="J163" s="97"/>
      <c r="K163" s="37"/>
      <c r="L163" s="37"/>
      <c r="M163" s="97"/>
      <c r="N163" s="37"/>
      <c r="O163" s="37"/>
      <c r="P163" s="97"/>
      <c r="Q163" s="37"/>
      <c r="R163" s="97"/>
    </row>
    <row r="164" spans="1:18" ht="26.25">
      <c r="A164" s="4"/>
      <c r="B164" s="4"/>
      <c r="C164" s="4"/>
      <c r="D164" s="4"/>
      <c r="E164" s="4"/>
      <c r="F164" s="4"/>
      <c r="G164" s="97"/>
      <c r="H164" s="4"/>
      <c r="I164" s="4"/>
      <c r="J164" s="97"/>
      <c r="K164" s="4"/>
      <c r="L164" s="4"/>
      <c r="M164" s="97"/>
      <c r="N164" s="4"/>
      <c r="O164" s="4"/>
      <c r="P164" s="97"/>
      <c r="Q164" s="4"/>
      <c r="R164" s="97"/>
    </row>
    <row r="165" spans="1:18" ht="26.25">
      <c r="A165" s="4"/>
      <c r="B165" s="4"/>
      <c r="C165" s="4"/>
      <c r="D165" s="4"/>
      <c r="E165" s="4"/>
      <c r="F165" s="4"/>
      <c r="G165" s="97"/>
      <c r="H165" s="4"/>
      <c r="I165" s="4"/>
      <c r="J165" s="97"/>
      <c r="K165" s="4"/>
      <c r="L165" s="4"/>
      <c r="M165" s="97"/>
      <c r="N165" s="4"/>
      <c r="O165" s="4"/>
      <c r="P165" s="97"/>
      <c r="Q165" s="4"/>
      <c r="R165" s="97"/>
    </row>
    <row r="166" spans="1:18" ht="26.25">
      <c r="A166" s="4"/>
      <c r="B166" s="4"/>
      <c r="C166" s="4"/>
      <c r="D166" s="4"/>
      <c r="E166" s="48"/>
      <c r="K166" s="4"/>
      <c r="L166" s="4"/>
      <c r="M166" s="97"/>
      <c r="N166" s="4"/>
      <c r="O166" s="4"/>
      <c r="P166" s="97"/>
      <c r="Q166" s="4"/>
      <c r="R166" s="97"/>
    </row>
    <row r="167" ht="25.5">
      <c r="E167" s="49" t="s">
        <v>22</v>
      </c>
    </row>
    <row r="168" ht="25.5">
      <c r="E168" s="49" t="s">
        <v>23</v>
      </c>
    </row>
    <row r="169" ht="25.5">
      <c r="E169" s="49" t="s">
        <v>24</v>
      </c>
    </row>
    <row r="170" ht="25.5">
      <c r="E170" s="49" t="s">
        <v>25</v>
      </c>
    </row>
    <row r="171" ht="25.5">
      <c r="E171" s="49" t="s">
        <v>26</v>
      </c>
    </row>
    <row r="172" ht="25.5">
      <c r="E172" s="49" t="s">
        <v>27</v>
      </c>
    </row>
    <row r="173" ht="25.5">
      <c r="E173" s="49" t="s">
        <v>29</v>
      </c>
    </row>
    <row r="174" ht="25.5">
      <c r="E174" s="49" t="s">
        <v>30</v>
      </c>
    </row>
    <row r="175" ht="25.5">
      <c r="E175" s="49" t="s">
        <v>28</v>
      </c>
    </row>
  </sheetData>
  <sheetProtection/>
  <mergeCells count="181">
    <mergeCell ref="B27:D27"/>
    <mergeCell ref="B28:D28"/>
    <mergeCell ref="B29:D29"/>
    <mergeCell ref="B83:D83"/>
    <mergeCell ref="B19:D19"/>
    <mergeCell ref="B20:D20"/>
    <mergeCell ref="B61:D61"/>
    <mergeCell ref="B62:D62"/>
    <mergeCell ref="B82:D82"/>
    <mergeCell ref="B81:D81"/>
    <mergeCell ref="B60:D60"/>
    <mergeCell ref="B77:D77"/>
    <mergeCell ref="N50:P50"/>
    <mergeCell ref="B65:D65"/>
    <mergeCell ref="E50:G50"/>
    <mergeCell ref="H50:J50"/>
    <mergeCell ref="B74:D74"/>
    <mergeCell ref="B68:D68"/>
    <mergeCell ref="B73:D73"/>
    <mergeCell ref="B66:D66"/>
    <mergeCell ref="R24:R25"/>
    <mergeCell ref="F24:F25"/>
    <mergeCell ref="G24:G25"/>
    <mergeCell ref="I24:I25"/>
    <mergeCell ref="J24:J25"/>
    <mergeCell ref="L24:L25"/>
    <mergeCell ref="M24:M25"/>
    <mergeCell ref="O24:O25"/>
    <mergeCell ref="P24:P25"/>
    <mergeCell ref="A94:A95"/>
    <mergeCell ref="B94:D95"/>
    <mergeCell ref="B109:D109"/>
    <mergeCell ref="B132:D132"/>
    <mergeCell ref="B100:D100"/>
    <mergeCell ref="B110:D110"/>
    <mergeCell ref="B99:D99"/>
    <mergeCell ref="B115:D115"/>
    <mergeCell ref="B101:D101"/>
    <mergeCell ref="B122:D122"/>
    <mergeCell ref="B97:D97"/>
    <mergeCell ref="B98:D98"/>
    <mergeCell ref="B133:D133"/>
    <mergeCell ref="B119:D119"/>
    <mergeCell ref="B120:D120"/>
    <mergeCell ref="B123:D123"/>
    <mergeCell ref="B158:D158"/>
    <mergeCell ref="B116:D116"/>
    <mergeCell ref="B117:D117"/>
    <mergeCell ref="B149:D149"/>
    <mergeCell ref="B139:D139"/>
    <mergeCell ref="B148:D148"/>
    <mergeCell ref="B130:D130"/>
    <mergeCell ref="B157:D157"/>
    <mergeCell ref="B118:D118"/>
    <mergeCell ref="B151:D151"/>
    <mergeCell ref="B10:D10"/>
    <mergeCell ref="B111:D111"/>
    <mergeCell ref="B106:D106"/>
    <mergeCell ref="B105:D105"/>
    <mergeCell ref="B11:D11"/>
    <mergeCell ref="B16:D16"/>
    <mergeCell ref="B17:D17"/>
    <mergeCell ref="B15:D15"/>
    <mergeCell ref="B85:D85"/>
    <mergeCell ref="B104:D104"/>
    <mergeCell ref="N94:P94"/>
    <mergeCell ref="B18:D18"/>
    <mergeCell ref="B23:D23"/>
    <mergeCell ref="A49:R49"/>
    <mergeCell ref="B26:D26"/>
    <mergeCell ref="B37:D37"/>
    <mergeCell ref="K50:M50"/>
    <mergeCell ref="B45:D45"/>
    <mergeCell ref="B46:D46"/>
    <mergeCell ref="E46:R46"/>
    <mergeCell ref="P2:R2"/>
    <mergeCell ref="P3:R3"/>
    <mergeCell ref="P4:R4"/>
    <mergeCell ref="A7:R7"/>
    <mergeCell ref="B42:D42"/>
    <mergeCell ref="B43:D43"/>
    <mergeCell ref="A24:A25"/>
    <mergeCell ref="B24:D25"/>
    <mergeCell ref="A8:A9"/>
    <mergeCell ref="H8:J8"/>
    <mergeCell ref="K8:M8"/>
    <mergeCell ref="N8:P8"/>
    <mergeCell ref="Q8:R8"/>
    <mergeCell ref="B30:D30"/>
    <mergeCell ref="B31:D31"/>
    <mergeCell ref="B12:D12"/>
    <mergeCell ref="B13:D13"/>
    <mergeCell ref="B14:D14"/>
    <mergeCell ref="E8:G8"/>
    <mergeCell ref="B8:D9"/>
    <mergeCell ref="B41:D41"/>
    <mergeCell ref="Q24:Q25"/>
    <mergeCell ref="B38:D38"/>
    <mergeCell ref="B57:D57"/>
    <mergeCell ref="B53:D53"/>
    <mergeCell ref="B56:D56"/>
    <mergeCell ref="B54:D54"/>
    <mergeCell ref="B55:D55"/>
    <mergeCell ref="B39:D39"/>
    <mergeCell ref="B40:D40"/>
    <mergeCell ref="B32:D32"/>
    <mergeCell ref="B34:D34"/>
    <mergeCell ref="B84:D84"/>
    <mergeCell ref="B76:D76"/>
    <mergeCell ref="B58:D58"/>
    <mergeCell ref="B67:D67"/>
    <mergeCell ref="B33:D33"/>
    <mergeCell ref="B36:D36"/>
    <mergeCell ref="B52:D52"/>
    <mergeCell ref="B35:D35"/>
    <mergeCell ref="P90:R90"/>
    <mergeCell ref="B69:D69"/>
    <mergeCell ref="P89:R89"/>
    <mergeCell ref="B72:D72"/>
    <mergeCell ref="B75:D75"/>
    <mergeCell ref="E85:R85"/>
    <mergeCell ref="B71:D71"/>
    <mergeCell ref="B70:D70"/>
    <mergeCell ref="B78:D78"/>
    <mergeCell ref="Q50:R50"/>
    <mergeCell ref="K94:M94"/>
    <mergeCell ref="H94:J94"/>
    <mergeCell ref="N128:P128"/>
    <mergeCell ref="P91:R91"/>
    <mergeCell ref="Q128:R128"/>
    <mergeCell ref="H128:J128"/>
    <mergeCell ref="A93:R93"/>
    <mergeCell ref="B124:D124"/>
    <mergeCell ref="B59:D59"/>
    <mergeCell ref="B153:D153"/>
    <mergeCell ref="B144:D144"/>
    <mergeCell ref="B147:D147"/>
    <mergeCell ref="B140:D140"/>
    <mergeCell ref="B102:D102"/>
    <mergeCell ref="B103:D103"/>
    <mergeCell ref="B145:D145"/>
    <mergeCell ref="B150:D150"/>
    <mergeCell ref="B138:D138"/>
    <mergeCell ref="B131:D131"/>
    <mergeCell ref="E158:R158"/>
    <mergeCell ref="B134:D134"/>
    <mergeCell ref="B135:D135"/>
    <mergeCell ref="B136:D136"/>
    <mergeCell ref="B137:D137"/>
    <mergeCell ref="E124:R124"/>
    <mergeCell ref="B152:D152"/>
    <mergeCell ref="B154:D154"/>
    <mergeCell ref="B155:D155"/>
    <mergeCell ref="B156:D156"/>
    <mergeCell ref="E128:G128"/>
    <mergeCell ref="A127:R127"/>
    <mergeCell ref="A128:A129"/>
    <mergeCell ref="B146:D146"/>
    <mergeCell ref="B143:D143"/>
    <mergeCell ref="B142:D142"/>
    <mergeCell ref="K128:M128"/>
    <mergeCell ref="B128:D129"/>
    <mergeCell ref="A50:A51"/>
    <mergeCell ref="B50:D51"/>
    <mergeCell ref="B141:D141"/>
    <mergeCell ref="B21:D21"/>
    <mergeCell ref="B22:D22"/>
    <mergeCell ref="B63:D63"/>
    <mergeCell ref="B64:D64"/>
    <mergeCell ref="B114:D114"/>
    <mergeCell ref="B121:D121"/>
    <mergeCell ref="B107:D107"/>
    <mergeCell ref="B108:D108"/>
    <mergeCell ref="B79:D79"/>
    <mergeCell ref="B80:D80"/>
    <mergeCell ref="A6:R6"/>
    <mergeCell ref="B113:D113"/>
    <mergeCell ref="B112:D112"/>
    <mergeCell ref="B96:D96"/>
    <mergeCell ref="E94:G94"/>
    <mergeCell ref="Q94:R94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8" r:id="rId1"/>
  <rowBreaks count="4" manualBreakCount="4">
    <brk id="46" max="17" man="1"/>
    <brk id="85" max="17" man="1"/>
    <brk id="125" max="17" man="1"/>
    <brk id="161" max="18" man="1"/>
  </rowBreaks>
  <colBreaks count="1" manualBreakCount="1">
    <brk id="19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tabSelected="1" view="pageBreakPreview" zoomScale="42" zoomScaleNormal="85" zoomScaleSheetLayoutView="42" zoomScalePageLayoutView="0" workbookViewId="0" topLeftCell="A1">
      <selection activeCell="B139" sqref="B139:D139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9.421875" style="7" customWidth="1"/>
    <col min="5" max="5" width="23.7109375" style="7" customWidth="1"/>
    <col min="6" max="6" width="14.421875" style="7" hidden="1" customWidth="1"/>
    <col min="7" max="7" width="24.7109375" style="7" customWidth="1"/>
    <col min="8" max="8" width="29.85156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18.00390625" style="60" customWidth="1"/>
    <col min="21" max="21" width="22.421875" style="7" bestFit="1" customWidth="1"/>
    <col min="22" max="22" width="12.8515625" style="7" customWidth="1"/>
    <col min="23" max="23" width="10.28125" style="7" bestFit="1" customWidth="1"/>
    <col min="24" max="16384" width="9.140625" style="7" customWidth="1"/>
  </cols>
  <sheetData>
    <row r="1" spans="1:23" ht="3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3"/>
      <c r="P1" s="63"/>
      <c r="Q1" s="50"/>
      <c r="R1" s="50"/>
      <c r="S1" s="63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3"/>
      <c r="P2" s="63"/>
      <c r="Q2" s="306"/>
      <c r="R2" s="306"/>
      <c r="S2" s="306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3"/>
      <c r="P3" s="63"/>
      <c r="Q3" s="306"/>
      <c r="R3" s="306"/>
      <c r="S3" s="306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3"/>
      <c r="P4" s="63"/>
      <c r="Q4" s="306"/>
      <c r="R4" s="306"/>
      <c r="S4" s="306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3"/>
      <c r="P5" s="63"/>
      <c r="Q5" s="63"/>
      <c r="R5" s="63"/>
      <c r="S5" s="63"/>
      <c r="U5" s="9"/>
      <c r="V5" s="9"/>
      <c r="W5" s="9"/>
    </row>
    <row r="6" spans="1:23" ht="33.75" customHeight="1" hidden="1">
      <c r="A6" s="274" t="s">
        <v>67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U6" s="9"/>
      <c r="V6" s="9"/>
      <c r="W6" s="9"/>
    </row>
    <row r="7" spans="1:23" ht="18.75" customHeight="1" hidden="1">
      <c r="A7" s="438" t="s">
        <v>15</v>
      </c>
      <c r="B7" s="286" t="s">
        <v>0</v>
      </c>
      <c r="C7" s="287"/>
      <c r="D7" s="288"/>
      <c r="E7" s="64"/>
      <c r="F7" s="301" t="s">
        <v>1</v>
      </c>
      <c r="G7" s="302"/>
      <c r="H7" s="303"/>
      <c r="I7" s="301" t="s">
        <v>3</v>
      </c>
      <c r="J7" s="302"/>
      <c r="K7" s="303"/>
      <c r="L7" s="301" t="s">
        <v>4</v>
      </c>
      <c r="M7" s="302"/>
      <c r="N7" s="303"/>
      <c r="O7" s="301" t="s">
        <v>6</v>
      </c>
      <c r="P7" s="302"/>
      <c r="Q7" s="303"/>
      <c r="R7" s="301" t="s">
        <v>7</v>
      </c>
      <c r="S7" s="303"/>
      <c r="V7" s="9"/>
      <c r="W7" s="9"/>
    </row>
    <row r="8" spans="1:23" ht="53.25" hidden="1">
      <c r="A8" s="439"/>
      <c r="B8" s="289"/>
      <c r="C8" s="290"/>
      <c r="D8" s="291"/>
      <c r="E8" s="66"/>
      <c r="F8" s="67"/>
      <c r="G8" s="67" t="s">
        <v>2</v>
      </c>
      <c r="H8" s="67" t="s">
        <v>5</v>
      </c>
      <c r="I8" s="67"/>
      <c r="J8" s="67" t="s">
        <v>2</v>
      </c>
      <c r="K8" s="67" t="s">
        <v>5</v>
      </c>
      <c r="L8" s="67"/>
      <c r="M8" s="67" t="s">
        <v>2</v>
      </c>
      <c r="N8" s="67" t="s">
        <v>5</v>
      </c>
      <c r="O8" s="67" t="s">
        <v>2</v>
      </c>
      <c r="P8" s="67" t="s">
        <v>2</v>
      </c>
      <c r="Q8" s="67" t="s">
        <v>5</v>
      </c>
      <c r="R8" s="67" t="s">
        <v>2</v>
      </c>
      <c r="S8" s="67" t="s">
        <v>5</v>
      </c>
      <c r="V8" s="9"/>
      <c r="W8" s="9"/>
    </row>
    <row r="9" spans="1:23" ht="30" customHeight="1" hidden="1">
      <c r="A9" s="12">
        <v>1</v>
      </c>
      <c r="B9" s="423" t="s">
        <v>33</v>
      </c>
      <c r="C9" s="424"/>
      <c r="D9" s="425"/>
      <c r="E9" s="71"/>
      <c r="F9" s="12">
        <v>22.6</v>
      </c>
      <c r="G9" s="51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60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2">
        <v>2</v>
      </c>
      <c r="B10" s="423" t="s">
        <v>41</v>
      </c>
      <c r="C10" s="424"/>
      <c r="D10" s="425"/>
      <c r="E10" s="71"/>
      <c r="F10" s="12"/>
      <c r="G10" s="51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60" t="s">
        <v>21</v>
      </c>
      <c r="U10" s="10"/>
      <c r="V10" s="8"/>
      <c r="W10" s="9"/>
    </row>
    <row r="11" spans="1:23" ht="33.75" customHeight="1" hidden="1">
      <c r="A11" s="12"/>
      <c r="B11" s="309" t="s">
        <v>34</v>
      </c>
      <c r="C11" s="310"/>
      <c r="D11" s="311"/>
      <c r="E11" s="72"/>
      <c r="F11" s="12">
        <v>968.6</v>
      </c>
      <c r="G11" s="52">
        <v>780</v>
      </c>
      <c r="H11" s="13">
        <f>G11*G36</f>
        <v>2088855.6</v>
      </c>
      <c r="I11" s="13">
        <v>347.1</v>
      </c>
      <c r="J11" s="13">
        <v>150</v>
      </c>
      <c r="K11" s="13">
        <f>J11*G36</f>
        <v>401703</v>
      </c>
      <c r="L11" s="13">
        <v>138.9</v>
      </c>
      <c r="M11" s="13">
        <v>50</v>
      </c>
      <c r="N11" s="13">
        <f>M11*H36</f>
        <v>149473.5</v>
      </c>
      <c r="O11" s="13">
        <v>879.1</v>
      </c>
      <c r="P11" s="13">
        <v>290</v>
      </c>
      <c r="Q11" s="13">
        <f>P11*H36</f>
        <v>866946.2999999999</v>
      </c>
      <c r="R11" s="13">
        <f t="shared" si="0"/>
        <v>1270</v>
      </c>
      <c r="S11" s="13">
        <f t="shared" si="0"/>
        <v>3506978.4</v>
      </c>
      <c r="T11" s="60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2"/>
      <c r="B12" s="309" t="s">
        <v>35</v>
      </c>
      <c r="C12" s="310"/>
      <c r="D12" s="311"/>
      <c r="E12" s="72"/>
      <c r="F12" s="12">
        <v>275.5</v>
      </c>
      <c r="G12" s="52">
        <v>260.8</v>
      </c>
      <c r="H12" s="13">
        <f>G12*G36</f>
        <v>698427.616</v>
      </c>
      <c r="I12" s="13">
        <v>101.3</v>
      </c>
      <c r="J12" s="13">
        <v>82.4</v>
      </c>
      <c r="K12" s="13">
        <f>J12*G36</f>
        <v>220668.84800000003</v>
      </c>
      <c r="L12" s="13">
        <v>40.3</v>
      </c>
      <c r="M12" s="13">
        <v>24.8</v>
      </c>
      <c r="N12" s="13">
        <f>M12*H36</f>
        <v>74138.856</v>
      </c>
      <c r="O12" s="13">
        <v>245.5</v>
      </c>
      <c r="P12" s="13">
        <v>214.4</v>
      </c>
      <c r="Q12" s="13">
        <f>P12*H36</f>
        <v>640942.368</v>
      </c>
      <c r="R12" s="13">
        <f t="shared" si="0"/>
        <v>582.4000000000001</v>
      </c>
      <c r="S12" s="13">
        <f t="shared" si="0"/>
        <v>1634177.688</v>
      </c>
      <c r="T12" s="60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2"/>
      <c r="B13" s="309" t="s">
        <v>36</v>
      </c>
      <c r="C13" s="310"/>
      <c r="D13" s="311"/>
      <c r="E13" s="72"/>
      <c r="F13" s="12">
        <v>1020.1</v>
      </c>
      <c r="G13" s="52">
        <v>993.2</v>
      </c>
      <c r="H13" s="13">
        <f>G13*G36</f>
        <v>2659809.464</v>
      </c>
      <c r="I13" s="13">
        <v>343</v>
      </c>
      <c r="J13" s="13">
        <v>313.8</v>
      </c>
      <c r="K13" s="13">
        <f>J13*G36</f>
        <v>840362.676</v>
      </c>
      <c r="L13" s="13">
        <v>122.2</v>
      </c>
      <c r="M13" s="13">
        <v>95.1</v>
      </c>
      <c r="N13" s="13">
        <f>M13*H36</f>
        <v>284298.59699999995</v>
      </c>
      <c r="O13" s="13">
        <v>920.9</v>
      </c>
      <c r="P13" s="13">
        <v>816.6</v>
      </c>
      <c r="Q13" s="13">
        <f>P13*H36</f>
        <v>2441201.202</v>
      </c>
      <c r="R13" s="13">
        <f t="shared" si="0"/>
        <v>2218.7</v>
      </c>
      <c r="S13" s="13">
        <f t="shared" si="0"/>
        <v>6225671.939</v>
      </c>
      <c r="T13" s="60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309" t="s">
        <v>37</v>
      </c>
      <c r="C14" s="310"/>
      <c r="D14" s="311"/>
      <c r="E14" s="72"/>
      <c r="F14" s="5">
        <v>186.3</v>
      </c>
      <c r="G14" s="52">
        <v>215.9</v>
      </c>
      <c r="H14" s="13">
        <f>G14*G36</f>
        <v>578184.518</v>
      </c>
      <c r="I14" s="13">
        <v>55.3</v>
      </c>
      <c r="J14" s="13">
        <v>74.5</v>
      </c>
      <c r="K14" s="13">
        <f>J14*G36</f>
        <v>199512.49</v>
      </c>
      <c r="L14" s="13">
        <v>2.8</v>
      </c>
      <c r="M14" s="13">
        <v>24.7</v>
      </c>
      <c r="N14" s="13">
        <f>M14*H36</f>
        <v>73839.909</v>
      </c>
      <c r="O14" s="13">
        <v>158.5</v>
      </c>
      <c r="P14" s="13">
        <v>181.1</v>
      </c>
      <c r="Q14" s="13">
        <f>P14*H36</f>
        <v>541393.017</v>
      </c>
      <c r="R14" s="13">
        <f t="shared" si="0"/>
        <v>496.19999999999993</v>
      </c>
      <c r="S14" s="13">
        <f t="shared" si="0"/>
        <v>1392929.934</v>
      </c>
      <c r="T14" s="60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309" t="s">
        <v>38</v>
      </c>
      <c r="C15" s="310"/>
      <c r="D15" s="311"/>
      <c r="E15" s="72"/>
      <c r="F15" s="5">
        <v>619</v>
      </c>
      <c r="G15" s="52">
        <v>550.4</v>
      </c>
      <c r="H15" s="13">
        <f>G15*G36</f>
        <v>1473982.2079999999</v>
      </c>
      <c r="I15" s="13">
        <v>532.4</v>
      </c>
      <c r="J15" s="13">
        <v>193.1</v>
      </c>
      <c r="K15" s="13">
        <f>J15*G36</f>
        <v>517125.66199999995</v>
      </c>
      <c r="L15" s="13">
        <v>142.3</v>
      </c>
      <c r="M15" s="13">
        <v>65</v>
      </c>
      <c r="N15" s="13">
        <f>M15*H36</f>
        <v>194315.55</v>
      </c>
      <c r="O15" s="13">
        <v>646.5</v>
      </c>
      <c r="P15" s="13">
        <v>463.1</v>
      </c>
      <c r="Q15" s="13">
        <f>P15*H36</f>
        <v>1384423.557</v>
      </c>
      <c r="R15" s="13">
        <f t="shared" si="0"/>
        <v>1271.6</v>
      </c>
      <c r="S15" s="13">
        <f t="shared" si="0"/>
        <v>3569846.977</v>
      </c>
      <c r="T15" s="60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309" t="s">
        <v>39</v>
      </c>
      <c r="C16" s="310"/>
      <c r="D16" s="311"/>
      <c r="E16" s="72"/>
      <c r="F16" s="5">
        <v>277.52</v>
      </c>
      <c r="G16" s="52">
        <v>247.4</v>
      </c>
      <c r="H16" s="13">
        <f>G16*G36</f>
        <v>662542.148</v>
      </c>
      <c r="I16" s="13">
        <v>129</v>
      </c>
      <c r="J16" s="13">
        <v>80.4</v>
      </c>
      <c r="K16" s="13">
        <f>J16*G36</f>
        <v>215312.80800000002</v>
      </c>
      <c r="L16" s="13">
        <v>7.2</v>
      </c>
      <c r="M16" s="13">
        <v>24.7</v>
      </c>
      <c r="N16" s="13">
        <f>M16*H36</f>
        <v>73839.909</v>
      </c>
      <c r="O16" s="13">
        <v>182.6</v>
      </c>
      <c r="P16" s="13">
        <v>204.3</v>
      </c>
      <c r="Q16" s="13">
        <f>P16*H36</f>
        <v>610748.721</v>
      </c>
      <c r="R16" s="13">
        <f t="shared" si="0"/>
        <v>556.8</v>
      </c>
      <c r="S16" s="13">
        <f t="shared" si="0"/>
        <v>1562443.5860000001</v>
      </c>
      <c r="T16" s="60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2">
        <v>3</v>
      </c>
      <c r="B17" s="423" t="s">
        <v>42</v>
      </c>
      <c r="C17" s="424"/>
      <c r="D17" s="425"/>
      <c r="E17" s="71"/>
      <c r="F17" s="5"/>
      <c r="G17" s="51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2">
        <v>4</v>
      </c>
      <c r="B18" s="423" t="s">
        <v>43</v>
      </c>
      <c r="C18" s="424"/>
      <c r="D18" s="425"/>
      <c r="E18" s="71"/>
      <c r="F18" s="5"/>
      <c r="G18" s="51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309" t="s">
        <v>44</v>
      </c>
      <c r="C19" s="310"/>
      <c r="D19" s="311"/>
      <c r="E19" s="72"/>
      <c r="F19" s="5"/>
      <c r="G19" s="52">
        <v>23.3</v>
      </c>
      <c r="H19" s="13">
        <f>G19*G36</f>
        <v>62397.866</v>
      </c>
      <c r="I19" s="13"/>
      <c r="J19" s="13">
        <v>7.5</v>
      </c>
      <c r="K19" s="13">
        <f>J19*G36</f>
        <v>20085.15</v>
      </c>
      <c r="L19" s="13"/>
      <c r="M19" s="13">
        <v>2.4</v>
      </c>
      <c r="N19" s="13">
        <f>M19*H36</f>
        <v>7174.727999999999</v>
      </c>
      <c r="O19" s="13"/>
      <c r="P19" s="13">
        <v>19.3</v>
      </c>
      <c r="Q19" s="13">
        <f>P19*H36</f>
        <v>57696.771</v>
      </c>
      <c r="R19" s="13">
        <f aca="true" t="shared" si="3" ref="R19:S21">G19+J19+M19+P19</f>
        <v>52.5</v>
      </c>
      <c r="S19" s="13">
        <f t="shared" si="3"/>
        <v>147354.515</v>
      </c>
      <c r="U19" s="8"/>
      <c r="V19" s="8"/>
      <c r="W19" s="9"/>
    </row>
    <row r="20" spans="1:23" ht="25.5" customHeight="1" hidden="1">
      <c r="A20" s="5"/>
      <c r="B20" s="309" t="s">
        <v>45</v>
      </c>
      <c r="C20" s="310"/>
      <c r="D20" s="311"/>
      <c r="E20" s="72"/>
      <c r="F20" s="5"/>
      <c r="G20" s="52">
        <v>2.4</v>
      </c>
      <c r="H20" s="13">
        <f>G20*G36</f>
        <v>6427.248</v>
      </c>
      <c r="I20" s="13"/>
      <c r="J20" s="13">
        <v>0.8</v>
      </c>
      <c r="K20" s="13">
        <f>J20*G36</f>
        <v>2142.416</v>
      </c>
      <c r="L20" s="13"/>
      <c r="M20" s="13">
        <v>0.2</v>
      </c>
      <c r="N20" s="13">
        <f>M20*H36</f>
        <v>597.894</v>
      </c>
      <c r="O20" s="13"/>
      <c r="P20" s="13">
        <v>2</v>
      </c>
      <c r="Q20" s="13">
        <f>P20*H36</f>
        <v>5978.94</v>
      </c>
      <c r="R20" s="13">
        <f t="shared" si="3"/>
        <v>5.4</v>
      </c>
      <c r="S20" s="13">
        <f t="shared" si="3"/>
        <v>15146.498</v>
      </c>
      <c r="U20" s="8"/>
      <c r="V20" s="8"/>
      <c r="W20" s="9"/>
    </row>
    <row r="21" spans="1:23" ht="26.25" customHeight="1" hidden="1">
      <c r="A21" s="5"/>
      <c r="B21" s="309" t="s">
        <v>46</v>
      </c>
      <c r="C21" s="310"/>
      <c r="D21" s="311"/>
      <c r="E21" s="72"/>
      <c r="F21" s="5"/>
      <c r="G21" s="52">
        <v>14.7</v>
      </c>
      <c r="H21" s="13">
        <f>G21*G36</f>
        <v>39366.894</v>
      </c>
      <c r="I21" s="13"/>
      <c r="J21" s="13">
        <v>4.9</v>
      </c>
      <c r="K21" s="13">
        <f>J21*G36</f>
        <v>13122.298</v>
      </c>
      <c r="L21" s="13"/>
      <c r="M21" s="13">
        <v>1.6</v>
      </c>
      <c r="N21" s="13">
        <f>M21*H36</f>
        <v>4783.152</v>
      </c>
      <c r="O21" s="13"/>
      <c r="P21" s="13">
        <v>12.2</v>
      </c>
      <c r="Q21" s="13">
        <f>P21*H36</f>
        <v>36471.53399999999</v>
      </c>
      <c r="R21" s="13">
        <f t="shared" si="3"/>
        <v>33.400000000000006</v>
      </c>
      <c r="S21" s="13">
        <f t="shared" si="3"/>
        <v>93743.878</v>
      </c>
      <c r="U21" s="8"/>
      <c r="V21" s="8"/>
      <c r="W21" s="9"/>
    </row>
    <row r="22" spans="1:23" ht="29.25" customHeight="1" hidden="1">
      <c r="A22" s="12">
        <v>5</v>
      </c>
      <c r="B22" s="423" t="s">
        <v>47</v>
      </c>
      <c r="C22" s="424"/>
      <c r="D22" s="425"/>
      <c r="E22" s="71"/>
      <c r="F22" s="5"/>
      <c r="G22" s="51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309" t="s">
        <v>48</v>
      </c>
      <c r="C23" s="310"/>
      <c r="D23" s="311"/>
      <c r="E23" s="72"/>
      <c r="F23" s="5"/>
      <c r="G23" s="52">
        <v>19.7</v>
      </c>
      <c r="H23" s="13">
        <f>G23*G36</f>
        <v>52756.994</v>
      </c>
      <c r="I23" s="13"/>
      <c r="J23" s="13">
        <v>6.7</v>
      </c>
      <c r="K23" s="13">
        <f>J23*G36</f>
        <v>17942.734</v>
      </c>
      <c r="L23" s="13"/>
      <c r="M23" s="13">
        <v>2.3</v>
      </c>
      <c r="N23" s="13">
        <f>M23*H36</f>
        <v>6875.780999999999</v>
      </c>
      <c r="O23" s="13"/>
      <c r="P23" s="13">
        <v>17.2</v>
      </c>
      <c r="Q23" s="13">
        <f>P23*H36</f>
        <v>51418.88399999999</v>
      </c>
      <c r="R23" s="13">
        <f aca="true" t="shared" si="4" ref="R23:S28">G23+J23+M23+P23</f>
        <v>45.9</v>
      </c>
      <c r="S23" s="13">
        <f t="shared" si="4"/>
        <v>128994.393</v>
      </c>
      <c r="U23" s="8"/>
      <c r="V23" s="8"/>
      <c r="W23" s="9"/>
    </row>
    <row r="24" spans="1:23" ht="28.5" customHeight="1" hidden="1">
      <c r="A24" s="5"/>
      <c r="B24" s="309" t="s">
        <v>49</v>
      </c>
      <c r="C24" s="310"/>
      <c r="D24" s="311"/>
      <c r="E24" s="72"/>
      <c r="F24" s="5"/>
      <c r="G24" s="52">
        <v>317.5</v>
      </c>
      <c r="H24" s="13">
        <f>G24*G36</f>
        <v>850271.35</v>
      </c>
      <c r="I24" s="13"/>
      <c r="J24" s="13">
        <v>111.7</v>
      </c>
      <c r="K24" s="13">
        <f>J24*G36</f>
        <v>299134.83400000003</v>
      </c>
      <c r="L24" s="13"/>
      <c r="M24" s="13">
        <v>5.7</v>
      </c>
      <c r="N24" s="13">
        <f>M24*H36</f>
        <v>17039.979</v>
      </c>
      <c r="O24" s="13"/>
      <c r="P24" s="13">
        <v>205.7</v>
      </c>
      <c r="Q24" s="13">
        <f>P24*H36</f>
        <v>614933.9789999999</v>
      </c>
      <c r="R24" s="13">
        <f t="shared" si="4"/>
        <v>640.5999999999999</v>
      </c>
      <c r="S24" s="13">
        <f t="shared" si="4"/>
        <v>1781380.142</v>
      </c>
      <c r="U24" s="8"/>
      <c r="V24" s="8"/>
      <c r="W24" s="9"/>
    </row>
    <row r="25" spans="1:23" ht="32.25" customHeight="1" hidden="1">
      <c r="A25" s="5"/>
      <c r="B25" s="309" t="s">
        <v>50</v>
      </c>
      <c r="C25" s="310"/>
      <c r="D25" s="311"/>
      <c r="E25" s="72"/>
      <c r="F25" s="5"/>
      <c r="G25" s="52">
        <v>88.5</v>
      </c>
      <c r="H25" s="13">
        <f>G25*G36</f>
        <v>237004.77</v>
      </c>
      <c r="I25" s="13"/>
      <c r="J25" s="13">
        <v>28.3</v>
      </c>
      <c r="K25" s="13">
        <f>J25*G36</f>
        <v>75787.966</v>
      </c>
      <c r="L25" s="13"/>
      <c r="M25" s="13">
        <v>4.8</v>
      </c>
      <c r="N25" s="13">
        <f>M25*H36</f>
        <v>14349.455999999998</v>
      </c>
      <c r="O25" s="13"/>
      <c r="P25" s="13">
        <v>76.4</v>
      </c>
      <c r="Q25" s="13">
        <f>P25*H36</f>
        <v>228395.508</v>
      </c>
      <c r="R25" s="13">
        <f t="shared" si="4"/>
        <v>198</v>
      </c>
      <c r="S25" s="13">
        <f t="shared" si="4"/>
        <v>555537.7</v>
      </c>
      <c r="U25" s="8"/>
      <c r="V25" s="8"/>
      <c r="W25" s="9"/>
    </row>
    <row r="26" spans="1:23" ht="28.5" customHeight="1" hidden="1">
      <c r="A26" s="5"/>
      <c r="B26" s="309" t="s">
        <v>40</v>
      </c>
      <c r="C26" s="310"/>
      <c r="D26" s="311"/>
      <c r="E26" s="72"/>
      <c r="F26" s="5">
        <v>112.1</v>
      </c>
      <c r="G26" s="52">
        <v>70.8</v>
      </c>
      <c r="H26" s="13">
        <f>G26*G36</f>
        <v>189603.816</v>
      </c>
      <c r="I26" s="13"/>
      <c r="J26" s="13">
        <v>33.6</v>
      </c>
      <c r="K26" s="13">
        <f>J26*G36</f>
        <v>89981.47200000001</v>
      </c>
      <c r="L26" s="13"/>
      <c r="M26" s="13">
        <v>6.8</v>
      </c>
      <c r="N26" s="13">
        <f>M26*H36</f>
        <v>20328.395999999997</v>
      </c>
      <c r="O26" s="13"/>
      <c r="P26" s="13">
        <v>40.5</v>
      </c>
      <c r="Q26" s="13">
        <f>P26*H36</f>
        <v>121073.53499999999</v>
      </c>
      <c r="R26" s="13">
        <f t="shared" si="4"/>
        <v>151.7</v>
      </c>
      <c r="S26" s="13">
        <f t="shared" si="4"/>
        <v>420987.219</v>
      </c>
      <c r="T26" s="60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309" t="s">
        <v>51</v>
      </c>
      <c r="C27" s="310"/>
      <c r="D27" s="311"/>
      <c r="E27" s="72"/>
      <c r="F27" s="5">
        <v>87.8</v>
      </c>
      <c r="G27" s="52">
        <v>30.2</v>
      </c>
      <c r="H27" s="13">
        <f>G27*G36</f>
        <v>80876.204</v>
      </c>
      <c r="I27" s="13"/>
      <c r="J27" s="13">
        <v>9.6</v>
      </c>
      <c r="K27" s="13">
        <f>J27*G36</f>
        <v>25708.992</v>
      </c>
      <c r="L27" s="13"/>
      <c r="M27" s="13">
        <v>3.1</v>
      </c>
      <c r="N27" s="13">
        <f>M27*H36</f>
        <v>9267.357</v>
      </c>
      <c r="O27" s="13"/>
      <c r="P27" s="13">
        <v>25.9</v>
      </c>
      <c r="Q27" s="13">
        <f>P27*H36</f>
        <v>77427.27299999999</v>
      </c>
      <c r="R27" s="13">
        <f t="shared" si="4"/>
        <v>68.8</v>
      </c>
      <c r="S27" s="13">
        <f t="shared" si="4"/>
        <v>193279.826</v>
      </c>
      <c r="T27" s="60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309" t="s">
        <v>52</v>
      </c>
      <c r="C28" s="310"/>
      <c r="D28" s="311"/>
      <c r="E28" s="72"/>
      <c r="F28" s="5">
        <v>331.5</v>
      </c>
      <c r="G28" s="52">
        <v>63</v>
      </c>
      <c r="H28" s="13">
        <f>G28*G36</f>
        <v>168715.26</v>
      </c>
      <c r="I28" s="13"/>
      <c r="J28" s="13">
        <v>27</v>
      </c>
      <c r="K28" s="13">
        <f>J28*G36</f>
        <v>72306.54</v>
      </c>
      <c r="L28" s="13"/>
      <c r="M28" s="13">
        <v>2.1</v>
      </c>
      <c r="N28" s="13">
        <f>M28*H36</f>
        <v>6277.887</v>
      </c>
      <c r="O28" s="13"/>
      <c r="P28" s="13">
        <v>42.2</v>
      </c>
      <c r="Q28" s="13">
        <f>P28*H36</f>
        <v>126155.634</v>
      </c>
      <c r="R28" s="13">
        <f t="shared" si="4"/>
        <v>134.3</v>
      </c>
      <c r="S28" s="13">
        <f t="shared" si="4"/>
        <v>373455.321</v>
      </c>
      <c r="T28" s="60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2">
        <v>6</v>
      </c>
      <c r="B29" s="423" t="s">
        <v>53</v>
      </c>
      <c r="C29" s="424"/>
      <c r="D29" s="425"/>
      <c r="E29" s="71"/>
      <c r="F29" s="5"/>
      <c r="G29" s="51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309" t="s">
        <v>54</v>
      </c>
      <c r="C30" s="310"/>
      <c r="D30" s="311"/>
      <c r="E30" s="72"/>
      <c r="F30" s="5"/>
      <c r="G30" s="52">
        <v>87.6</v>
      </c>
      <c r="H30" s="13">
        <f>G30*G36</f>
        <v>234594.552</v>
      </c>
      <c r="I30" s="13"/>
      <c r="J30" s="13">
        <v>30.2</v>
      </c>
      <c r="K30" s="13">
        <f>J30*G36</f>
        <v>80876.204</v>
      </c>
      <c r="L30" s="13"/>
      <c r="M30" s="13">
        <v>10.1</v>
      </c>
      <c r="N30" s="13">
        <f>M30*H36</f>
        <v>30193.646999999997</v>
      </c>
      <c r="O30" s="13"/>
      <c r="P30" s="13">
        <v>73.6</v>
      </c>
      <c r="Q30" s="13">
        <f>P30*H36</f>
        <v>220024.99199999997</v>
      </c>
      <c r="R30" s="13">
        <f aca="true" t="shared" si="5" ref="R30:S32">G30+J30+M30+P30</f>
        <v>201.5</v>
      </c>
      <c r="S30" s="13">
        <f t="shared" si="5"/>
        <v>565689.395</v>
      </c>
      <c r="U30" s="8"/>
      <c r="V30" s="8"/>
      <c r="W30" s="9"/>
    </row>
    <row r="31" spans="1:23" ht="27" customHeight="1" hidden="1">
      <c r="A31" s="5"/>
      <c r="B31" s="309" t="s">
        <v>55</v>
      </c>
      <c r="C31" s="310"/>
      <c r="D31" s="311"/>
      <c r="E31" s="72"/>
      <c r="F31" s="5"/>
      <c r="G31" s="52">
        <v>137.2</v>
      </c>
      <c r="H31" s="13">
        <f>G31*G36</f>
        <v>367424.344</v>
      </c>
      <c r="I31" s="13"/>
      <c r="J31" s="13">
        <v>43.4</v>
      </c>
      <c r="K31" s="13">
        <f>J31*G36</f>
        <v>116226.068</v>
      </c>
      <c r="L31" s="13"/>
      <c r="M31" s="13">
        <v>13.1</v>
      </c>
      <c r="N31" s="13">
        <f>M31*H36</f>
        <v>39162.05699999999</v>
      </c>
      <c r="O31" s="13"/>
      <c r="P31" s="13">
        <v>112.8</v>
      </c>
      <c r="Q31" s="13">
        <f>P31*H36</f>
        <v>337212.21599999996</v>
      </c>
      <c r="R31" s="13">
        <f t="shared" si="5"/>
        <v>306.5</v>
      </c>
      <c r="S31" s="13">
        <f t="shared" si="5"/>
        <v>860024.6849999999</v>
      </c>
      <c r="U31" s="8"/>
      <c r="V31" s="8"/>
      <c r="W31" s="9"/>
    </row>
    <row r="32" spans="1:23" ht="27" customHeight="1" hidden="1">
      <c r="A32" s="12">
        <v>7</v>
      </c>
      <c r="B32" s="423" t="s">
        <v>56</v>
      </c>
      <c r="C32" s="424"/>
      <c r="D32" s="425"/>
      <c r="E32" s="71"/>
      <c r="F32" s="5"/>
      <c r="G32" s="51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432" t="s">
        <v>19</v>
      </c>
      <c r="C33" s="433"/>
      <c r="D33" s="434"/>
      <c r="E33" s="73"/>
      <c r="F33" s="12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62"/>
      <c r="U33" s="16"/>
      <c r="V33" s="9"/>
      <c r="W33" s="9"/>
    </row>
    <row r="34" spans="1:23" ht="25.5" customHeight="1" hidden="1">
      <c r="A34" s="53"/>
      <c r="B34" s="435" t="s">
        <v>8</v>
      </c>
      <c r="C34" s="436"/>
      <c r="D34" s="437"/>
      <c r="E34" s="74"/>
      <c r="F34" s="301" t="s">
        <v>65</v>
      </c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3"/>
      <c r="U34" s="9"/>
      <c r="V34" s="9"/>
      <c r="W34" s="9"/>
    </row>
    <row r="35" spans="1:23" ht="15.75" customHeight="1" hidden="1">
      <c r="A35" s="17"/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U35" s="9"/>
      <c r="V35" s="9"/>
      <c r="W35" s="9"/>
    </row>
    <row r="36" spans="1:23" ht="28.5" customHeight="1" hidden="1">
      <c r="A36" s="20"/>
      <c r="B36" s="21"/>
      <c r="C36" s="21"/>
      <c r="D36" s="22"/>
      <c r="E36" s="22"/>
      <c r="F36" s="23" t="s">
        <v>11</v>
      </c>
      <c r="G36" s="1">
        <v>2678.02</v>
      </c>
      <c r="H36" s="2">
        <v>2989.47</v>
      </c>
      <c r="I36" s="23" t="s">
        <v>16</v>
      </c>
      <c r="J36" s="23"/>
      <c r="K36" s="23"/>
      <c r="L36" s="23"/>
      <c r="M36" s="23"/>
      <c r="N36" s="21"/>
      <c r="O36" s="24"/>
      <c r="P36" s="24"/>
      <c r="Q36" s="24"/>
      <c r="R36" s="24"/>
      <c r="S36" s="24"/>
      <c r="U36" s="9"/>
      <c r="V36" s="9"/>
      <c r="W36" s="9"/>
    </row>
    <row r="37" spans="1:23" ht="20.25" customHeight="1" hidden="1">
      <c r="A37" s="274" t="s">
        <v>68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U37" s="9"/>
      <c r="V37" s="9"/>
      <c r="W37" s="9"/>
    </row>
    <row r="38" spans="1:23" ht="19.5" customHeight="1" hidden="1">
      <c r="A38" s="285" t="s">
        <v>15</v>
      </c>
      <c r="B38" s="286" t="s">
        <v>0</v>
      </c>
      <c r="C38" s="287"/>
      <c r="D38" s="288"/>
      <c r="E38" s="65"/>
      <c r="F38" s="295" t="s">
        <v>1</v>
      </c>
      <c r="G38" s="295"/>
      <c r="H38" s="295"/>
      <c r="I38" s="295" t="s">
        <v>3</v>
      </c>
      <c r="J38" s="295"/>
      <c r="K38" s="295"/>
      <c r="L38" s="295" t="s">
        <v>4</v>
      </c>
      <c r="M38" s="295"/>
      <c r="N38" s="295"/>
      <c r="O38" s="295" t="s">
        <v>6</v>
      </c>
      <c r="P38" s="295"/>
      <c r="Q38" s="295"/>
      <c r="R38" s="295" t="s">
        <v>7</v>
      </c>
      <c r="S38" s="295"/>
      <c r="U38" s="9"/>
      <c r="V38" s="9"/>
      <c r="W38" s="9"/>
    </row>
    <row r="39" spans="1:23" ht="30" customHeight="1" hidden="1">
      <c r="A39" s="285"/>
      <c r="B39" s="289"/>
      <c r="C39" s="290"/>
      <c r="D39" s="291"/>
      <c r="E39" s="66"/>
      <c r="F39" s="68"/>
      <c r="G39" s="68" t="s">
        <v>9</v>
      </c>
      <c r="H39" s="68" t="s">
        <v>5</v>
      </c>
      <c r="I39" s="68" t="s">
        <v>9</v>
      </c>
      <c r="J39" s="68" t="s">
        <v>9</v>
      </c>
      <c r="K39" s="68" t="s">
        <v>5</v>
      </c>
      <c r="L39" s="68" t="s">
        <v>9</v>
      </c>
      <c r="M39" s="68" t="s">
        <v>9</v>
      </c>
      <c r="N39" s="68" t="s">
        <v>5</v>
      </c>
      <c r="O39" s="68" t="s">
        <v>9</v>
      </c>
      <c r="P39" s="68" t="s">
        <v>9</v>
      </c>
      <c r="Q39" s="68" t="s">
        <v>5</v>
      </c>
      <c r="R39" s="68" t="s">
        <v>9</v>
      </c>
      <c r="S39" s="68" t="s">
        <v>5</v>
      </c>
      <c r="U39" s="9"/>
      <c r="V39" s="9"/>
      <c r="W39" s="9"/>
    </row>
    <row r="40" spans="1:23" ht="30" customHeight="1" hidden="1">
      <c r="A40" s="26">
        <v>1</v>
      </c>
      <c r="B40" s="426" t="s">
        <v>33</v>
      </c>
      <c r="C40" s="427"/>
      <c r="D40" s="428"/>
      <c r="E40" s="75"/>
      <c r="F40" s="26">
        <v>1800</v>
      </c>
      <c r="G40" s="27">
        <v>1750</v>
      </c>
      <c r="H40" s="27">
        <f>G40*G65</f>
        <v>8792.7</v>
      </c>
      <c r="I40" s="27">
        <v>1200</v>
      </c>
      <c r="J40" s="27">
        <v>1750</v>
      </c>
      <c r="K40" s="27">
        <f>J40*G65</f>
        <v>8792.7</v>
      </c>
      <c r="L40" s="27">
        <v>1500</v>
      </c>
      <c r="M40" s="27">
        <v>1750</v>
      </c>
      <c r="N40" s="27">
        <f>M40*H65</f>
        <v>9759.75</v>
      </c>
      <c r="O40" s="27">
        <v>1500</v>
      </c>
      <c r="P40" s="27">
        <v>1751.1</v>
      </c>
      <c r="Q40" s="27">
        <f>P40*H65</f>
        <v>9765.884699999999</v>
      </c>
      <c r="R40" s="27">
        <f>G40+J40+M40+P40</f>
        <v>7001.1</v>
      </c>
      <c r="S40" s="27">
        <f>H40+K40+N40+Q40</f>
        <v>37111.034700000004</v>
      </c>
      <c r="T40" s="60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2">
        <v>2</v>
      </c>
      <c r="B41" s="423" t="s">
        <v>41</v>
      </c>
      <c r="C41" s="424"/>
      <c r="D41" s="425"/>
      <c r="E41" s="71"/>
      <c r="F41" s="26"/>
      <c r="G41" s="27">
        <f>G42+G43+G44+G45+G46+G47</f>
        <v>181078</v>
      </c>
      <c r="H41" s="27">
        <f>H42+H43+H44+H45+H46+H47</f>
        <v>909808.3032000001</v>
      </c>
      <c r="I41" s="27"/>
      <c r="J41" s="27">
        <f>J42+J43+J44+J45+J46+J47</f>
        <v>182881</v>
      </c>
      <c r="K41" s="27">
        <f>K42+K43+K44+K45+K46+K47</f>
        <v>918867.2964000001</v>
      </c>
      <c r="L41" s="27"/>
      <c r="M41" s="27">
        <f>M42+M43+M44+M45+M46+M47</f>
        <v>167091</v>
      </c>
      <c r="N41" s="27">
        <f>N42+N43+N44+N45+N46+N47</f>
        <v>931866.507</v>
      </c>
      <c r="O41" s="27"/>
      <c r="P41" s="27">
        <f>P42+P43+P44+P45+P46+P47</f>
        <v>250747</v>
      </c>
      <c r="Q41" s="27">
        <f>Q42+Q43+Q44+Q45+Q46+Q47</f>
        <v>1398416.019</v>
      </c>
      <c r="R41" s="27">
        <f>R42+R43+R44+R45+R46+R47</f>
        <v>781797</v>
      </c>
      <c r="S41" s="27">
        <f>S42+S43+S44+S45+S46+S47</f>
        <v>4158958.1255999994</v>
      </c>
      <c r="U41" s="9"/>
      <c r="V41" s="8"/>
      <c r="W41" s="9"/>
    </row>
    <row r="42" spans="1:23" ht="33" customHeight="1" hidden="1">
      <c r="A42" s="12"/>
      <c r="B42" s="309" t="s">
        <v>34</v>
      </c>
      <c r="C42" s="310"/>
      <c r="D42" s="311"/>
      <c r="E42" s="72"/>
      <c r="F42" s="12">
        <v>53000</v>
      </c>
      <c r="G42" s="13">
        <v>40000</v>
      </c>
      <c r="H42" s="13">
        <f>G42*G65</f>
        <v>200976</v>
      </c>
      <c r="I42" s="13">
        <v>36000</v>
      </c>
      <c r="J42" s="13">
        <v>43500</v>
      </c>
      <c r="K42" s="13">
        <f>J42*G65</f>
        <v>218561.4</v>
      </c>
      <c r="L42" s="13">
        <v>24000</v>
      </c>
      <c r="M42" s="13">
        <v>25200</v>
      </c>
      <c r="N42" s="13">
        <f>M42*H65</f>
        <v>140540.4</v>
      </c>
      <c r="O42" s="13">
        <v>50000</v>
      </c>
      <c r="P42" s="13">
        <v>64000</v>
      </c>
      <c r="Q42" s="13">
        <f>P42*H65</f>
        <v>356928</v>
      </c>
      <c r="R42" s="13">
        <f aca="true" t="shared" si="7" ref="R42:S48">G42+J42+M42+P42</f>
        <v>172700</v>
      </c>
      <c r="S42" s="13">
        <f t="shared" si="7"/>
        <v>917005.8</v>
      </c>
      <c r="T42" s="60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6"/>
      <c r="B43" s="429" t="s">
        <v>57</v>
      </c>
      <c r="C43" s="430"/>
      <c r="D43" s="431"/>
      <c r="E43" s="76"/>
      <c r="F43" s="26">
        <v>27000</v>
      </c>
      <c r="G43" s="29">
        <v>23250</v>
      </c>
      <c r="H43" s="29">
        <f>G43*G65</f>
        <v>116817.3</v>
      </c>
      <c r="I43" s="29">
        <v>17000</v>
      </c>
      <c r="J43" s="29">
        <v>17820</v>
      </c>
      <c r="K43" s="29">
        <f>J43*G65</f>
        <v>89534.808</v>
      </c>
      <c r="L43" s="29">
        <v>19000</v>
      </c>
      <c r="M43" s="29">
        <v>18549</v>
      </c>
      <c r="N43" s="29">
        <f>M43*H65</f>
        <v>103447.773</v>
      </c>
      <c r="O43" s="29">
        <v>41000</v>
      </c>
      <c r="P43" s="29">
        <v>35010</v>
      </c>
      <c r="Q43" s="29">
        <f>P43*H65</f>
        <v>195250.77</v>
      </c>
      <c r="R43" s="29">
        <f t="shared" si="7"/>
        <v>94629</v>
      </c>
      <c r="S43" s="29">
        <f t="shared" si="7"/>
        <v>505050.65099999995</v>
      </c>
      <c r="T43" s="60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2"/>
      <c r="B44" s="309" t="s">
        <v>36</v>
      </c>
      <c r="C44" s="310"/>
      <c r="D44" s="311"/>
      <c r="E44" s="72"/>
      <c r="F44" s="12">
        <v>70000</v>
      </c>
      <c r="G44" s="13">
        <v>29500</v>
      </c>
      <c r="H44" s="13">
        <f>G44*G65</f>
        <v>148219.8</v>
      </c>
      <c r="I44" s="13">
        <v>55000</v>
      </c>
      <c r="J44" s="13">
        <v>46750</v>
      </c>
      <c r="K44" s="13">
        <f>J44*G65</f>
        <v>234890.7</v>
      </c>
      <c r="L44" s="13">
        <v>45000</v>
      </c>
      <c r="M44" s="13">
        <v>38250</v>
      </c>
      <c r="N44" s="13">
        <f>M44*H65</f>
        <v>213320.25</v>
      </c>
      <c r="O44" s="13">
        <v>70000</v>
      </c>
      <c r="P44" s="13">
        <v>39500</v>
      </c>
      <c r="Q44" s="13">
        <f>P44*H65</f>
        <v>220291.5</v>
      </c>
      <c r="R44" s="13">
        <f t="shared" si="7"/>
        <v>154000</v>
      </c>
      <c r="S44" s="13">
        <f t="shared" si="7"/>
        <v>816722.25</v>
      </c>
      <c r="T44" s="60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382" t="s">
        <v>37</v>
      </c>
      <c r="C45" s="382"/>
      <c r="D45" s="382"/>
      <c r="E45" s="77"/>
      <c r="F45" s="5">
        <v>17000</v>
      </c>
      <c r="G45" s="13">
        <v>49478</v>
      </c>
      <c r="H45" s="13">
        <f>G45*G65</f>
        <v>248597.2632</v>
      </c>
      <c r="I45" s="13">
        <v>14000</v>
      </c>
      <c r="J45" s="13">
        <v>40561</v>
      </c>
      <c r="K45" s="13">
        <f>J45*G65</f>
        <v>203794.68839999998</v>
      </c>
      <c r="L45" s="13">
        <v>13000</v>
      </c>
      <c r="M45" s="13">
        <v>34292</v>
      </c>
      <c r="N45" s="13">
        <f>M45*H65</f>
        <v>191246.484</v>
      </c>
      <c r="O45" s="13">
        <v>24000</v>
      </c>
      <c r="P45" s="13">
        <v>62737</v>
      </c>
      <c r="Q45" s="13">
        <f>P45*H65</f>
        <v>349884.249</v>
      </c>
      <c r="R45" s="13">
        <f t="shared" si="7"/>
        <v>187068</v>
      </c>
      <c r="S45" s="13">
        <f t="shared" si="7"/>
        <v>993522.6846</v>
      </c>
      <c r="T45" s="60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382" t="s">
        <v>38</v>
      </c>
      <c r="C46" s="382"/>
      <c r="D46" s="382"/>
      <c r="E46" s="77"/>
      <c r="F46" s="5">
        <v>31000</v>
      </c>
      <c r="G46" s="13">
        <v>29350</v>
      </c>
      <c r="H46" s="13">
        <f>G46*G65</f>
        <v>147466.13999999998</v>
      </c>
      <c r="I46" s="13">
        <v>27000</v>
      </c>
      <c r="J46" s="13">
        <v>25950</v>
      </c>
      <c r="K46" s="13">
        <f>J46*G65</f>
        <v>130383.18</v>
      </c>
      <c r="L46" s="13">
        <v>58000</v>
      </c>
      <c r="M46" s="13">
        <v>43300</v>
      </c>
      <c r="N46" s="13">
        <f>M46*H65</f>
        <v>241484.1</v>
      </c>
      <c r="O46" s="13">
        <v>44000</v>
      </c>
      <c r="P46" s="13">
        <v>37400</v>
      </c>
      <c r="Q46" s="13">
        <f>P46*H65</f>
        <v>208579.8</v>
      </c>
      <c r="R46" s="13">
        <f t="shared" si="7"/>
        <v>136000</v>
      </c>
      <c r="S46" s="13">
        <f t="shared" si="7"/>
        <v>727913.22</v>
      </c>
      <c r="T46" s="60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382" t="s">
        <v>39</v>
      </c>
      <c r="C47" s="382"/>
      <c r="D47" s="382"/>
      <c r="E47" s="77"/>
      <c r="F47" s="5">
        <v>8000</v>
      </c>
      <c r="G47" s="13">
        <v>9500</v>
      </c>
      <c r="H47" s="13">
        <f>G47*G65</f>
        <v>47731.8</v>
      </c>
      <c r="I47" s="13">
        <v>12000</v>
      </c>
      <c r="J47" s="13">
        <v>8300</v>
      </c>
      <c r="K47" s="13">
        <f>J47*G65</f>
        <v>41702.52</v>
      </c>
      <c r="L47" s="13">
        <v>9000</v>
      </c>
      <c r="M47" s="13">
        <v>7500</v>
      </c>
      <c r="N47" s="13">
        <f>M47*H65</f>
        <v>41827.5</v>
      </c>
      <c r="O47" s="13">
        <v>15000</v>
      </c>
      <c r="P47" s="13">
        <v>12100</v>
      </c>
      <c r="Q47" s="13">
        <f>P47*H65</f>
        <v>67481.7</v>
      </c>
      <c r="R47" s="13">
        <f t="shared" si="7"/>
        <v>37400</v>
      </c>
      <c r="S47" s="13">
        <f t="shared" si="7"/>
        <v>198743.52000000002</v>
      </c>
      <c r="T47" s="60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2">
        <v>3</v>
      </c>
      <c r="B48" s="423" t="s">
        <v>42</v>
      </c>
      <c r="C48" s="424"/>
      <c r="D48" s="425"/>
      <c r="E48" s="71"/>
      <c r="F48" s="12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60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2">
        <v>4</v>
      </c>
      <c r="B49" s="423" t="s">
        <v>43</v>
      </c>
      <c r="C49" s="424"/>
      <c r="D49" s="425"/>
      <c r="E49" s="71"/>
      <c r="F49" s="12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60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309" t="s">
        <v>44</v>
      </c>
      <c r="C50" s="310"/>
      <c r="D50" s="311"/>
      <c r="E50" s="72"/>
      <c r="F50" s="5"/>
      <c r="G50" s="13">
        <v>5264</v>
      </c>
      <c r="H50" s="13">
        <f>G50*G65</f>
        <v>26448.4416</v>
      </c>
      <c r="I50" s="13"/>
      <c r="J50" s="13">
        <v>3510</v>
      </c>
      <c r="K50" s="13">
        <f>J50*G65</f>
        <v>17635.644</v>
      </c>
      <c r="L50" s="13"/>
      <c r="M50" s="13">
        <v>3510</v>
      </c>
      <c r="N50" s="13">
        <f>M50*H65</f>
        <v>19575.27</v>
      </c>
      <c r="O50" s="13"/>
      <c r="P50" s="13">
        <v>5264</v>
      </c>
      <c r="Q50" s="13">
        <f>P50*H65</f>
        <v>29357.328</v>
      </c>
      <c r="R50" s="13">
        <f aca="true" t="shared" si="11" ref="R50:S52">G50+J50+M50+P50</f>
        <v>17548</v>
      </c>
      <c r="S50" s="13">
        <f t="shared" si="11"/>
        <v>93016.68359999999</v>
      </c>
      <c r="U50" s="9"/>
      <c r="V50" s="8"/>
      <c r="W50" s="9"/>
    </row>
    <row r="51" spans="1:23" ht="27" customHeight="1" hidden="1">
      <c r="A51" s="5"/>
      <c r="B51" s="309" t="s">
        <v>58</v>
      </c>
      <c r="C51" s="310"/>
      <c r="D51" s="311"/>
      <c r="E51" s="72"/>
      <c r="F51" s="5">
        <v>29400</v>
      </c>
      <c r="G51" s="13">
        <v>23198</v>
      </c>
      <c r="H51" s="13">
        <f>G51*G65</f>
        <v>116556.0312</v>
      </c>
      <c r="I51" s="13"/>
      <c r="J51" s="13">
        <v>15465</v>
      </c>
      <c r="K51" s="13">
        <f>J51*G65</f>
        <v>77702.346</v>
      </c>
      <c r="L51" s="13"/>
      <c r="M51" s="13">
        <v>15465</v>
      </c>
      <c r="N51" s="13">
        <f>M51*H65</f>
        <v>86248.305</v>
      </c>
      <c r="O51" s="13"/>
      <c r="P51" s="13">
        <v>23198</v>
      </c>
      <c r="Q51" s="13">
        <f>P51*H65</f>
        <v>129375.246</v>
      </c>
      <c r="R51" s="13">
        <f t="shared" si="11"/>
        <v>77326</v>
      </c>
      <c r="S51" s="13">
        <f t="shared" si="11"/>
        <v>409881.92819999997</v>
      </c>
      <c r="T51" s="60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309" t="s">
        <v>59</v>
      </c>
      <c r="C52" s="310"/>
      <c r="D52" s="311"/>
      <c r="E52" s="72"/>
      <c r="F52" s="5"/>
      <c r="G52" s="13">
        <v>5237</v>
      </c>
      <c r="H52" s="13">
        <f>G52*G65</f>
        <v>26312.7828</v>
      </c>
      <c r="I52" s="13"/>
      <c r="J52" s="13">
        <v>3491</v>
      </c>
      <c r="K52" s="13">
        <f>J52*G65</f>
        <v>17540.1804</v>
      </c>
      <c r="L52" s="13"/>
      <c r="M52" s="13">
        <v>3491</v>
      </c>
      <c r="N52" s="13">
        <f>M52*H65</f>
        <v>19469.307</v>
      </c>
      <c r="O52" s="13"/>
      <c r="P52" s="13">
        <v>5237</v>
      </c>
      <c r="Q52" s="13">
        <f>P52*H65</f>
        <v>29206.749</v>
      </c>
      <c r="R52" s="13">
        <f t="shared" si="11"/>
        <v>17456</v>
      </c>
      <c r="S52" s="13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2">
        <v>5</v>
      </c>
      <c r="B53" s="423" t="s">
        <v>47</v>
      </c>
      <c r="C53" s="424"/>
      <c r="D53" s="425"/>
      <c r="E53" s="71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309" t="s">
        <v>48</v>
      </c>
      <c r="C54" s="310"/>
      <c r="D54" s="311"/>
      <c r="E54" s="72"/>
      <c r="F54" s="5"/>
      <c r="G54" s="13">
        <v>3093</v>
      </c>
      <c r="H54" s="31">
        <f>G54*G65</f>
        <v>15540.4692</v>
      </c>
      <c r="I54" s="13"/>
      <c r="J54" s="13">
        <v>2715</v>
      </c>
      <c r="K54" s="13">
        <f>J54*G65</f>
        <v>13641.246</v>
      </c>
      <c r="L54" s="13"/>
      <c r="M54" s="13">
        <v>2752</v>
      </c>
      <c r="N54" s="13">
        <f>M54*H65</f>
        <v>15347.904</v>
      </c>
      <c r="O54" s="13"/>
      <c r="P54" s="13">
        <v>2588</v>
      </c>
      <c r="Q54" s="13">
        <f>P54*H65</f>
        <v>14433.276</v>
      </c>
      <c r="R54" s="13">
        <f aca="true" t="shared" si="12" ref="R54:S59">G54+J54+M54+P54</f>
        <v>11148</v>
      </c>
      <c r="S54" s="13">
        <f t="shared" si="12"/>
        <v>58962.8952</v>
      </c>
      <c r="U54" s="9"/>
      <c r="V54" s="8"/>
      <c r="W54" s="9"/>
    </row>
    <row r="55" spans="1:23" ht="27" customHeight="1" hidden="1">
      <c r="A55" s="5"/>
      <c r="B55" s="309" t="s">
        <v>49</v>
      </c>
      <c r="C55" s="310"/>
      <c r="D55" s="311"/>
      <c r="E55" s="72"/>
      <c r="F55" s="5"/>
      <c r="G55" s="13">
        <v>5045</v>
      </c>
      <c r="H55" s="13">
        <f>G55*G65</f>
        <v>25348.097999999998</v>
      </c>
      <c r="I55" s="13"/>
      <c r="J55" s="13">
        <v>3390</v>
      </c>
      <c r="K55" s="13">
        <f>J55*G65</f>
        <v>17032.716</v>
      </c>
      <c r="L55" s="13"/>
      <c r="M55" s="13">
        <v>5675</v>
      </c>
      <c r="N55" s="13">
        <f>M55*H65</f>
        <v>31649.475</v>
      </c>
      <c r="O55" s="13"/>
      <c r="P55" s="13">
        <v>6890</v>
      </c>
      <c r="Q55" s="13">
        <f>P55*H65</f>
        <v>38425.53</v>
      </c>
      <c r="R55" s="13">
        <f t="shared" si="12"/>
        <v>21000</v>
      </c>
      <c r="S55" s="13">
        <f t="shared" si="12"/>
        <v>112455.81899999999</v>
      </c>
      <c r="U55" s="9"/>
      <c r="V55" s="8"/>
      <c r="W55" s="9"/>
    </row>
    <row r="56" spans="1:23" ht="27" customHeight="1" hidden="1">
      <c r="A56" s="5"/>
      <c r="B56" s="309" t="s">
        <v>50</v>
      </c>
      <c r="C56" s="310"/>
      <c r="D56" s="311"/>
      <c r="E56" s="72"/>
      <c r="F56" s="5"/>
      <c r="G56" s="13">
        <v>5253</v>
      </c>
      <c r="H56" s="13">
        <f>G56*G65</f>
        <v>26393.1732</v>
      </c>
      <c r="I56" s="13"/>
      <c r="J56" s="13">
        <v>5294</v>
      </c>
      <c r="K56" s="13">
        <f>J56*G65</f>
        <v>26599.1736</v>
      </c>
      <c r="L56" s="13"/>
      <c r="M56" s="13">
        <v>7570</v>
      </c>
      <c r="N56" s="13">
        <f>M56*H65</f>
        <v>42217.89</v>
      </c>
      <c r="O56" s="13"/>
      <c r="P56" s="13">
        <v>4038</v>
      </c>
      <c r="Q56" s="13">
        <f>P56*H65</f>
        <v>22519.926</v>
      </c>
      <c r="R56" s="13">
        <f t="shared" si="12"/>
        <v>22155</v>
      </c>
      <c r="S56" s="13">
        <f t="shared" si="12"/>
        <v>117730.16279999999</v>
      </c>
      <c r="U56" s="9"/>
      <c r="V56" s="8"/>
      <c r="W56" s="9"/>
    </row>
    <row r="57" spans="1:23" ht="27" customHeight="1" hidden="1">
      <c r="A57" s="5"/>
      <c r="B57" s="382" t="s">
        <v>40</v>
      </c>
      <c r="C57" s="382"/>
      <c r="D57" s="382"/>
      <c r="E57" s="77"/>
      <c r="F57" s="5"/>
      <c r="G57" s="13">
        <v>3278</v>
      </c>
      <c r="H57" s="13">
        <f>G57*G65</f>
        <v>16469.9832</v>
      </c>
      <c r="I57" s="13"/>
      <c r="J57" s="13">
        <v>2211</v>
      </c>
      <c r="K57" s="13">
        <f>J57*G65</f>
        <v>11108.9484</v>
      </c>
      <c r="L57" s="13"/>
      <c r="M57" s="13">
        <v>2959</v>
      </c>
      <c r="N57" s="13">
        <f>M57*H65</f>
        <v>16502.343</v>
      </c>
      <c r="O57" s="13"/>
      <c r="P57" s="13">
        <v>3696</v>
      </c>
      <c r="Q57" s="13">
        <f>P57*H65</f>
        <v>20612.592</v>
      </c>
      <c r="R57" s="13">
        <f t="shared" si="12"/>
        <v>12144</v>
      </c>
      <c r="S57" s="13">
        <f t="shared" si="12"/>
        <v>64693.866599999994</v>
      </c>
      <c r="U57" s="9"/>
      <c r="V57" s="8"/>
      <c r="W57" s="9"/>
    </row>
    <row r="58" spans="1:23" ht="27" customHeight="1" hidden="1">
      <c r="A58" s="5"/>
      <c r="B58" s="382" t="s">
        <v>51</v>
      </c>
      <c r="C58" s="382"/>
      <c r="D58" s="382"/>
      <c r="E58" s="77"/>
      <c r="F58" s="5"/>
      <c r="G58" s="13">
        <v>1865</v>
      </c>
      <c r="H58" s="13">
        <f>G58*G65</f>
        <v>9370.506</v>
      </c>
      <c r="I58" s="13"/>
      <c r="J58" s="13">
        <v>1775</v>
      </c>
      <c r="K58" s="13">
        <f>J58*G65</f>
        <v>8918.31</v>
      </c>
      <c r="L58" s="13"/>
      <c r="M58" s="13">
        <v>1145</v>
      </c>
      <c r="N58" s="13">
        <f>M58*H65</f>
        <v>6385.665</v>
      </c>
      <c r="O58" s="13"/>
      <c r="P58" s="13">
        <v>1875</v>
      </c>
      <c r="Q58" s="13">
        <f>P58*H65</f>
        <v>10456.875</v>
      </c>
      <c r="R58" s="13">
        <f t="shared" si="12"/>
        <v>6660</v>
      </c>
      <c r="S58" s="13">
        <f t="shared" si="12"/>
        <v>35131.356</v>
      </c>
      <c r="U58" s="9"/>
      <c r="V58" s="8"/>
      <c r="W58" s="9"/>
    </row>
    <row r="59" spans="1:23" ht="27" customHeight="1" hidden="1">
      <c r="A59" s="5"/>
      <c r="B59" s="382" t="s">
        <v>52</v>
      </c>
      <c r="C59" s="382"/>
      <c r="D59" s="382"/>
      <c r="E59" s="77"/>
      <c r="F59" s="5"/>
      <c r="G59" s="13">
        <v>4050</v>
      </c>
      <c r="H59" s="13">
        <f>G59*G65</f>
        <v>20348.82</v>
      </c>
      <c r="I59" s="13"/>
      <c r="J59" s="13">
        <v>4050</v>
      </c>
      <c r="K59" s="13">
        <f>J59*G65</f>
        <v>20348.82</v>
      </c>
      <c r="L59" s="13"/>
      <c r="M59" s="13">
        <v>3950</v>
      </c>
      <c r="N59" s="13">
        <f>M59*H65</f>
        <v>22029.15</v>
      </c>
      <c r="O59" s="13"/>
      <c r="P59" s="13">
        <v>4050</v>
      </c>
      <c r="Q59" s="13">
        <f>P59*H65</f>
        <v>22586.85</v>
      </c>
      <c r="R59" s="13">
        <f t="shared" si="12"/>
        <v>16100</v>
      </c>
      <c r="S59" s="13">
        <f t="shared" si="12"/>
        <v>85313.64</v>
      </c>
      <c r="U59" s="9"/>
      <c r="V59" s="8"/>
      <c r="W59" s="9"/>
    </row>
    <row r="60" spans="1:23" ht="27" customHeight="1" hidden="1">
      <c r="A60" s="12">
        <v>6</v>
      </c>
      <c r="B60" s="423" t="s">
        <v>53</v>
      </c>
      <c r="C60" s="424"/>
      <c r="D60" s="425"/>
      <c r="E60" s="71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309" t="s">
        <v>54</v>
      </c>
      <c r="C61" s="310"/>
      <c r="D61" s="311"/>
      <c r="E61" s="72"/>
      <c r="F61" s="5"/>
      <c r="G61" s="13">
        <v>7650</v>
      </c>
      <c r="H61" s="13">
        <f>G61*G65</f>
        <v>38436.659999999996</v>
      </c>
      <c r="I61" s="13"/>
      <c r="J61" s="13">
        <v>10200</v>
      </c>
      <c r="K61" s="13">
        <f>J61*G65</f>
        <v>51248.88</v>
      </c>
      <c r="L61" s="13"/>
      <c r="M61" s="13">
        <v>7650</v>
      </c>
      <c r="N61" s="13">
        <f>M61*H65</f>
        <v>42664.05</v>
      </c>
      <c r="O61" s="13"/>
      <c r="P61" s="13">
        <v>13600</v>
      </c>
      <c r="Q61" s="13">
        <f>P61*H65</f>
        <v>75847.2</v>
      </c>
      <c r="R61" s="13">
        <f>G61+J61+M61+P61</f>
        <v>39100</v>
      </c>
      <c r="S61" s="13">
        <f>H61+K61+N61+Q61</f>
        <v>208196.78999999998</v>
      </c>
      <c r="U61" s="9"/>
      <c r="V61" s="8"/>
      <c r="W61" s="9"/>
    </row>
    <row r="62" spans="1:23" ht="27" customHeight="1" hidden="1">
      <c r="A62" s="5"/>
      <c r="B62" s="309" t="s">
        <v>55</v>
      </c>
      <c r="C62" s="310"/>
      <c r="D62" s="311"/>
      <c r="E62" s="72"/>
      <c r="F62" s="5"/>
      <c r="G62" s="13">
        <v>52475.76</v>
      </c>
      <c r="H62" s="13">
        <f>G62*G65</f>
        <v>263659.208544</v>
      </c>
      <c r="I62" s="13"/>
      <c r="J62" s="13">
        <v>23227</v>
      </c>
      <c r="K62" s="13">
        <f>J62*G65</f>
        <v>116701.7388</v>
      </c>
      <c r="L62" s="13"/>
      <c r="M62" s="13">
        <v>19391.07</v>
      </c>
      <c r="N62" s="13">
        <f>M62*H65</f>
        <v>108143.99739</v>
      </c>
      <c r="O62" s="13"/>
      <c r="P62" s="13">
        <v>60863</v>
      </c>
      <c r="Q62" s="13">
        <f>P62*H65</f>
        <v>339432.951</v>
      </c>
      <c r="R62" s="13">
        <f>G62+J62+M62+P62</f>
        <v>155956.83000000002</v>
      </c>
      <c r="S62" s="13">
        <f>H62+K62+N62+Q62</f>
        <v>827937.895734</v>
      </c>
      <c r="U62" s="9"/>
      <c r="V62" s="8"/>
      <c r="W62" s="9"/>
    </row>
    <row r="63" spans="1:23" ht="30" customHeight="1" hidden="1">
      <c r="A63" s="5"/>
      <c r="B63" s="415" t="s">
        <v>19</v>
      </c>
      <c r="C63" s="415"/>
      <c r="D63" s="415"/>
      <c r="E63" s="78"/>
      <c r="F63" s="12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62"/>
      <c r="U63" s="32"/>
      <c r="V63" s="9"/>
      <c r="W63" s="9"/>
    </row>
    <row r="64" spans="1:23" ht="50.25" customHeight="1" hidden="1">
      <c r="A64" s="48"/>
      <c r="B64" s="421" t="s">
        <v>8</v>
      </c>
      <c r="C64" s="421"/>
      <c r="D64" s="421"/>
      <c r="E64" s="81"/>
      <c r="F64" s="301" t="s">
        <v>69</v>
      </c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3"/>
      <c r="U64" s="9"/>
      <c r="V64" s="9"/>
      <c r="W64" s="9"/>
    </row>
    <row r="65" spans="1:23" ht="32.25" customHeight="1" hidden="1">
      <c r="A65" s="41"/>
      <c r="B65" s="41"/>
      <c r="C65" s="41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7"/>
      <c r="L65" s="37"/>
      <c r="M65" s="37"/>
      <c r="N65" s="41"/>
      <c r="O65" s="41"/>
      <c r="P65" s="41"/>
      <c r="Q65" s="50"/>
      <c r="R65" s="50"/>
      <c r="S65" s="41"/>
      <c r="U65" s="9"/>
      <c r="V65" s="9"/>
      <c r="W65" s="9"/>
    </row>
    <row r="66" spans="1:23" ht="33.75" customHeight="1" hidden="1">
      <c r="A66" s="41"/>
      <c r="B66" s="41"/>
      <c r="C66" s="41"/>
      <c r="D66" s="3" t="s">
        <v>66</v>
      </c>
      <c r="E66" s="3"/>
      <c r="F66" s="3"/>
      <c r="G66" s="3"/>
      <c r="H66" s="3"/>
      <c r="I66" s="4"/>
      <c r="J66" s="4"/>
      <c r="K66" s="37"/>
      <c r="L66" s="37"/>
      <c r="M66" s="37"/>
      <c r="N66" s="41"/>
      <c r="O66" s="41"/>
      <c r="P66" s="41"/>
      <c r="Q66" s="422"/>
      <c r="R66" s="422"/>
      <c r="S66" s="422"/>
      <c r="U66" s="9"/>
      <c r="V66" s="9"/>
      <c r="W66" s="9"/>
    </row>
    <row r="67" spans="1:23" ht="47.25" customHeight="1">
      <c r="A67" s="274" t="s">
        <v>102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U67" s="9"/>
      <c r="V67" s="9"/>
      <c r="W67" s="9"/>
    </row>
    <row r="68" spans="1:23" ht="27.75" customHeight="1">
      <c r="A68" s="285" t="s">
        <v>15</v>
      </c>
      <c r="B68" s="286" t="s">
        <v>0</v>
      </c>
      <c r="C68" s="287"/>
      <c r="D68" s="288"/>
      <c r="E68" s="419" t="s">
        <v>70</v>
      </c>
      <c r="F68" s="295" t="s">
        <v>1</v>
      </c>
      <c r="G68" s="295"/>
      <c r="H68" s="295"/>
      <c r="I68" s="295" t="s">
        <v>3</v>
      </c>
      <c r="J68" s="295"/>
      <c r="K68" s="295"/>
      <c r="L68" s="295" t="s">
        <v>4</v>
      </c>
      <c r="M68" s="295"/>
      <c r="N68" s="295"/>
      <c r="O68" s="295" t="s">
        <v>6</v>
      </c>
      <c r="P68" s="295"/>
      <c r="Q68" s="295"/>
      <c r="R68" s="295" t="s">
        <v>7</v>
      </c>
      <c r="S68" s="295"/>
      <c r="U68" s="9"/>
      <c r="V68" s="9"/>
      <c r="W68" s="9"/>
    </row>
    <row r="69" spans="1:23" ht="47.25" customHeight="1">
      <c r="A69" s="285"/>
      <c r="B69" s="289"/>
      <c r="C69" s="290"/>
      <c r="D69" s="291"/>
      <c r="E69" s="420"/>
      <c r="F69" s="68"/>
      <c r="G69" s="68"/>
      <c r="H69" s="68" t="s">
        <v>5</v>
      </c>
      <c r="I69" s="68" t="s">
        <v>10</v>
      </c>
      <c r="J69" s="68"/>
      <c r="K69" s="68" t="s">
        <v>5</v>
      </c>
      <c r="L69" s="68" t="s">
        <v>10</v>
      </c>
      <c r="M69" s="68"/>
      <c r="N69" s="68" t="s">
        <v>5</v>
      </c>
      <c r="O69" s="68" t="s">
        <v>10</v>
      </c>
      <c r="P69" s="68"/>
      <c r="Q69" s="68" t="s">
        <v>5</v>
      </c>
      <c r="R69" s="68" t="s">
        <v>10</v>
      </c>
      <c r="S69" s="68" t="s">
        <v>5</v>
      </c>
      <c r="U69" s="9"/>
      <c r="V69" s="9"/>
      <c r="W69" s="9"/>
    </row>
    <row r="70" spans="1:23" s="89" customFormat="1" ht="48.75" customHeight="1">
      <c r="A70" s="83">
        <v>1</v>
      </c>
      <c r="B70" s="386" t="s">
        <v>33</v>
      </c>
      <c r="C70" s="387"/>
      <c r="D70" s="388"/>
      <c r="E70" s="84" t="s">
        <v>80</v>
      </c>
      <c r="F70" s="83">
        <v>0</v>
      </c>
      <c r="G70" s="85"/>
      <c r="H70" s="85">
        <f>H71+H72</f>
        <v>2359.564</v>
      </c>
      <c r="I70" s="85"/>
      <c r="J70" s="85"/>
      <c r="K70" s="85">
        <f>K71+K72</f>
        <v>1954.9203</v>
      </c>
      <c r="L70" s="85"/>
      <c r="M70" s="85"/>
      <c r="N70" s="85">
        <f>N71+N72</f>
        <v>2214.9251999999997</v>
      </c>
      <c r="O70" s="85"/>
      <c r="P70" s="85"/>
      <c r="Q70" s="85">
        <f>Q71+Q72</f>
        <v>3322.3878</v>
      </c>
      <c r="R70" s="85"/>
      <c r="S70" s="85">
        <f>S71+S72</f>
        <v>9851.797299999998</v>
      </c>
      <c r="T70" s="86"/>
      <c r="U70" s="87">
        <f>37.94*P70</f>
        <v>0</v>
      </c>
      <c r="V70" s="88">
        <f>H70+K70+N70+Q70</f>
        <v>9851.7973</v>
      </c>
      <c r="W70" s="87">
        <f>G70+J70+M70+P70</f>
        <v>0</v>
      </c>
    </row>
    <row r="71" spans="1:23" ht="29.25" customHeight="1">
      <c r="A71" s="12"/>
      <c r="B71" s="383"/>
      <c r="C71" s="384"/>
      <c r="D71" s="385"/>
      <c r="E71" s="80" t="s">
        <v>71</v>
      </c>
      <c r="F71" s="5"/>
      <c r="G71" s="175">
        <v>7</v>
      </c>
      <c r="H71" s="175">
        <f>G71*H161</f>
        <v>257.59999999999997</v>
      </c>
      <c r="I71" s="175"/>
      <c r="J71" s="175">
        <v>6</v>
      </c>
      <c r="K71" s="175">
        <f>J71*H161</f>
        <v>220.79999999999998</v>
      </c>
      <c r="L71" s="175"/>
      <c r="M71" s="175">
        <v>6</v>
      </c>
      <c r="N71" s="175">
        <f>M71*J161</f>
        <v>277.56</v>
      </c>
      <c r="O71" s="175"/>
      <c r="P71" s="175">
        <v>9</v>
      </c>
      <c r="Q71" s="175">
        <f>P71*J161</f>
        <v>416.34</v>
      </c>
      <c r="R71" s="175">
        <f>G71+J71+M71+P71</f>
        <v>28</v>
      </c>
      <c r="S71" s="175">
        <f>H71+K71+N71+Q71</f>
        <v>1172.3</v>
      </c>
      <c r="U71" s="9"/>
      <c r="V71" s="8"/>
      <c r="W71" s="9"/>
    </row>
    <row r="72" spans="1:23" ht="29.25" customHeight="1">
      <c r="A72" s="12"/>
      <c r="B72" s="383"/>
      <c r="C72" s="384"/>
      <c r="D72" s="385"/>
      <c r="E72" s="80" t="s">
        <v>2</v>
      </c>
      <c r="F72" s="5"/>
      <c r="G72" s="175">
        <v>0.4</v>
      </c>
      <c r="H72" s="175">
        <f>G72*H163</f>
        <v>2101.964</v>
      </c>
      <c r="I72" s="175"/>
      <c r="J72" s="175">
        <v>0.33</v>
      </c>
      <c r="K72" s="175">
        <f>J72*H163</f>
        <v>1734.1203</v>
      </c>
      <c r="L72" s="175"/>
      <c r="M72" s="175">
        <v>0.36</v>
      </c>
      <c r="N72" s="175">
        <f>M72*J163</f>
        <v>1937.3651999999997</v>
      </c>
      <c r="O72" s="175"/>
      <c r="P72" s="175">
        <v>0.54</v>
      </c>
      <c r="Q72" s="175">
        <f>P72*J163</f>
        <v>2906.0478</v>
      </c>
      <c r="R72" s="175">
        <f>G72+J72+M72+P72</f>
        <v>1.63</v>
      </c>
      <c r="S72" s="175">
        <f>H72+K72+N72+Q72</f>
        <v>8679.497299999999</v>
      </c>
      <c r="U72" s="9"/>
      <c r="V72" s="8"/>
      <c r="W72" s="9"/>
    </row>
    <row r="73" spans="1:23" s="89" customFormat="1" ht="45" customHeight="1">
      <c r="A73" s="83">
        <v>2</v>
      </c>
      <c r="B73" s="386" t="s">
        <v>72</v>
      </c>
      <c r="C73" s="387"/>
      <c r="D73" s="388"/>
      <c r="E73" s="84" t="s">
        <v>80</v>
      </c>
      <c r="F73" s="90"/>
      <c r="G73" s="85"/>
      <c r="H73" s="85">
        <f>H76+H79+H82+H85+H88+H91</f>
        <v>379398.69039999996</v>
      </c>
      <c r="I73" s="85"/>
      <c r="J73" s="85"/>
      <c r="K73" s="85">
        <f>K76+K79+K82+K85+K88+K91</f>
        <v>405897.7196</v>
      </c>
      <c r="L73" s="85"/>
      <c r="M73" s="85"/>
      <c r="N73" s="85">
        <f>N76+N79+N82+N85+N88+N91</f>
        <v>300874.5278</v>
      </c>
      <c r="O73" s="85"/>
      <c r="P73" s="85"/>
      <c r="Q73" s="85">
        <f>Q76+Q79+Q82+Q85+Q88+Q91</f>
        <v>479988.09429999994</v>
      </c>
      <c r="R73" s="85"/>
      <c r="S73" s="85">
        <f>S76+S79+S82+S85+S88+S91</f>
        <v>1566159.0263</v>
      </c>
      <c r="T73" s="86"/>
      <c r="U73" s="87"/>
      <c r="V73" s="88"/>
      <c r="W73" s="87"/>
    </row>
    <row r="74" spans="1:23" ht="45" customHeight="1">
      <c r="A74" s="12"/>
      <c r="B74" s="69"/>
      <c r="C74" s="70"/>
      <c r="D74" s="71"/>
      <c r="E74" s="79" t="s">
        <v>71</v>
      </c>
      <c r="F74" s="5"/>
      <c r="G74" s="54">
        <f>G77+G80+G83+G86+G89+G92</f>
        <v>1122</v>
      </c>
      <c r="H74" s="54">
        <f>H77+H80+H83+H86+H89+H92</f>
        <v>46027.2</v>
      </c>
      <c r="I74" s="54"/>
      <c r="J74" s="54">
        <f>J77+J80+J83+J86+J89+J92</f>
        <v>1218</v>
      </c>
      <c r="K74" s="54">
        <f>K77+K80+K83+K86+K89+K92</f>
        <v>50875.99999999999</v>
      </c>
      <c r="L74" s="54"/>
      <c r="M74" s="54">
        <f>M77+M80+M83+M86+M89+M92</f>
        <v>786</v>
      </c>
      <c r="N74" s="54">
        <f>N77+N80+N83+N86+N89+N92</f>
        <v>39653.119999999995</v>
      </c>
      <c r="O74" s="54"/>
      <c r="P74" s="54">
        <f>P77+P80+P83+P86+P89+P92</f>
        <v>1293</v>
      </c>
      <c r="Q74" s="54">
        <f>Q77+Q80+Q83+Q86+Q89+Q92</f>
        <v>65661.02</v>
      </c>
      <c r="R74" s="54">
        <f>G74+J74+M74+P74</f>
        <v>4419</v>
      </c>
      <c r="S74" s="54">
        <f>H74+K74+N74+Q74</f>
        <v>202217.33999999997</v>
      </c>
      <c r="U74" s="9"/>
      <c r="V74" s="8"/>
      <c r="W74" s="9"/>
    </row>
    <row r="75" spans="1:23" ht="45" customHeight="1">
      <c r="A75" s="12"/>
      <c r="B75" s="379"/>
      <c r="C75" s="380"/>
      <c r="D75" s="381"/>
      <c r="E75" s="79" t="s">
        <v>2</v>
      </c>
      <c r="F75" s="5"/>
      <c r="G75" s="54">
        <f>G78+G81+G84+G87+G90+G93</f>
        <v>63.44</v>
      </c>
      <c r="H75" s="54">
        <f>H78+H81+H84+H87+H90+H93</f>
        <v>333371.49039999995</v>
      </c>
      <c r="I75" s="54"/>
      <c r="J75" s="54">
        <f>J78+J81+J84+J87+J90+J93</f>
        <v>67.56</v>
      </c>
      <c r="K75" s="54">
        <f>K78+K81+K84+K87+K90+K93</f>
        <v>355021.7196</v>
      </c>
      <c r="L75" s="54"/>
      <c r="M75" s="54">
        <f>M78+M81+M84+M87+M90+M93</f>
        <v>48.54</v>
      </c>
      <c r="N75" s="54">
        <f>N78+N81+N84+N87+N90+N93</f>
        <v>261221.40779999996</v>
      </c>
      <c r="O75" s="54"/>
      <c r="P75" s="54">
        <f>P78+P81+P84+P87+P90+P93</f>
        <v>76.99000000000001</v>
      </c>
      <c r="Q75" s="54">
        <f>Q78+Q81+Q84+Q87+Q90+Q93</f>
        <v>414327.0743</v>
      </c>
      <c r="R75" s="54">
        <f>G75+J75+M75+P75</f>
        <v>256.53</v>
      </c>
      <c r="S75" s="54">
        <f>H75+K75+N75+Q75</f>
        <v>1363941.6920999999</v>
      </c>
      <c r="U75" s="9"/>
      <c r="V75" s="8"/>
      <c r="W75" s="9"/>
    </row>
    <row r="76" spans="1:23" ht="57" customHeight="1">
      <c r="A76" s="12"/>
      <c r="B76" s="309" t="s">
        <v>34</v>
      </c>
      <c r="C76" s="310"/>
      <c r="D76" s="311"/>
      <c r="E76" s="72"/>
      <c r="F76" s="5">
        <v>420</v>
      </c>
      <c r="G76" s="175"/>
      <c r="H76" s="175">
        <f>H77+H78</f>
        <v>40905.969999999994</v>
      </c>
      <c r="I76" s="175"/>
      <c r="J76" s="175"/>
      <c r="K76" s="175">
        <f>K77+K78</f>
        <v>58216.299999999996</v>
      </c>
      <c r="L76" s="175"/>
      <c r="M76" s="175"/>
      <c r="N76" s="175">
        <f>N77+N78</f>
        <v>42482.03</v>
      </c>
      <c r="O76" s="175"/>
      <c r="P76" s="175"/>
      <c r="Q76" s="175">
        <f>Q77+Q78</f>
        <v>54864.27</v>
      </c>
      <c r="R76" s="175"/>
      <c r="S76" s="175">
        <f>S77+S78</f>
        <v>196468.57</v>
      </c>
      <c r="U76" s="9">
        <f>37.94*P76</f>
        <v>0</v>
      </c>
      <c r="V76" s="8">
        <f>H76+K76+N76+Q76</f>
        <v>196468.56999999998</v>
      </c>
      <c r="W76" s="9">
        <f>G76+J76+M76+P76</f>
        <v>0</v>
      </c>
    </row>
    <row r="77" spans="1:23" ht="28.5" customHeight="1">
      <c r="A77" s="12"/>
      <c r="B77" s="383"/>
      <c r="C77" s="384"/>
      <c r="D77" s="385"/>
      <c r="E77" s="80" t="s">
        <v>71</v>
      </c>
      <c r="F77" s="5"/>
      <c r="G77" s="175">
        <v>112</v>
      </c>
      <c r="H77" s="175">
        <f>G77*H161</f>
        <v>4121.599999999999</v>
      </c>
      <c r="I77" s="175"/>
      <c r="J77" s="175">
        <v>154</v>
      </c>
      <c r="K77" s="175">
        <f>J77*H161</f>
        <v>5667.2</v>
      </c>
      <c r="L77" s="175"/>
      <c r="M77" s="175">
        <v>104</v>
      </c>
      <c r="N77" s="175">
        <f>M77*J161</f>
        <v>4811.04</v>
      </c>
      <c r="O77" s="175"/>
      <c r="P77" s="175">
        <v>139</v>
      </c>
      <c r="Q77" s="175">
        <f>P77*J161</f>
        <v>6430.139999999999</v>
      </c>
      <c r="R77" s="175">
        <f>G77+J77+M77+P77</f>
        <v>509</v>
      </c>
      <c r="S77" s="175">
        <f>H77+K77+N77+Q77</f>
        <v>21029.98</v>
      </c>
      <c r="U77" s="9"/>
      <c r="V77" s="8"/>
      <c r="W77" s="9"/>
    </row>
    <row r="78" spans="1:23" ht="28.5" customHeight="1">
      <c r="A78" s="12"/>
      <c r="B78" s="383"/>
      <c r="C78" s="384"/>
      <c r="D78" s="385"/>
      <c r="E78" s="80" t="s">
        <v>2</v>
      </c>
      <c r="F78" s="5"/>
      <c r="G78" s="175">
        <v>7</v>
      </c>
      <c r="H78" s="175">
        <f>G78*H163</f>
        <v>36784.369999999995</v>
      </c>
      <c r="I78" s="175"/>
      <c r="J78" s="175">
        <v>10</v>
      </c>
      <c r="K78" s="175">
        <f>J78*H163</f>
        <v>52549.1</v>
      </c>
      <c r="L78" s="175"/>
      <c r="M78" s="175">
        <v>7</v>
      </c>
      <c r="N78" s="175">
        <f>M78*J163</f>
        <v>37670.99</v>
      </c>
      <c r="O78" s="175"/>
      <c r="P78" s="175">
        <v>9</v>
      </c>
      <c r="Q78" s="175">
        <f>P78*J163</f>
        <v>48434.13</v>
      </c>
      <c r="R78" s="175">
        <f>G78+J78+M78+P78</f>
        <v>33</v>
      </c>
      <c r="S78" s="175">
        <f>H78+K78+N78+Q78</f>
        <v>175438.59</v>
      </c>
      <c r="U78" s="9"/>
      <c r="V78" s="8"/>
      <c r="W78" s="9"/>
    </row>
    <row r="79" spans="1:23" ht="57" customHeight="1">
      <c r="A79" s="12"/>
      <c r="B79" s="309" t="s">
        <v>35</v>
      </c>
      <c r="C79" s="310"/>
      <c r="D79" s="311"/>
      <c r="E79" s="72"/>
      <c r="F79" s="5">
        <v>171</v>
      </c>
      <c r="G79" s="175"/>
      <c r="H79" s="175">
        <f>H80+H81</f>
        <v>33002.3978</v>
      </c>
      <c r="I79" s="175"/>
      <c r="J79" s="175"/>
      <c r="K79" s="175">
        <f>K80+K81</f>
        <v>33002.3978</v>
      </c>
      <c r="L79" s="175"/>
      <c r="M79" s="175"/>
      <c r="N79" s="175">
        <f>N80+N81</f>
        <v>18619.157099999997</v>
      </c>
      <c r="O79" s="175"/>
      <c r="P79" s="175"/>
      <c r="Q79" s="175">
        <f>Q80+Q81</f>
        <v>37184.4985</v>
      </c>
      <c r="R79" s="175"/>
      <c r="S79" s="175">
        <f>S80+S81</f>
        <v>121808.46</v>
      </c>
      <c r="T79" s="60" t="s">
        <v>78</v>
      </c>
      <c r="U79" s="9">
        <f>37.94*P79</f>
        <v>0</v>
      </c>
      <c r="V79" s="8">
        <f>H79+K79+N79+Q79</f>
        <v>121808.4512</v>
      </c>
      <c r="W79" s="9">
        <f>G79+J79+M79+P79</f>
        <v>0</v>
      </c>
    </row>
    <row r="80" spans="1:23" ht="26.25" customHeight="1">
      <c r="A80" s="12"/>
      <c r="B80" s="383"/>
      <c r="C80" s="384"/>
      <c r="D80" s="385"/>
      <c r="E80" s="80" t="s">
        <v>71</v>
      </c>
      <c r="F80" s="5"/>
      <c r="G80" s="175">
        <v>100</v>
      </c>
      <c r="H80" s="175">
        <f>G80*H161</f>
        <v>3679.9999999999995</v>
      </c>
      <c r="I80" s="175"/>
      <c r="J80" s="175">
        <v>100</v>
      </c>
      <c r="K80" s="175">
        <f>J80*H161</f>
        <v>3679.9999999999995</v>
      </c>
      <c r="L80" s="175"/>
      <c r="M80" s="175">
        <v>50</v>
      </c>
      <c r="N80" s="175">
        <f>M80*J161</f>
        <v>2313</v>
      </c>
      <c r="O80" s="175"/>
      <c r="P80" s="175">
        <v>100</v>
      </c>
      <c r="Q80" s="175">
        <f>P80*J161</f>
        <v>4626</v>
      </c>
      <c r="R80" s="175">
        <f>G80+J80+M80+P80</f>
        <v>350</v>
      </c>
      <c r="S80" s="175">
        <f>H80+K80+N80+Q80</f>
        <v>14299</v>
      </c>
      <c r="U80" s="9"/>
      <c r="V80" s="8"/>
      <c r="W80" s="9"/>
    </row>
    <row r="81" spans="1:23" ht="26.25" customHeight="1">
      <c r="A81" s="12"/>
      <c r="B81" s="383"/>
      <c r="C81" s="384"/>
      <c r="D81" s="385"/>
      <c r="E81" s="80" t="s">
        <v>2</v>
      </c>
      <c r="F81" s="5"/>
      <c r="G81" s="175">
        <v>5.58</v>
      </c>
      <c r="H81" s="175">
        <f>G81*H163</f>
        <v>29322.3978</v>
      </c>
      <c r="I81" s="175"/>
      <c r="J81" s="175">
        <v>5.58</v>
      </c>
      <c r="K81" s="175">
        <f>J81*H163</f>
        <v>29322.3978</v>
      </c>
      <c r="L81" s="175"/>
      <c r="M81" s="175">
        <v>3.03</v>
      </c>
      <c r="N81" s="175">
        <f>M81*J163</f>
        <v>16306.157099999999</v>
      </c>
      <c r="O81" s="175"/>
      <c r="P81" s="175">
        <v>6.05</v>
      </c>
      <c r="Q81" s="175">
        <f>P81*J163</f>
        <v>32558.498499999998</v>
      </c>
      <c r="R81" s="175">
        <f>G81+J81+M81+P81</f>
        <v>20.24</v>
      </c>
      <c r="S81" s="175">
        <v>107509.46</v>
      </c>
      <c r="U81" s="9"/>
      <c r="V81" s="8"/>
      <c r="W81" s="9"/>
    </row>
    <row r="82" spans="1:23" ht="51.75" customHeight="1">
      <c r="A82" s="12"/>
      <c r="B82" s="309" t="s">
        <v>36</v>
      </c>
      <c r="C82" s="310"/>
      <c r="D82" s="311"/>
      <c r="E82" s="72"/>
      <c r="F82" s="5">
        <v>213</v>
      </c>
      <c r="G82" s="175"/>
      <c r="H82" s="175">
        <f>H83+H84</f>
        <v>34318.3978</v>
      </c>
      <c r="I82" s="175"/>
      <c r="J82" s="175"/>
      <c r="K82" s="175">
        <f>K83+K84</f>
        <v>68636.7956</v>
      </c>
      <c r="L82" s="175"/>
      <c r="M82" s="175"/>
      <c r="N82" s="175">
        <f>N83+N84</f>
        <v>26940.8022</v>
      </c>
      <c r="O82" s="175"/>
      <c r="P82" s="175"/>
      <c r="Q82" s="175">
        <f>Q83+Q84</f>
        <v>69342.9717</v>
      </c>
      <c r="R82" s="175"/>
      <c r="S82" s="175">
        <f>S83+S84</f>
        <v>199238.96730000002</v>
      </c>
      <c r="U82" s="9">
        <f>49.34*P82</f>
        <v>0</v>
      </c>
      <c r="V82" s="8">
        <f>H82+K82+N82+Q82</f>
        <v>199238.9673</v>
      </c>
      <c r="W82" s="9">
        <f>G82+J82+M82+P82</f>
        <v>0</v>
      </c>
    </row>
    <row r="83" spans="1:23" ht="28.5" customHeight="1">
      <c r="A83" s="12"/>
      <c r="B83" s="383"/>
      <c r="C83" s="384"/>
      <c r="D83" s="385"/>
      <c r="E83" s="80" t="s">
        <v>71</v>
      </c>
      <c r="F83" s="5"/>
      <c r="G83" s="175">
        <v>100</v>
      </c>
      <c r="H83" s="175">
        <f>G83*H162</f>
        <v>4996</v>
      </c>
      <c r="I83" s="175"/>
      <c r="J83" s="175">
        <v>200</v>
      </c>
      <c r="K83" s="175">
        <f>J83*H162</f>
        <v>9992</v>
      </c>
      <c r="L83" s="175"/>
      <c r="M83" s="175">
        <v>50</v>
      </c>
      <c r="N83" s="175">
        <f>M83*J162</f>
        <v>2939</v>
      </c>
      <c r="O83" s="175"/>
      <c r="P83" s="175">
        <v>190</v>
      </c>
      <c r="Q83" s="175">
        <f>P83*J162</f>
        <v>11168.2</v>
      </c>
      <c r="R83" s="175">
        <f aca="true" t="shared" si="13" ref="R83:R93">G83+J83+M83+P83</f>
        <v>540</v>
      </c>
      <c r="S83" s="175">
        <f>H83+K83+N83+Q83</f>
        <v>29095.2</v>
      </c>
      <c r="T83" s="60" t="s">
        <v>78</v>
      </c>
      <c r="U83" s="9"/>
      <c r="V83" s="8"/>
      <c r="W83" s="9"/>
    </row>
    <row r="84" spans="1:23" ht="28.5" customHeight="1">
      <c r="A84" s="12"/>
      <c r="B84" s="383"/>
      <c r="C84" s="384"/>
      <c r="D84" s="385"/>
      <c r="E84" s="80" t="s">
        <v>2</v>
      </c>
      <c r="F84" s="5"/>
      <c r="G84" s="175">
        <v>5.58</v>
      </c>
      <c r="H84" s="175">
        <f>G84*H164</f>
        <v>29322.3978</v>
      </c>
      <c r="I84" s="175"/>
      <c r="J84" s="175">
        <v>11.16</v>
      </c>
      <c r="K84" s="175">
        <f>J84*H164</f>
        <v>58644.7956</v>
      </c>
      <c r="L84" s="175"/>
      <c r="M84" s="175">
        <v>4.46</v>
      </c>
      <c r="N84" s="175">
        <f>M84*J164</f>
        <v>24001.8022</v>
      </c>
      <c r="O84" s="175"/>
      <c r="P84" s="175">
        <v>10.81</v>
      </c>
      <c r="Q84" s="175">
        <f>P84*J164</f>
        <v>58174.7717</v>
      </c>
      <c r="R84" s="175">
        <f>G84+J84+M84+P84</f>
        <v>32.010000000000005</v>
      </c>
      <c r="S84" s="175">
        <f>H84+K84+N84+Q84</f>
        <v>170143.7673</v>
      </c>
      <c r="U84" s="9"/>
      <c r="V84" s="8"/>
      <c r="W84" s="9"/>
    </row>
    <row r="85" spans="1:23" ht="25.5" customHeight="1">
      <c r="A85" s="12"/>
      <c r="B85" s="382" t="s">
        <v>37</v>
      </c>
      <c r="C85" s="382"/>
      <c r="D85" s="382"/>
      <c r="E85" s="77"/>
      <c r="F85" s="5">
        <v>0</v>
      </c>
      <c r="G85" s="175"/>
      <c r="H85" s="175">
        <f>H86+H87</f>
        <v>78728.52410000001</v>
      </c>
      <c r="I85" s="175"/>
      <c r="J85" s="175"/>
      <c r="K85" s="175">
        <f>K86+K87</f>
        <v>78728.52410000001</v>
      </c>
      <c r="L85" s="175"/>
      <c r="M85" s="175"/>
      <c r="N85" s="175">
        <f>N86+N87</f>
        <v>64290.84339999999</v>
      </c>
      <c r="O85" s="175"/>
      <c r="P85" s="175"/>
      <c r="Q85" s="175">
        <f>Q86+Q87</f>
        <v>80645.6372</v>
      </c>
      <c r="R85" s="175"/>
      <c r="S85" s="175">
        <f>S86+S87</f>
        <v>302393.52</v>
      </c>
      <c r="U85" s="9">
        <f>49.34*P85</f>
        <v>0</v>
      </c>
      <c r="V85" s="8">
        <f>H85+K85+N85+Q85</f>
        <v>302393.5288</v>
      </c>
      <c r="W85" s="9">
        <f>G85+J85+M85+P85</f>
        <v>0</v>
      </c>
    </row>
    <row r="86" spans="1:23" ht="25.5" customHeight="1">
      <c r="A86" s="12"/>
      <c r="B86" s="383"/>
      <c r="C86" s="384"/>
      <c r="D86" s="385"/>
      <c r="E86" s="80" t="s">
        <v>71</v>
      </c>
      <c r="F86" s="5"/>
      <c r="G86" s="175">
        <v>260</v>
      </c>
      <c r="H86" s="175">
        <f>G86*H162</f>
        <v>12989.6</v>
      </c>
      <c r="I86" s="175"/>
      <c r="J86" s="175">
        <v>260</v>
      </c>
      <c r="K86" s="175">
        <f>J86*H162</f>
        <v>12989.6</v>
      </c>
      <c r="L86" s="175"/>
      <c r="M86" s="175">
        <v>213</v>
      </c>
      <c r="N86" s="175">
        <f>M86*J162</f>
        <v>12520.14</v>
      </c>
      <c r="O86" s="175"/>
      <c r="P86" s="175">
        <v>277</v>
      </c>
      <c r="Q86" s="175">
        <f>P86*J162</f>
        <v>16282.06</v>
      </c>
      <c r="R86" s="175">
        <f t="shared" si="13"/>
        <v>1010</v>
      </c>
      <c r="S86" s="175">
        <f>H86+K86+N86+Q86</f>
        <v>54781.399999999994</v>
      </c>
      <c r="U86" s="9"/>
      <c r="V86" s="8"/>
      <c r="W86" s="9"/>
    </row>
    <row r="87" spans="1:23" ht="25.5" customHeight="1">
      <c r="A87" s="12"/>
      <c r="B87" s="383"/>
      <c r="C87" s="384"/>
      <c r="D87" s="385"/>
      <c r="E87" s="80" t="s">
        <v>2</v>
      </c>
      <c r="F87" s="5"/>
      <c r="G87" s="175">
        <v>12.51</v>
      </c>
      <c r="H87" s="175">
        <f>G87*H164</f>
        <v>65738.9241</v>
      </c>
      <c r="I87" s="175"/>
      <c r="J87" s="175">
        <v>12.51</v>
      </c>
      <c r="K87" s="175">
        <f>J87*H164</f>
        <v>65738.9241</v>
      </c>
      <c r="L87" s="175"/>
      <c r="M87" s="175">
        <v>9.62</v>
      </c>
      <c r="N87" s="175">
        <f>M87*J164</f>
        <v>51770.70339999999</v>
      </c>
      <c r="O87" s="175"/>
      <c r="P87" s="175">
        <v>11.96</v>
      </c>
      <c r="Q87" s="175">
        <f>P87*J164</f>
        <v>64363.5772</v>
      </c>
      <c r="R87" s="175">
        <f t="shared" si="13"/>
        <v>46.6</v>
      </c>
      <c r="S87" s="175">
        <v>247612.12</v>
      </c>
      <c r="U87" s="9"/>
      <c r="V87" s="8"/>
      <c r="W87" s="9"/>
    </row>
    <row r="88" spans="1:23" s="112" customFormat="1" ht="25.5" customHeight="1">
      <c r="A88" s="106"/>
      <c r="B88" s="389" t="s">
        <v>38</v>
      </c>
      <c r="C88" s="389"/>
      <c r="D88" s="389"/>
      <c r="E88" s="107"/>
      <c r="F88" s="108">
        <v>651</v>
      </c>
      <c r="G88" s="188"/>
      <c r="H88" s="188">
        <f>H89+H90</f>
        <v>176967.4563</v>
      </c>
      <c r="I88" s="188"/>
      <c r="J88" s="188"/>
      <c r="K88" s="188">
        <f>K89+K90</f>
        <v>152189.8523</v>
      </c>
      <c r="L88" s="188"/>
      <c r="M88" s="188"/>
      <c r="N88" s="188">
        <f>N89+N90</f>
        <v>124484.22559999999</v>
      </c>
      <c r="O88" s="188"/>
      <c r="P88" s="188"/>
      <c r="Q88" s="188">
        <f>Q89+Q90</f>
        <v>218167.35479999997</v>
      </c>
      <c r="R88" s="188"/>
      <c r="S88" s="188">
        <f>S89+S90</f>
        <v>671808.889</v>
      </c>
      <c r="T88" s="109"/>
      <c r="U88" s="110">
        <f>37.94*P88</f>
        <v>0</v>
      </c>
      <c r="V88" s="111">
        <f>H88+K88+N88+Q88</f>
        <v>671808.889</v>
      </c>
      <c r="W88" s="110">
        <f>G88+J88+M88+P88</f>
        <v>0</v>
      </c>
    </row>
    <row r="89" spans="1:23" ht="25.5" customHeight="1">
      <c r="A89" s="12"/>
      <c r="B89" s="383"/>
      <c r="C89" s="384"/>
      <c r="D89" s="385"/>
      <c r="E89" s="80" t="s">
        <v>71</v>
      </c>
      <c r="F89" s="5"/>
      <c r="G89" s="175">
        <v>535</v>
      </c>
      <c r="H89" s="175">
        <f>G89*H161</f>
        <v>19688</v>
      </c>
      <c r="I89" s="175"/>
      <c r="J89" s="175">
        <v>490</v>
      </c>
      <c r="K89" s="175">
        <f>J89*H161</f>
        <v>18032</v>
      </c>
      <c r="L89" s="175"/>
      <c r="M89" s="175">
        <v>355</v>
      </c>
      <c r="N89" s="175">
        <f>M89*J161</f>
        <v>16422.3</v>
      </c>
      <c r="O89" s="175"/>
      <c r="P89" s="175">
        <v>570</v>
      </c>
      <c r="Q89" s="175">
        <f>P89*J161</f>
        <v>26368.199999999997</v>
      </c>
      <c r="R89" s="175">
        <f t="shared" si="13"/>
        <v>1950</v>
      </c>
      <c r="S89" s="175">
        <f>H89+K89+N89+Q89</f>
        <v>80510.5</v>
      </c>
      <c r="T89" s="60" t="s">
        <v>78</v>
      </c>
      <c r="U89" s="9"/>
      <c r="V89" s="8"/>
      <c r="W89" s="9"/>
    </row>
    <row r="90" spans="1:23" ht="25.5" customHeight="1">
      <c r="A90" s="12"/>
      <c r="B90" s="383"/>
      <c r="C90" s="384"/>
      <c r="D90" s="385"/>
      <c r="E90" s="80" t="s">
        <v>2</v>
      </c>
      <c r="F90" s="5"/>
      <c r="G90" s="175">
        <v>29.93</v>
      </c>
      <c r="H90" s="175">
        <f>G90*H163</f>
        <v>157279.4563</v>
      </c>
      <c r="I90" s="175"/>
      <c r="J90" s="175">
        <v>25.53</v>
      </c>
      <c r="K90" s="175">
        <f>J90*H163</f>
        <v>134157.8523</v>
      </c>
      <c r="L90" s="175"/>
      <c r="M90" s="175">
        <v>20.08</v>
      </c>
      <c r="N90" s="175">
        <f>M90*J163</f>
        <v>108061.92559999999</v>
      </c>
      <c r="O90" s="175"/>
      <c r="P90" s="175">
        <v>35.64</v>
      </c>
      <c r="Q90" s="175">
        <f>P90*J163</f>
        <v>191799.1548</v>
      </c>
      <c r="R90" s="175">
        <f t="shared" si="13"/>
        <v>111.17999999999999</v>
      </c>
      <c r="S90" s="175">
        <f>H90+K90+N90+Q90</f>
        <v>591298.389</v>
      </c>
      <c r="U90" s="9"/>
      <c r="V90" s="8"/>
      <c r="W90" s="9"/>
    </row>
    <row r="91" spans="1:23" ht="60" customHeight="1">
      <c r="A91" s="12"/>
      <c r="B91" s="382" t="s">
        <v>39</v>
      </c>
      <c r="C91" s="382"/>
      <c r="D91" s="382"/>
      <c r="E91" s="77"/>
      <c r="F91" s="5">
        <v>15.1</v>
      </c>
      <c r="G91" s="175"/>
      <c r="H91" s="175">
        <f>H92+H93</f>
        <v>15475.944399999998</v>
      </c>
      <c r="I91" s="175"/>
      <c r="J91" s="175"/>
      <c r="K91" s="175">
        <f>K92+K93</f>
        <v>15123.8498</v>
      </c>
      <c r="L91" s="175"/>
      <c r="M91" s="175"/>
      <c r="N91" s="175">
        <f>N92+N93</f>
        <v>24057.469499999996</v>
      </c>
      <c r="O91" s="175"/>
      <c r="P91" s="175"/>
      <c r="Q91" s="175">
        <f>Q92+Q93</f>
        <v>19783.362099999995</v>
      </c>
      <c r="R91" s="175"/>
      <c r="S91" s="175">
        <f>S92+S93</f>
        <v>74440.62</v>
      </c>
      <c r="U91" s="9">
        <f>37.94*P91</f>
        <v>0</v>
      </c>
      <c r="V91" s="8">
        <f>H91+K91+N91+Q91</f>
        <v>74440.6258</v>
      </c>
      <c r="W91" s="9">
        <f>G91+J91+M91+P91</f>
        <v>0</v>
      </c>
    </row>
    <row r="92" spans="1:23" ht="32.25" customHeight="1">
      <c r="A92" s="12"/>
      <c r="B92" s="383"/>
      <c r="C92" s="384"/>
      <c r="D92" s="385"/>
      <c r="E92" s="80" t="s">
        <v>71</v>
      </c>
      <c r="F92" s="5"/>
      <c r="G92" s="175">
        <v>15</v>
      </c>
      <c r="H92" s="175">
        <f>G92*H161</f>
        <v>552</v>
      </c>
      <c r="I92" s="175"/>
      <c r="J92" s="175">
        <v>14</v>
      </c>
      <c r="K92" s="175">
        <f>J92*H161</f>
        <v>515.1999999999999</v>
      </c>
      <c r="L92" s="175"/>
      <c r="M92" s="175">
        <v>14</v>
      </c>
      <c r="N92" s="175">
        <f>M92*J161</f>
        <v>647.64</v>
      </c>
      <c r="O92" s="175"/>
      <c r="P92" s="175">
        <v>17</v>
      </c>
      <c r="Q92" s="175">
        <f>P92*J161</f>
        <v>786.42</v>
      </c>
      <c r="R92" s="175">
        <f t="shared" si="13"/>
        <v>60</v>
      </c>
      <c r="S92" s="175">
        <f>H92+K92+N92+Q92</f>
        <v>2501.2599999999998</v>
      </c>
      <c r="T92" s="60" t="s">
        <v>78</v>
      </c>
      <c r="U92" s="9"/>
      <c r="V92" s="8"/>
      <c r="W92" s="9"/>
    </row>
    <row r="93" spans="1:23" ht="33.75" customHeight="1">
      <c r="A93" s="12"/>
      <c r="B93" s="383"/>
      <c r="C93" s="384"/>
      <c r="D93" s="385"/>
      <c r="E93" s="80" t="s">
        <v>2</v>
      </c>
      <c r="F93" s="5"/>
      <c r="G93" s="175">
        <v>2.84</v>
      </c>
      <c r="H93" s="175">
        <f>G93*H163</f>
        <v>14923.944399999998</v>
      </c>
      <c r="I93" s="175"/>
      <c r="J93" s="175">
        <v>2.78</v>
      </c>
      <c r="K93" s="175">
        <f>J93*H163</f>
        <v>14608.6498</v>
      </c>
      <c r="L93" s="175"/>
      <c r="M93" s="175">
        <v>4.35</v>
      </c>
      <c r="N93" s="175">
        <f>M93*J163</f>
        <v>23409.829499999996</v>
      </c>
      <c r="O93" s="175"/>
      <c r="P93" s="175">
        <v>3.53</v>
      </c>
      <c r="Q93" s="175">
        <f>P93*J163</f>
        <v>18996.942099999997</v>
      </c>
      <c r="R93" s="175">
        <f t="shared" si="13"/>
        <v>13.499999999999998</v>
      </c>
      <c r="S93" s="175">
        <v>71939.36</v>
      </c>
      <c r="U93" s="9"/>
      <c r="V93" s="8"/>
      <c r="W93" s="9"/>
    </row>
    <row r="94" spans="1:23" s="89" customFormat="1" ht="54.75" customHeight="1">
      <c r="A94" s="83">
        <v>3</v>
      </c>
      <c r="B94" s="386" t="s">
        <v>42</v>
      </c>
      <c r="C94" s="387"/>
      <c r="D94" s="388"/>
      <c r="E94" s="84" t="s">
        <v>80</v>
      </c>
      <c r="F94" s="90"/>
      <c r="G94" s="85"/>
      <c r="H94" s="85">
        <f>H97+H100+H103+H106</f>
        <v>53677.28977</v>
      </c>
      <c r="I94" s="85"/>
      <c r="J94" s="85"/>
      <c r="K94" s="85">
        <v>33246.63</v>
      </c>
      <c r="L94" s="85"/>
      <c r="M94" s="85"/>
      <c r="N94" s="85">
        <v>17340.21</v>
      </c>
      <c r="O94" s="85"/>
      <c r="P94" s="85"/>
      <c r="Q94" s="85">
        <f>Q97+Q100+Q103+Q106</f>
        <v>48095.19728</v>
      </c>
      <c r="R94" s="85"/>
      <c r="S94" s="85">
        <f>S97+S100+S103+S106</f>
        <v>152359.32965</v>
      </c>
      <c r="T94" s="86"/>
      <c r="U94" s="87"/>
      <c r="V94" s="88"/>
      <c r="W94" s="87">
        <f>G94+J94+M94+P94</f>
        <v>0</v>
      </c>
    </row>
    <row r="95" spans="1:23" ht="54.75" customHeight="1">
      <c r="A95" s="12"/>
      <c r="B95" s="379"/>
      <c r="C95" s="380"/>
      <c r="D95" s="381"/>
      <c r="E95" s="79" t="s">
        <v>71</v>
      </c>
      <c r="F95" s="5"/>
      <c r="G95" s="267">
        <f>G98+G101+G104+G107</f>
        <v>18.349000000000004</v>
      </c>
      <c r="H95" s="54">
        <f>H98+H101+H104+H107</f>
        <v>713.0518800000001</v>
      </c>
      <c r="I95" s="54"/>
      <c r="J95" s="267">
        <f>J98+J101+J104+J107</f>
        <v>17.753000000000004</v>
      </c>
      <c r="K95" s="54">
        <f>K98+K101+K104+K107</f>
        <v>692.4482399999999</v>
      </c>
      <c r="L95" s="54"/>
      <c r="M95" s="267">
        <f>M98+M101+M104+M107</f>
        <v>17.032</v>
      </c>
      <c r="N95" s="54">
        <f>N98+N101+N104+N107</f>
        <v>829.54184</v>
      </c>
      <c r="O95" s="54"/>
      <c r="P95" s="267">
        <f>P98+P101+P104+P107</f>
        <v>20.404999999999998</v>
      </c>
      <c r="Q95" s="54">
        <v>984.94</v>
      </c>
      <c r="R95" s="267">
        <f>G95+J95+M95+P95</f>
        <v>73.539</v>
      </c>
      <c r="S95" s="54">
        <f>S98+S101+S104+S107</f>
        <v>3219.9848600000005</v>
      </c>
      <c r="U95" s="9"/>
      <c r="V95" s="8"/>
      <c r="W95" s="9"/>
    </row>
    <row r="96" spans="1:23" ht="54.75" customHeight="1">
      <c r="A96" s="12"/>
      <c r="B96" s="379"/>
      <c r="C96" s="380"/>
      <c r="D96" s="381"/>
      <c r="E96" s="79" t="s">
        <v>2</v>
      </c>
      <c r="F96" s="5"/>
      <c r="G96" s="267">
        <f>G99+G102+G105+G108</f>
        <v>10.079</v>
      </c>
      <c r="H96" s="54">
        <f>H99+H102+H105+H108</f>
        <v>52964.237890000004</v>
      </c>
      <c r="I96" s="54"/>
      <c r="J96" s="267">
        <f>J99+J102+J105+J108</f>
        <v>6.195</v>
      </c>
      <c r="K96" s="54">
        <v>32554.18</v>
      </c>
      <c r="L96" s="54"/>
      <c r="M96" s="267">
        <f>M99+M102+M105+M108</f>
        <v>3.068</v>
      </c>
      <c r="N96" s="54">
        <v>16510.67</v>
      </c>
      <c r="O96" s="54"/>
      <c r="P96" s="267">
        <f>P99+P102+P105+P108</f>
        <v>8.754000000000001</v>
      </c>
      <c r="Q96" s="54">
        <f>Q99+Q102+Q105+Q108</f>
        <v>47110.26378</v>
      </c>
      <c r="R96" s="268">
        <f>G96+J96+M96+P96</f>
        <v>28.096000000000004</v>
      </c>
      <c r="S96" s="54">
        <v>149139.35</v>
      </c>
      <c r="U96" s="9"/>
      <c r="V96" s="8"/>
      <c r="W96" s="9"/>
    </row>
    <row r="97" spans="1:23" ht="47.25" customHeight="1">
      <c r="A97" s="12"/>
      <c r="B97" s="292" t="s">
        <v>90</v>
      </c>
      <c r="C97" s="374"/>
      <c r="D97" s="375"/>
      <c r="E97" s="80"/>
      <c r="F97" s="5"/>
      <c r="G97" s="228"/>
      <c r="H97" s="175">
        <f>H98+H99</f>
        <v>21034.651120000002</v>
      </c>
      <c r="I97" s="175"/>
      <c r="J97" s="228"/>
      <c r="K97" s="175">
        <f>K98+K99</f>
        <v>16814.57541</v>
      </c>
      <c r="L97" s="175"/>
      <c r="M97" s="228"/>
      <c r="N97" s="175">
        <v>13174.52</v>
      </c>
      <c r="O97" s="175"/>
      <c r="P97" s="228"/>
      <c r="Q97" s="175">
        <v>19349.04</v>
      </c>
      <c r="R97" s="228"/>
      <c r="S97" s="175">
        <f>S98+S99</f>
        <v>70372.79</v>
      </c>
      <c r="U97" s="9"/>
      <c r="V97" s="8"/>
      <c r="W97" s="9"/>
    </row>
    <row r="98" spans="1:23" ht="39.75" customHeight="1">
      <c r="A98" s="12"/>
      <c r="B98" s="383"/>
      <c r="C98" s="384"/>
      <c r="D98" s="385"/>
      <c r="E98" s="80" t="s">
        <v>71</v>
      </c>
      <c r="F98" s="5"/>
      <c r="G98" s="266">
        <v>12.974</v>
      </c>
      <c r="H98" s="175">
        <f>G98*H161</f>
        <v>477.4432</v>
      </c>
      <c r="I98" s="175"/>
      <c r="J98" s="196">
        <v>12.678</v>
      </c>
      <c r="K98" s="175">
        <f>J98*H161</f>
        <v>466.55039999999997</v>
      </c>
      <c r="L98" s="175"/>
      <c r="M98" s="266">
        <v>12.457</v>
      </c>
      <c r="N98" s="175">
        <f>M98*J161</f>
        <v>576.26082</v>
      </c>
      <c r="O98" s="175"/>
      <c r="P98" s="266">
        <v>14.475</v>
      </c>
      <c r="Q98" s="175">
        <f>P98*J161</f>
        <v>669.6134999999999</v>
      </c>
      <c r="R98" s="266">
        <f>G98+J98+M98+P98</f>
        <v>52.584</v>
      </c>
      <c r="S98" s="175">
        <v>2189.86</v>
      </c>
      <c r="U98" s="9"/>
      <c r="V98" s="8"/>
      <c r="W98" s="9"/>
    </row>
    <row r="99" spans="1:23" ht="34.5" customHeight="1">
      <c r="A99" s="12"/>
      <c r="B99" s="383"/>
      <c r="C99" s="384"/>
      <c r="D99" s="385"/>
      <c r="E99" s="80" t="s">
        <v>2</v>
      </c>
      <c r="F99" s="5"/>
      <c r="G99" s="266">
        <v>3.912</v>
      </c>
      <c r="H99" s="175">
        <f>G99*H163</f>
        <v>20557.20792</v>
      </c>
      <c r="I99" s="175"/>
      <c r="J99" s="266">
        <v>3.111</v>
      </c>
      <c r="K99" s="175">
        <f>J99*H163</f>
        <v>16348.025010000001</v>
      </c>
      <c r="L99" s="175"/>
      <c r="M99" s="266">
        <v>2.341</v>
      </c>
      <c r="N99" s="175">
        <f>M99*J163</f>
        <v>12598.25537</v>
      </c>
      <c r="O99" s="175"/>
      <c r="P99" s="266">
        <v>3.471</v>
      </c>
      <c r="Q99" s="175">
        <f>P99*J163</f>
        <v>18679.42947</v>
      </c>
      <c r="R99" s="266">
        <f>G99+J99+M99+P99</f>
        <v>12.835</v>
      </c>
      <c r="S99" s="175">
        <v>68182.93</v>
      </c>
      <c r="U99" s="9"/>
      <c r="V99" s="8"/>
      <c r="W99" s="9"/>
    </row>
    <row r="100" spans="1:23" ht="36.75" customHeight="1">
      <c r="A100" s="12"/>
      <c r="B100" s="292" t="s">
        <v>91</v>
      </c>
      <c r="C100" s="374"/>
      <c r="D100" s="375"/>
      <c r="E100" s="80"/>
      <c r="F100" s="5"/>
      <c r="G100" s="228"/>
      <c r="H100" s="175">
        <f>H101+H102</f>
        <v>1000.08541</v>
      </c>
      <c r="I100" s="175"/>
      <c r="J100" s="228"/>
      <c r="K100" s="175">
        <f>K101+K102</f>
        <v>1036.66083</v>
      </c>
      <c r="L100" s="175"/>
      <c r="M100" s="228"/>
      <c r="N100" s="175">
        <f>N101+N102</f>
        <v>1212.61901</v>
      </c>
      <c r="O100" s="175"/>
      <c r="P100" s="228"/>
      <c r="Q100" s="175">
        <v>1193.53</v>
      </c>
      <c r="R100" s="228"/>
      <c r="S100" s="175">
        <f>S101+S102</f>
        <v>4442.900549999999</v>
      </c>
      <c r="U100" s="9"/>
      <c r="V100" s="8"/>
      <c r="W100" s="9"/>
    </row>
    <row r="101" spans="1:23" ht="33" customHeight="1">
      <c r="A101" s="12"/>
      <c r="B101" s="383"/>
      <c r="C101" s="384"/>
      <c r="D101" s="385"/>
      <c r="E101" s="80" t="s">
        <v>71</v>
      </c>
      <c r="F101" s="5"/>
      <c r="G101" s="266">
        <v>2.873</v>
      </c>
      <c r="H101" s="175">
        <f>G101*H162</f>
        <v>143.53508000000002</v>
      </c>
      <c r="I101" s="175"/>
      <c r="J101" s="266">
        <v>2.974</v>
      </c>
      <c r="K101" s="175">
        <f>J101*H162</f>
        <v>148.58104</v>
      </c>
      <c r="L101" s="175"/>
      <c r="M101" s="266">
        <v>3.326</v>
      </c>
      <c r="N101" s="175">
        <f>M101*J162</f>
        <v>195.50228</v>
      </c>
      <c r="O101" s="175"/>
      <c r="P101" s="266">
        <v>3.276</v>
      </c>
      <c r="Q101" s="175">
        <f>P101*J162</f>
        <v>192.56328</v>
      </c>
      <c r="R101" s="266">
        <f>G101+J101+M101+P101</f>
        <v>12.449</v>
      </c>
      <c r="S101" s="175">
        <f>H101+K101+N101+Q101</f>
        <v>680.18168</v>
      </c>
      <c r="U101" s="9"/>
      <c r="V101" s="8"/>
      <c r="W101" s="9"/>
    </row>
    <row r="102" spans="1:23" ht="36.75" customHeight="1">
      <c r="A102" s="12"/>
      <c r="B102" s="383"/>
      <c r="C102" s="384"/>
      <c r="D102" s="385"/>
      <c r="E102" s="80" t="s">
        <v>2</v>
      </c>
      <c r="F102" s="5"/>
      <c r="G102" s="266">
        <v>0.163</v>
      </c>
      <c r="H102" s="175">
        <f>G102*H164</f>
        <v>856.55033</v>
      </c>
      <c r="I102" s="175"/>
      <c r="J102" s="266">
        <v>0.169</v>
      </c>
      <c r="K102" s="175">
        <f>J102*H164</f>
        <v>888.07979</v>
      </c>
      <c r="L102" s="175"/>
      <c r="M102" s="266">
        <v>0.189</v>
      </c>
      <c r="N102" s="175">
        <f>M102*J164</f>
        <v>1017.11673</v>
      </c>
      <c r="O102" s="175"/>
      <c r="P102" s="266">
        <v>0.186</v>
      </c>
      <c r="Q102" s="175">
        <f>P102*J164</f>
        <v>1000.9720199999999</v>
      </c>
      <c r="R102" s="266">
        <f>G102+J102+M102+P102</f>
        <v>0.7070000000000001</v>
      </c>
      <c r="S102" s="175">
        <f>H102+K102+N102+Q102</f>
        <v>3762.7188699999997</v>
      </c>
      <c r="U102" s="9"/>
      <c r="V102" s="8"/>
      <c r="W102" s="9"/>
    </row>
    <row r="103" spans="1:23" ht="36.75" customHeight="1">
      <c r="A103" s="12"/>
      <c r="B103" s="309" t="s">
        <v>110</v>
      </c>
      <c r="C103" s="293"/>
      <c r="D103" s="294"/>
      <c r="E103" s="261"/>
      <c r="F103" s="5"/>
      <c r="G103" s="266"/>
      <c r="H103" s="175">
        <f>H104+H105</f>
        <v>287.70339</v>
      </c>
      <c r="I103" s="175"/>
      <c r="J103" s="266"/>
      <c r="K103" s="175">
        <f>K104+K105</f>
        <v>304.53531999999996</v>
      </c>
      <c r="L103" s="175"/>
      <c r="M103" s="266"/>
      <c r="N103" s="175">
        <f>N104+N105</f>
        <v>350.69649</v>
      </c>
      <c r="O103" s="175"/>
      <c r="P103" s="266"/>
      <c r="Q103" s="175">
        <f>Q104+Q105</f>
        <v>344.66727999999995</v>
      </c>
      <c r="R103" s="266"/>
      <c r="S103" s="175">
        <f>S104+S105</f>
        <v>1287.60916</v>
      </c>
      <c r="U103" s="9"/>
      <c r="V103" s="8"/>
      <c r="W103" s="9"/>
    </row>
    <row r="104" spans="1:23" ht="36.75" customHeight="1">
      <c r="A104" s="12"/>
      <c r="B104" s="259"/>
      <c r="C104" s="260"/>
      <c r="D104" s="261"/>
      <c r="E104" s="261" t="s">
        <v>71</v>
      </c>
      <c r="F104" s="5"/>
      <c r="G104" s="266">
        <v>0.821</v>
      </c>
      <c r="H104" s="175">
        <f>G104*H161</f>
        <v>30.212799999999994</v>
      </c>
      <c r="I104" s="175"/>
      <c r="J104" s="266">
        <v>0.85</v>
      </c>
      <c r="K104" s="175">
        <f>J104*H161</f>
        <v>31.279999999999998</v>
      </c>
      <c r="L104" s="175"/>
      <c r="M104" s="266">
        <v>0.95</v>
      </c>
      <c r="N104" s="175">
        <f>M104*J161</f>
        <v>43.946999999999996</v>
      </c>
      <c r="O104" s="175"/>
      <c r="P104" s="266">
        <v>0.936</v>
      </c>
      <c r="Q104" s="175">
        <f>P104*J161</f>
        <v>43.29936</v>
      </c>
      <c r="R104" s="266">
        <f>G104+J104+M104+P104</f>
        <v>3.5569999999999995</v>
      </c>
      <c r="S104" s="175">
        <f>H104+K104+N104+Q104</f>
        <v>148.73916</v>
      </c>
      <c r="U104" s="9"/>
      <c r="V104" s="8"/>
      <c r="W104" s="9"/>
    </row>
    <row r="105" spans="1:23" ht="36.75" customHeight="1">
      <c r="A105" s="12"/>
      <c r="B105" s="259"/>
      <c r="C105" s="260"/>
      <c r="D105" s="261"/>
      <c r="E105" s="261" t="s">
        <v>2</v>
      </c>
      <c r="F105" s="5"/>
      <c r="G105" s="266">
        <v>0.049</v>
      </c>
      <c r="H105" s="175">
        <f>G105*H163</f>
        <v>257.49059</v>
      </c>
      <c r="I105" s="175"/>
      <c r="J105" s="266">
        <v>0.052</v>
      </c>
      <c r="K105" s="175">
        <f>J105*H163</f>
        <v>273.25532</v>
      </c>
      <c r="L105" s="175"/>
      <c r="M105" s="266">
        <v>0.057</v>
      </c>
      <c r="N105" s="175">
        <f>M105*J163</f>
        <v>306.74949</v>
      </c>
      <c r="O105" s="175"/>
      <c r="P105" s="266">
        <v>0.056</v>
      </c>
      <c r="Q105" s="175">
        <f>P105*J163</f>
        <v>301.36791999999997</v>
      </c>
      <c r="R105" s="266">
        <f>G105+J105+M105+P105</f>
        <v>0.214</v>
      </c>
      <c r="S105" s="175">
        <v>1138.87</v>
      </c>
      <c r="U105" s="9"/>
      <c r="V105" s="8"/>
      <c r="W105" s="9"/>
    </row>
    <row r="106" spans="1:23" ht="36.75" customHeight="1">
      <c r="A106" s="12"/>
      <c r="B106" s="309" t="s">
        <v>109</v>
      </c>
      <c r="C106" s="293"/>
      <c r="D106" s="294"/>
      <c r="E106" s="261"/>
      <c r="F106" s="5"/>
      <c r="G106" s="266"/>
      <c r="H106" s="175">
        <f>H107+H108</f>
        <v>31354.84985</v>
      </c>
      <c r="I106" s="175"/>
      <c r="J106" s="266"/>
      <c r="K106" s="175">
        <v>15090.85</v>
      </c>
      <c r="L106" s="175"/>
      <c r="M106" s="266"/>
      <c r="N106" s="175">
        <f>N107+N108</f>
        <v>2602.3669099999997</v>
      </c>
      <c r="O106" s="175"/>
      <c r="P106" s="266"/>
      <c r="Q106" s="175">
        <v>27207.96</v>
      </c>
      <c r="R106" s="266"/>
      <c r="S106" s="175">
        <f>S107+S108</f>
        <v>76256.02994000001</v>
      </c>
      <c r="U106" s="9"/>
      <c r="V106" s="8"/>
      <c r="W106" s="9"/>
    </row>
    <row r="107" spans="1:23" ht="36.75" customHeight="1">
      <c r="A107" s="12"/>
      <c r="B107" s="259"/>
      <c r="C107" s="260"/>
      <c r="D107" s="261"/>
      <c r="E107" s="261" t="s">
        <v>71</v>
      </c>
      <c r="F107" s="5"/>
      <c r="G107" s="266">
        <v>1.681</v>
      </c>
      <c r="H107" s="175">
        <f>G107*H161</f>
        <v>61.8608</v>
      </c>
      <c r="I107" s="175"/>
      <c r="J107" s="266">
        <v>1.251</v>
      </c>
      <c r="K107" s="175">
        <f>J107*H161</f>
        <v>46.03679999999999</v>
      </c>
      <c r="L107" s="175"/>
      <c r="M107" s="266">
        <v>0.299</v>
      </c>
      <c r="N107" s="175">
        <f>M107*J161</f>
        <v>13.831739999999998</v>
      </c>
      <c r="O107" s="175"/>
      <c r="P107" s="266">
        <v>1.718</v>
      </c>
      <c r="Q107" s="175">
        <f>P107*J161</f>
        <v>79.47467999999999</v>
      </c>
      <c r="R107" s="266">
        <f>G107+J107+M107+P107</f>
        <v>4.949</v>
      </c>
      <c r="S107" s="175">
        <f>H107+K107+N107+Q107</f>
        <v>201.20401999999996</v>
      </c>
      <c r="U107" s="9"/>
      <c r="V107" s="8"/>
      <c r="W107" s="9"/>
    </row>
    <row r="108" spans="1:23" ht="36.75" customHeight="1">
      <c r="A108" s="12"/>
      <c r="B108" s="259"/>
      <c r="C108" s="260"/>
      <c r="D108" s="261"/>
      <c r="E108" s="261" t="s">
        <v>2</v>
      </c>
      <c r="F108" s="5"/>
      <c r="G108" s="266">
        <v>5.955</v>
      </c>
      <c r="H108" s="175">
        <f>G108*H163</f>
        <v>31292.98905</v>
      </c>
      <c r="I108" s="175"/>
      <c r="J108" s="266">
        <v>2.863</v>
      </c>
      <c r="K108" s="175">
        <f>J108*H163</f>
        <v>15044.80733</v>
      </c>
      <c r="L108" s="175"/>
      <c r="M108" s="266">
        <v>0.481</v>
      </c>
      <c r="N108" s="175">
        <f>M108*J163</f>
        <v>2588.5351699999997</v>
      </c>
      <c r="O108" s="175"/>
      <c r="P108" s="266">
        <v>5.041</v>
      </c>
      <c r="Q108" s="175">
        <f>P108*J163</f>
        <v>27128.49437</v>
      </c>
      <c r="R108" s="266">
        <f>G108+J108+M108+P108</f>
        <v>14.34</v>
      </c>
      <c r="S108" s="175">
        <f>H108+K108+N108+Q108</f>
        <v>76054.82592</v>
      </c>
      <c r="U108" s="9"/>
      <c r="V108" s="8"/>
      <c r="W108" s="9"/>
    </row>
    <row r="109" spans="1:23" s="89" customFormat="1" ht="45.75" customHeight="1">
      <c r="A109" s="83">
        <v>4</v>
      </c>
      <c r="B109" s="386" t="s">
        <v>43</v>
      </c>
      <c r="C109" s="387"/>
      <c r="D109" s="388"/>
      <c r="E109" s="91" t="s">
        <v>80</v>
      </c>
      <c r="F109" s="90">
        <v>31</v>
      </c>
      <c r="G109" s="85"/>
      <c r="H109" s="85">
        <f>H115+H118</f>
        <v>302306.18337</v>
      </c>
      <c r="I109" s="85"/>
      <c r="J109" s="85"/>
      <c r="K109" s="85">
        <f>K115+K118</f>
        <v>302306.18337</v>
      </c>
      <c r="L109" s="85"/>
      <c r="M109" s="85"/>
      <c r="N109" s="85">
        <f>N115+N118</f>
        <v>318940.17759</v>
      </c>
      <c r="O109" s="85"/>
      <c r="P109" s="85"/>
      <c r="Q109" s="85">
        <f>Q115+Q118</f>
        <v>318940.17759</v>
      </c>
      <c r="R109" s="85"/>
      <c r="S109" s="85">
        <f>S115+S118</f>
        <v>1242492.7219200002</v>
      </c>
      <c r="T109" s="86"/>
      <c r="U109" s="87">
        <f>37.94*P109</f>
        <v>0</v>
      </c>
      <c r="V109" s="88">
        <f>H109+K109+N109+Q109</f>
        <v>1242492.72192</v>
      </c>
      <c r="W109" s="87">
        <f>G109+J109+M109+P109</f>
        <v>0</v>
      </c>
    </row>
    <row r="110" spans="1:23" ht="41.25" customHeight="1" hidden="1">
      <c r="A110" s="12"/>
      <c r="B110" s="309" t="s">
        <v>45</v>
      </c>
      <c r="C110" s="310"/>
      <c r="D110" s="311"/>
      <c r="E110" s="71"/>
      <c r="F110" s="12">
        <v>51</v>
      </c>
      <c r="G110" s="54"/>
      <c r="H110" s="175">
        <f>H111+H112</f>
        <v>0</v>
      </c>
      <c r="I110" s="175"/>
      <c r="J110" s="175"/>
      <c r="K110" s="175">
        <f>K111+K112</f>
        <v>0</v>
      </c>
      <c r="L110" s="175"/>
      <c r="M110" s="175"/>
      <c r="N110" s="175">
        <f>N111+N112</f>
        <v>0</v>
      </c>
      <c r="O110" s="175"/>
      <c r="P110" s="175"/>
      <c r="Q110" s="175">
        <f>Q111+Q112</f>
        <v>0</v>
      </c>
      <c r="R110" s="175"/>
      <c r="S110" s="175">
        <f>S111+S112</f>
        <v>0</v>
      </c>
      <c r="U110" s="9">
        <f>37.94*P110</f>
        <v>0</v>
      </c>
      <c r="V110" s="8">
        <f>H110+K110+N110+Q110</f>
        <v>0</v>
      </c>
      <c r="W110" s="9">
        <f>G110+J110+M110+P110</f>
        <v>0</v>
      </c>
    </row>
    <row r="111" spans="1:23" ht="25.5" customHeight="1" hidden="1">
      <c r="A111" s="12"/>
      <c r="B111" s="383"/>
      <c r="C111" s="384"/>
      <c r="D111" s="385"/>
      <c r="E111" s="80" t="s">
        <v>71</v>
      </c>
      <c r="F111" s="5"/>
      <c r="G111" s="175"/>
      <c r="H111" s="175">
        <f>G111*H161</f>
        <v>0</v>
      </c>
      <c r="I111" s="175"/>
      <c r="J111" s="175"/>
      <c r="K111" s="175">
        <f>J111*H161</f>
        <v>0</v>
      </c>
      <c r="L111" s="175"/>
      <c r="M111" s="175"/>
      <c r="N111" s="175">
        <f>M111*J161</f>
        <v>0</v>
      </c>
      <c r="O111" s="175"/>
      <c r="P111" s="175"/>
      <c r="Q111" s="175">
        <f>P111*J161</f>
        <v>0</v>
      </c>
      <c r="R111" s="175">
        <f>G111+J111+M111+P111</f>
        <v>0</v>
      </c>
      <c r="S111" s="175">
        <f>H111+K111+N111+Q111</f>
        <v>0</v>
      </c>
      <c r="U111" s="9"/>
      <c r="V111" s="8"/>
      <c r="W111" s="9"/>
    </row>
    <row r="112" spans="1:23" ht="25.5" customHeight="1" hidden="1">
      <c r="A112" s="12"/>
      <c r="B112" s="383"/>
      <c r="C112" s="384"/>
      <c r="D112" s="385"/>
      <c r="E112" s="80" t="s">
        <v>2</v>
      </c>
      <c r="F112" s="5"/>
      <c r="G112" s="175"/>
      <c r="H112" s="175">
        <f>G112*H163</f>
        <v>0</v>
      </c>
      <c r="I112" s="175"/>
      <c r="J112" s="175"/>
      <c r="K112" s="175">
        <f>J112*H163</f>
        <v>0</v>
      </c>
      <c r="L112" s="175"/>
      <c r="M112" s="175"/>
      <c r="N112" s="175">
        <f>M112*J163</f>
        <v>0</v>
      </c>
      <c r="O112" s="175"/>
      <c r="P112" s="175"/>
      <c r="Q112" s="175">
        <f>P112*J163</f>
        <v>0</v>
      </c>
      <c r="R112" s="175">
        <f>G112+J112+M112+P112</f>
        <v>0</v>
      </c>
      <c r="S112" s="175">
        <f>H112+K112+N112+Q112</f>
        <v>0</v>
      </c>
      <c r="U112" s="9"/>
      <c r="V112" s="8"/>
      <c r="W112" s="9"/>
    </row>
    <row r="113" spans="1:23" ht="25.5" customHeight="1">
      <c r="A113" s="12"/>
      <c r="B113" s="256"/>
      <c r="C113" s="257"/>
      <c r="D113" s="258"/>
      <c r="E113" s="255" t="s">
        <v>71</v>
      </c>
      <c r="F113" s="5"/>
      <c r="G113" s="54">
        <f>G116+G119</f>
        <v>1218.96</v>
      </c>
      <c r="H113" s="54">
        <f>H116+H119</f>
        <v>60018.047999999995</v>
      </c>
      <c r="I113" s="54"/>
      <c r="J113" s="54">
        <f>J116+J119</f>
        <v>1218.96</v>
      </c>
      <c r="K113" s="54">
        <f>K116+K119</f>
        <v>60018.047999999995</v>
      </c>
      <c r="L113" s="54"/>
      <c r="M113" s="54">
        <f>M116+M119</f>
        <v>1218.96</v>
      </c>
      <c r="N113" s="54">
        <f>N116+N119</f>
        <v>70812.1296</v>
      </c>
      <c r="O113" s="54"/>
      <c r="P113" s="54">
        <f>P116+P119</f>
        <v>1218.96</v>
      </c>
      <c r="Q113" s="54">
        <f>Q116+Q119</f>
        <v>70812.1296</v>
      </c>
      <c r="R113" s="54">
        <f>G113+J113+M113+P113</f>
        <v>4875.84</v>
      </c>
      <c r="S113" s="54">
        <f>S116+S119</f>
        <v>261660.3552</v>
      </c>
      <c r="U113" s="9"/>
      <c r="V113" s="8"/>
      <c r="W113" s="9"/>
    </row>
    <row r="114" spans="1:23" ht="25.5" customHeight="1">
      <c r="A114" s="12"/>
      <c r="B114" s="256"/>
      <c r="C114" s="257"/>
      <c r="D114" s="258"/>
      <c r="E114" s="255" t="s">
        <v>2</v>
      </c>
      <c r="F114" s="5"/>
      <c r="G114" s="54">
        <f>G117+G120</f>
        <v>46.107</v>
      </c>
      <c r="H114" s="54">
        <v>242288.13</v>
      </c>
      <c r="I114" s="54"/>
      <c r="J114" s="54">
        <f>J117+J120</f>
        <v>46.107</v>
      </c>
      <c r="K114" s="54">
        <v>242288.13</v>
      </c>
      <c r="L114" s="54"/>
      <c r="M114" s="54">
        <f>M117+M120</f>
        <v>46.107</v>
      </c>
      <c r="N114" s="54">
        <f>N117+N120</f>
        <v>248128.04799</v>
      </c>
      <c r="O114" s="54"/>
      <c r="P114" s="54">
        <f>P117+P120</f>
        <v>46.107</v>
      </c>
      <c r="Q114" s="54">
        <f>Q117+Q120</f>
        <v>248128.04799</v>
      </c>
      <c r="R114" s="54">
        <f>G114+J114+M114+P114</f>
        <v>184.428</v>
      </c>
      <c r="S114" s="54">
        <v>980832.36</v>
      </c>
      <c r="U114" s="9"/>
      <c r="V114" s="8"/>
      <c r="W114" s="9"/>
    </row>
    <row r="115" spans="1:23" ht="25.5" customHeight="1">
      <c r="A115" s="12"/>
      <c r="B115" s="292" t="s">
        <v>105</v>
      </c>
      <c r="C115" s="293"/>
      <c r="D115" s="294"/>
      <c r="E115" s="258"/>
      <c r="F115" s="5"/>
      <c r="G115" s="175"/>
      <c r="H115" s="175">
        <f>H116+H117</f>
        <v>15375.441869999999</v>
      </c>
      <c r="I115" s="175"/>
      <c r="J115" s="175"/>
      <c r="K115" s="175">
        <f>K116+K117</f>
        <v>15375.441869999999</v>
      </c>
      <c r="L115" s="175"/>
      <c r="M115" s="175"/>
      <c r="N115" s="175">
        <f>N116+N117</f>
        <v>16320.087089999997</v>
      </c>
      <c r="O115" s="175"/>
      <c r="P115" s="175"/>
      <c r="Q115" s="175">
        <f>Q116+Q117</f>
        <v>16320.087089999997</v>
      </c>
      <c r="R115" s="175"/>
      <c r="S115" s="175">
        <f>S116+S117</f>
        <v>63391.05791999999</v>
      </c>
      <c r="U115" s="9"/>
      <c r="V115" s="8"/>
      <c r="W115" s="9"/>
    </row>
    <row r="116" spans="1:23" ht="25.5" customHeight="1">
      <c r="A116" s="12"/>
      <c r="B116" s="254"/>
      <c r="C116" s="252"/>
      <c r="D116" s="253"/>
      <c r="E116" s="258" t="s">
        <v>71</v>
      </c>
      <c r="F116" s="5"/>
      <c r="G116" s="175">
        <v>66.96</v>
      </c>
      <c r="H116" s="175">
        <f>G116*H161</f>
        <v>2464.1279999999997</v>
      </c>
      <c r="I116" s="175"/>
      <c r="J116" s="175">
        <v>66.96</v>
      </c>
      <c r="K116" s="175">
        <f>J116*H161</f>
        <v>2464.1279999999997</v>
      </c>
      <c r="L116" s="175"/>
      <c r="M116" s="175">
        <v>66.96</v>
      </c>
      <c r="N116" s="175">
        <f>M116*J161</f>
        <v>3097.5695999999994</v>
      </c>
      <c r="O116" s="175"/>
      <c r="P116" s="175">
        <v>66.96</v>
      </c>
      <c r="Q116" s="175">
        <f>P116*J161</f>
        <v>3097.5695999999994</v>
      </c>
      <c r="R116" s="175">
        <f>G116+J116+M116+P116</f>
        <v>267.84</v>
      </c>
      <c r="S116" s="175">
        <f>H116+K116+N116+Q116</f>
        <v>11123.395199999997</v>
      </c>
      <c r="U116" s="9"/>
      <c r="V116" s="8"/>
      <c r="W116" s="9"/>
    </row>
    <row r="117" spans="1:23" ht="25.5" customHeight="1">
      <c r="A117" s="12"/>
      <c r="B117" s="254"/>
      <c r="C117" s="252"/>
      <c r="D117" s="253"/>
      <c r="E117" s="258" t="s">
        <v>2</v>
      </c>
      <c r="F117" s="5"/>
      <c r="G117" s="175">
        <v>2.457</v>
      </c>
      <c r="H117" s="175">
        <f>G117*H163</f>
        <v>12911.313869999998</v>
      </c>
      <c r="I117" s="175"/>
      <c r="J117" s="175">
        <v>2.457</v>
      </c>
      <c r="K117" s="175">
        <f>J117*H163</f>
        <v>12911.313869999998</v>
      </c>
      <c r="L117" s="175"/>
      <c r="M117" s="175">
        <v>2.457</v>
      </c>
      <c r="N117" s="175">
        <f>M117*J163</f>
        <v>13222.517489999998</v>
      </c>
      <c r="O117" s="175"/>
      <c r="P117" s="175">
        <v>2.457</v>
      </c>
      <c r="Q117" s="175">
        <f>P117*J163</f>
        <v>13222.517489999998</v>
      </c>
      <c r="R117" s="175">
        <v>9.84</v>
      </c>
      <c r="S117" s="175">
        <f>H117+K117+N117+Q117</f>
        <v>52267.66271999999</v>
      </c>
      <c r="U117" s="9"/>
      <c r="V117" s="8"/>
      <c r="W117" s="9"/>
    </row>
    <row r="118" spans="1:23" ht="25.5" customHeight="1">
      <c r="A118" s="12"/>
      <c r="B118" s="292" t="s">
        <v>106</v>
      </c>
      <c r="C118" s="293"/>
      <c r="D118" s="294"/>
      <c r="E118" s="258"/>
      <c r="F118" s="5"/>
      <c r="G118" s="175"/>
      <c r="H118" s="175">
        <f>H119+H120</f>
        <v>286930.7415</v>
      </c>
      <c r="I118" s="175"/>
      <c r="J118" s="175"/>
      <c r="K118" s="175">
        <f>K119+K120</f>
        <v>286930.7415</v>
      </c>
      <c r="L118" s="175"/>
      <c r="M118" s="175"/>
      <c r="N118" s="175">
        <f>N119+N120</f>
        <v>302620.0905</v>
      </c>
      <c r="O118" s="175"/>
      <c r="P118" s="175"/>
      <c r="Q118" s="175">
        <f>Q119+Q120</f>
        <v>302620.0905</v>
      </c>
      <c r="R118" s="175"/>
      <c r="S118" s="175">
        <f>S119+S120</f>
        <v>1179101.664</v>
      </c>
      <c r="U118" s="9"/>
      <c r="V118" s="8"/>
      <c r="W118" s="9"/>
    </row>
    <row r="119" spans="1:23" ht="25.5" customHeight="1">
      <c r="A119" s="12"/>
      <c r="B119" s="254"/>
      <c r="C119" s="252"/>
      <c r="D119" s="253"/>
      <c r="E119" s="258" t="s">
        <v>71</v>
      </c>
      <c r="F119" s="5"/>
      <c r="G119" s="175">
        <v>1152</v>
      </c>
      <c r="H119" s="175">
        <f>G119*H162</f>
        <v>57553.92</v>
      </c>
      <c r="I119" s="175"/>
      <c r="J119" s="175">
        <v>1152</v>
      </c>
      <c r="K119" s="175">
        <f>J119*H162</f>
        <v>57553.92</v>
      </c>
      <c r="L119" s="175"/>
      <c r="M119" s="175">
        <v>1152</v>
      </c>
      <c r="N119" s="175">
        <f>M119*J162</f>
        <v>67714.56</v>
      </c>
      <c r="O119" s="175"/>
      <c r="P119" s="175">
        <v>1152</v>
      </c>
      <c r="Q119" s="175">
        <f>P119*J162</f>
        <v>67714.56</v>
      </c>
      <c r="R119" s="175">
        <f>G119+J119+M119+P119</f>
        <v>4608</v>
      </c>
      <c r="S119" s="175">
        <f>H119+K119+N119+Q119</f>
        <v>250536.96</v>
      </c>
      <c r="U119" s="9"/>
      <c r="V119" s="8"/>
      <c r="W119" s="9"/>
    </row>
    <row r="120" spans="1:23" ht="25.5" customHeight="1">
      <c r="A120" s="12"/>
      <c r="B120" s="254"/>
      <c r="C120" s="252"/>
      <c r="D120" s="253"/>
      <c r="E120" s="258" t="s">
        <v>2</v>
      </c>
      <c r="F120" s="5"/>
      <c r="G120" s="175">
        <v>43.65</v>
      </c>
      <c r="H120" s="175">
        <f>G120*H164</f>
        <v>229376.8215</v>
      </c>
      <c r="I120" s="175"/>
      <c r="J120" s="175">
        <v>43.65</v>
      </c>
      <c r="K120" s="175">
        <f>J120*H164</f>
        <v>229376.8215</v>
      </c>
      <c r="L120" s="175"/>
      <c r="M120" s="175">
        <v>43.65</v>
      </c>
      <c r="N120" s="175">
        <f>M120*J164</f>
        <v>234905.5305</v>
      </c>
      <c r="O120" s="175"/>
      <c r="P120" s="175">
        <v>43.65</v>
      </c>
      <c r="Q120" s="175">
        <f>P120*J164</f>
        <v>234905.5305</v>
      </c>
      <c r="R120" s="175">
        <f>G120+J120+M120+P120</f>
        <v>174.6</v>
      </c>
      <c r="S120" s="175">
        <f>H120+K120+N120+Q120</f>
        <v>928564.704</v>
      </c>
      <c r="U120" s="9"/>
      <c r="V120" s="8"/>
      <c r="W120" s="9"/>
    </row>
    <row r="121" spans="1:23" s="89" customFormat="1" ht="57.75" customHeight="1">
      <c r="A121" s="83">
        <v>5</v>
      </c>
      <c r="B121" s="386" t="s">
        <v>47</v>
      </c>
      <c r="C121" s="387"/>
      <c r="D121" s="388"/>
      <c r="E121" s="84" t="s">
        <v>80</v>
      </c>
      <c r="F121" s="90"/>
      <c r="G121" s="85"/>
      <c r="H121" s="85">
        <f>H124+H127+H130+H133</f>
        <v>38253.11663999999</v>
      </c>
      <c r="I121" s="85"/>
      <c r="J121" s="85"/>
      <c r="K121" s="85">
        <f>K124+K127+K130+K133</f>
        <v>38682.38899</v>
      </c>
      <c r="L121" s="85"/>
      <c r="M121" s="85"/>
      <c r="N121" s="85">
        <v>21266.22</v>
      </c>
      <c r="O121" s="85"/>
      <c r="P121" s="85"/>
      <c r="Q121" s="85">
        <f>Q124+Q127+Q130+Q133</f>
        <v>39659.88847</v>
      </c>
      <c r="R121" s="85"/>
      <c r="S121" s="85">
        <v>137861.62</v>
      </c>
      <c r="T121" s="86"/>
      <c r="U121" s="87"/>
      <c r="V121" s="88"/>
      <c r="W121" s="87"/>
    </row>
    <row r="122" spans="1:23" ht="38.25" customHeight="1">
      <c r="A122" s="12"/>
      <c r="B122" s="379"/>
      <c r="C122" s="380"/>
      <c r="D122" s="381"/>
      <c r="E122" s="119" t="s">
        <v>71</v>
      </c>
      <c r="F122" s="5"/>
      <c r="G122" s="54">
        <f>G125+G128+G131+G134</f>
        <v>76.1</v>
      </c>
      <c r="H122" s="54">
        <f>H125+H128+H131+H134</f>
        <v>3024.2</v>
      </c>
      <c r="I122" s="54"/>
      <c r="J122" s="54">
        <f>J125+J128+J131+J134</f>
        <v>76.874</v>
      </c>
      <c r="K122" s="54">
        <f>K125+K128+K131+K134</f>
        <v>3111.9032</v>
      </c>
      <c r="L122" s="54"/>
      <c r="M122" s="54">
        <f>M125+M128+M131+M134</f>
        <v>48.019999999999996</v>
      </c>
      <c r="N122" s="54">
        <v>2409.2</v>
      </c>
      <c r="O122" s="54"/>
      <c r="P122" s="54">
        <f>P125+P128+P131+P134</f>
        <v>77.64</v>
      </c>
      <c r="Q122" s="54">
        <f>Q125+Q128+Q131+Q134</f>
        <v>3867.0664</v>
      </c>
      <c r="R122" s="54">
        <f>G122+J122+M122+P122</f>
        <v>278.63399999999996</v>
      </c>
      <c r="S122" s="54">
        <f>H122+K122+N122+Q122</f>
        <v>12412.369599999998</v>
      </c>
      <c r="U122" s="9"/>
      <c r="V122" s="8"/>
      <c r="W122" s="9"/>
    </row>
    <row r="123" spans="1:23" ht="38.25" customHeight="1">
      <c r="A123" s="12"/>
      <c r="B123" s="379"/>
      <c r="C123" s="380"/>
      <c r="D123" s="381"/>
      <c r="E123" s="119" t="s">
        <v>2</v>
      </c>
      <c r="F123" s="5"/>
      <c r="G123" s="54">
        <f>G126+G129+G132+G135</f>
        <v>6.704000000000001</v>
      </c>
      <c r="H123" s="54">
        <f>H126+H129+H132+H135</f>
        <v>35228.916639999996</v>
      </c>
      <c r="I123" s="54"/>
      <c r="J123" s="54">
        <f>J126+J129+J132+J135</f>
        <v>6.769</v>
      </c>
      <c r="K123" s="54">
        <f>K126+K129+K132+K135</f>
        <v>35570.48579</v>
      </c>
      <c r="L123" s="54"/>
      <c r="M123" s="54">
        <f>M126+M129+M132+M135</f>
        <v>3.504</v>
      </c>
      <c r="N123" s="54">
        <f>N126+N129+N132+N135</f>
        <v>18857.02128</v>
      </c>
      <c r="O123" s="54"/>
      <c r="P123" s="54">
        <f>P126+P129+P132+P135</f>
        <v>6.651</v>
      </c>
      <c r="Q123" s="54">
        <f>Q126+Q129+Q132+Q135</f>
        <v>35792.82207</v>
      </c>
      <c r="R123" s="54">
        <f>G123+J123+M123+P123</f>
        <v>23.628</v>
      </c>
      <c r="S123" s="54">
        <f>H123+K123+N123+Q123</f>
        <v>125449.24578</v>
      </c>
      <c r="U123" s="9"/>
      <c r="V123" s="8"/>
      <c r="W123" s="9"/>
    </row>
    <row r="124" spans="1:23" ht="35.25" customHeight="1">
      <c r="A124" s="12"/>
      <c r="B124" s="309" t="s">
        <v>48</v>
      </c>
      <c r="C124" s="310"/>
      <c r="D124" s="311"/>
      <c r="E124" s="72"/>
      <c r="F124" s="5"/>
      <c r="G124" s="175"/>
      <c r="H124" s="175">
        <f>H125+H126</f>
        <v>1227.5471</v>
      </c>
      <c r="I124" s="175"/>
      <c r="J124" s="175"/>
      <c r="K124" s="175">
        <f>K125+K126</f>
        <v>1049.15209</v>
      </c>
      <c r="L124" s="175"/>
      <c r="M124" s="175"/>
      <c r="N124" s="175">
        <f>N125+N126</f>
        <v>1663.0443</v>
      </c>
      <c r="O124" s="175"/>
      <c r="P124" s="175"/>
      <c r="Q124" s="175">
        <f>Q125+Q126</f>
        <v>3500.9510999999998</v>
      </c>
      <c r="R124" s="175"/>
      <c r="S124" s="175">
        <f>S125+S126</f>
        <v>7440.6858</v>
      </c>
      <c r="U124" s="9"/>
      <c r="V124" s="8"/>
      <c r="W124" s="9"/>
    </row>
    <row r="125" spans="1:23" ht="28.5" customHeight="1">
      <c r="A125" s="12"/>
      <c r="B125" s="383"/>
      <c r="C125" s="384"/>
      <c r="D125" s="385"/>
      <c r="E125" s="80" t="s">
        <v>71</v>
      </c>
      <c r="F125" s="5"/>
      <c r="G125" s="175">
        <v>3.37</v>
      </c>
      <c r="H125" s="175">
        <f>G125*H161</f>
        <v>124.01599999999999</v>
      </c>
      <c r="I125" s="175"/>
      <c r="J125" s="228">
        <v>2.949</v>
      </c>
      <c r="K125" s="175">
        <f>J125*H161</f>
        <v>108.52319999999999</v>
      </c>
      <c r="L125" s="175"/>
      <c r="M125" s="175">
        <v>4.54</v>
      </c>
      <c r="N125" s="175">
        <f>M125*J161</f>
        <v>210.0204</v>
      </c>
      <c r="O125" s="175"/>
      <c r="P125" s="175">
        <v>9.37</v>
      </c>
      <c r="Q125" s="175">
        <f>P125*J161</f>
        <v>433.45619999999997</v>
      </c>
      <c r="R125" s="175">
        <f>G125+J125+M125+P125</f>
        <v>20.229</v>
      </c>
      <c r="S125" s="175">
        <f>H125+K125+N125+Q125</f>
        <v>876.0157999999999</v>
      </c>
      <c r="U125" s="9"/>
      <c r="V125" s="8"/>
      <c r="W125" s="9"/>
    </row>
    <row r="126" spans="1:23" ht="25.5" customHeight="1">
      <c r="A126" s="12"/>
      <c r="B126" s="383"/>
      <c r="C126" s="384"/>
      <c r="D126" s="385"/>
      <c r="E126" s="80" t="s">
        <v>2</v>
      </c>
      <c r="F126" s="5"/>
      <c r="G126" s="175">
        <v>0.21</v>
      </c>
      <c r="H126" s="175">
        <f>G126*H163</f>
        <v>1103.5311</v>
      </c>
      <c r="I126" s="175"/>
      <c r="J126" s="228">
        <v>0.179</v>
      </c>
      <c r="K126" s="175">
        <f>J126*H163</f>
        <v>940.62889</v>
      </c>
      <c r="L126" s="175"/>
      <c r="M126" s="175">
        <v>0.27</v>
      </c>
      <c r="N126" s="175">
        <f>M126*J163</f>
        <v>1453.0239</v>
      </c>
      <c r="O126" s="175"/>
      <c r="P126" s="175">
        <v>0.57</v>
      </c>
      <c r="Q126" s="175">
        <f>P126*J163</f>
        <v>3067.4948999999997</v>
      </c>
      <c r="R126" s="175">
        <f>G126+J126+M126+P126</f>
        <v>1.229</v>
      </c>
      <c r="S126" s="175">
        <v>6564.67</v>
      </c>
      <c r="U126" s="9"/>
      <c r="V126" s="8"/>
      <c r="W126" s="9"/>
    </row>
    <row r="127" spans="1:23" ht="25.5" customHeight="1">
      <c r="A127" s="12"/>
      <c r="B127" s="309" t="s">
        <v>49</v>
      </c>
      <c r="C127" s="310"/>
      <c r="D127" s="311"/>
      <c r="E127" s="72"/>
      <c r="F127" s="5"/>
      <c r="G127" s="175"/>
      <c r="H127" s="175">
        <f>H128+H129</f>
        <v>21808.650799999996</v>
      </c>
      <c r="I127" s="175"/>
      <c r="J127" s="175"/>
      <c r="K127" s="175">
        <f>K128+K129</f>
        <v>23402.63533</v>
      </c>
      <c r="L127" s="175"/>
      <c r="M127" s="175"/>
      <c r="N127" s="175">
        <f>N128+N129</f>
        <v>10068.200089999998</v>
      </c>
      <c r="O127" s="175"/>
      <c r="P127" s="175"/>
      <c r="Q127" s="175">
        <f>Q128+Q129</f>
        <v>19861.49694</v>
      </c>
      <c r="R127" s="175"/>
      <c r="S127" s="175">
        <v>75140.99</v>
      </c>
      <c r="U127" s="9"/>
      <c r="V127" s="8"/>
      <c r="W127" s="9"/>
    </row>
    <row r="128" spans="1:23" ht="25.5" customHeight="1">
      <c r="A128" s="12"/>
      <c r="B128" s="383"/>
      <c r="C128" s="384"/>
      <c r="D128" s="385"/>
      <c r="E128" s="80" t="s">
        <v>71</v>
      </c>
      <c r="F128" s="5"/>
      <c r="G128" s="175">
        <v>35</v>
      </c>
      <c r="H128" s="175">
        <f>25*H161+10*H162</f>
        <v>1419.6</v>
      </c>
      <c r="I128" s="175"/>
      <c r="J128" s="228">
        <v>50.395</v>
      </c>
      <c r="K128" s="175">
        <f>35.395*H161+15*H162</f>
        <v>2051.936</v>
      </c>
      <c r="L128" s="175"/>
      <c r="M128" s="175">
        <v>24.5</v>
      </c>
      <c r="N128" s="175">
        <f>14.5*J161+10*J162</f>
        <v>1258.57</v>
      </c>
      <c r="O128" s="175"/>
      <c r="P128" s="175">
        <v>36.5</v>
      </c>
      <c r="Q128" s="175">
        <f>21.5*J161+15*J162</f>
        <v>1876.29</v>
      </c>
      <c r="R128" s="175">
        <f>G128+J128+M128+P128</f>
        <v>146.395</v>
      </c>
      <c r="S128" s="175">
        <f>H128+K128+N128+Q128</f>
        <v>6606.396</v>
      </c>
      <c r="U128" s="9"/>
      <c r="V128" s="8"/>
      <c r="W128" s="9"/>
    </row>
    <row r="129" spans="1:23" ht="25.5" customHeight="1">
      <c r="A129" s="12"/>
      <c r="B129" s="383"/>
      <c r="C129" s="384"/>
      <c r="D129" s="385"/>
      <c r="E129" s="80" t="s">
        <v>2</v>
      </c>
      <c r="F129" s="5"/>
      <c r="G129" s="175">
        <v>3.88</v>
      </c>
      <c r="H129" s="175">
        <f>G129*H163</f>
        <v>20389.050799999997</v>
      </c>
      <c r="I129" s="175"/>
      <c r="J129" s="175">
        <v>4.063</v>
      </c>
      <c r="K129" s="175">
        <f>J129*H163</f>
        <v>21350.69933</v>
      </c>
      <c r="L129" s="175"/>
      <c r="M129" s="175">
        <v>1.637</v>
      </c>
      <c r="N129" s="175">
        <f>M129*J163</f>
        <v>8809.630089999999</v>
      </c>
      <c r="O129" s="175"/>
      <c r="P129" s="175">
        <v>3.342</v>
      </c>
      <c r="Q129" s="175">
        <f>P129*J163</f>
        <v>17985.20694</v>
      </c>
      <c r="R129" s="175">
        <f>G129+J129+M129+P129</f>
        <v>12.922</v>
      </c>
      <c r="S129" s="175">
        <f>H129+K129+N129+Q129</f>
        <v>68534.58716</v>
      </c>
      <c r="U129" s="9"/>
      <c r="V129" s="8"/>
      <c r="W129" s="9"/>
    </row>
    <row r="130" spans="1:23" ht="25.5" customHeight="1">
      <c r="A130" s="12"/>
      <c r="B130" s="309" t="s">
        <v>50</v>
      </c>
      <c r="C130" s="310"/>
      <c r="D130" s="311"/>
      <c r="E130" s="72"/>
      <c r="F130" s="5"/>
      <c r="G130" s="175"/>
      <c r="H130" s="175">
        <f>H131+H132</f>
        <v>6148.6773</v>
      </c>
      <c r="I130" s="175"/>
      <c r="J130" s="175"/>
      <c r="K130" s="175">
        <f>K131+K132</f>
        <v>5437.908100000001</v>
      </c>
      <c r="L130" s="175"/>
      <c r="M130" s="175"/>
      <c r="N130" s="175">
        <f>N131+N132</f>
        <v>4938.5503</v>
      </c>
      <c r="O130" s="175"/>
      <c r="P130" s="175"/>
      <c r="Q130" s="175">
        <f>Q131+Q132</f>
        <v>6440.2071</v>
      </c>
      <c r="R130" s="175"/>
      <c r="S130" s="175">
        <f>S131+S132</f>
        <v>22965.350000000002</v>
      </c>
      <c r="U130" s="9"/>
      <c r="V130" s="8"/>
      <c r="W130" s="9"/>
    </row>
    <row r="131" spans="1:23" ht="25.5" customHeight="1">
      <c r="A131" s="12"/>
      <c r="B131" s="383"/>
      <c r="C131" s="384"/>
      <c r="D131" s="385"/>
      <c r="E131" s="80" t="s">
        <v>71</v>
      </c>
      <c r="F131" s="5"/>
      <c r="G131" s="175">
        <v>17.5</v>
      </c>
      <c r="H131" s="175">
        <f>10.5*H161+7*H162</f>
        <v>736.12</v>
      </c>
      <c r="I131" s="175"/>
      <c r="J131" s="175">
        <v>15.5</v>
      </c>
      <c r="K131" s="175">
        <f>9*H161+6.5*H162</f>
        <v>655.94</v>
      </c>
      <c r="L131" s="175"/>
      <c r="M131" s="175">
        <v>13.5</v>
      </c>
      <c r="N131" s="175">
        <f>8.5*J161+5*J162</f>
        <v>687.1099999999999</v>
      </c>
      <c r="O131" s="175"/>
      <c r="P131" s="175">
        <v>17.5</v>
      </c>
      <c r="Q131" s="175">
        <f>10.5*J161+7*J162</f>
        <v>897.19</v>
      </c>
      <c r="R131" s="175">
        <f>G131+J131+M131+P131</f>
        <v>64</v>
      </c>
      <c r="S131" s="175">
        <f>H131+K131+N131+Q131</f>
        <v>2976.36</v>
      </c>
      <c r="U131" s="9"/>
      <c r="V131" s="8"/>
      <c r="W131" s="9"/>
    </row>
    <row r="132" spans="1:23" ht="25.5" customHeight="1">
      <c r="A132" s="12"/>
      <c r="B132" s="383"/>
      <c r="C132" s="384"/>
      <c r="D132" s="385"/>
      <c r="E132" s="80" t="s">
        <v>2</v>
      </c>
      <c r="F132" s="5"/>
      <c r="G132" s="175">
        <v>1.03</v>
      </c>
      <c r="H132" s="175">
        <f>G132*H163</f>
        <v>5412.5573</v>
      </c>
      <c r="I132" s="175"/>
      <c r="J132" s="175">
        <v>0.91</v>
      </c>
      <c r="K132" s="175">
        <f>J132*H163</f>
        <v>4781.9681</v>
      </c>
      <c r="L132" s="175"/>
      <c r="M132" s="175">
        <v>0.79</v>
      </c>
      <c r="N132" s="175">
        <f>M132*J163</f>
        <v>4251.4403</v>
      </c>
      <c r="O132" s="175"/>
      <c r="P132" s="175">
        <v>1.03</v>
      </c>
      <c r="Q132" s="175">
        <f>P132*J163</f>
        <v>5543.0171</v>
      </c>
      <c r="R132" s="175">
        <f>G132+J132+M132+P132</f>
        <v>3.76</v>
      </c>
      <c r="S132" s="175">
        <v>19988.99</v>
      </c>
      <c r="U132" s="9"/>
      <c r="V132" s="8"/>
      <c r="W132" s="9"/>
    </row>
    <row r="133" spans="1:23" ht="54" customHeight="1">
      <c r="A133" s="12"/>
      <c r="B133" s="382" t="s">
        <v>40</v>
      </c>
      <c r="C133" s="382"/>
      <c r="D133" s="382"/>
      <c r="E133" s="77"/>
      <c r="F133" s="5"/>
      <c r="G133" s="175"/>
      <c r="H133" s="175">
        <f>H134+H135</f>
        <v>9068.24144</v>
      </c>
      <c r="I133" s="175"/>
      <c r="J133" s="175"/>
      <c r="K133" s="175">
        <f>K134+K135</f>
        <v>8792.69347</v>
      </c>
      <c r="L133" s="175"/>
      <c r="M133" s="175"/>
      <c r="N133" s="175">
        <f>N134+N135</f>
        <v>4596.43179</v>
      </c>
      <c r="O133" s="175"/>
      <c r="P133" s="175"/>
      <c r="Q133" s="175">
        <f>Q134+Q135</f>
        <v>9857.23333</v>
      </c>
      <c r="R133" s="175"/>
      <c r="S133" s="175">
        <f>S134+S135</f>
        <v>32314.58703</v>
      </c>
      <c r="U133" s="9"/>
      <c r="V133" s="8"/>
      <c r="W133" s="9"/>
    </row>
    <row r="134" spans="1:23" ht="25.5" customHeight="1">
      <c r="A134" s="12"/>
      <c r="B134" s="383"/>
      <c r="C134" s="384"/>
      <c r="D134" s="385"/>
      <c r="E134" s="80" t="s">
        <v>71</v>
      </c>
      <c r="F134" s="5"/>
      <c r="G134" s="175">
        <v>20.23</v>
      </c>
      <c r="H134" s="175">
        <f>G134*H161</f>
        <v>744.4639999999999</v>
      </c>
      <c r="I134" s="175"/>
      <c r="J134" s="196">
        <v>8.03</v>
      </c>
      <c r="K134" s="175">
        <f>J134*H161</f>
        <v>295.50399999999996</v>
      </c>
      <c r="L134" s="175"/>
      <c r="M134" s="175">
        <v>5.48</v>
      </c>
      <c r="N134" s="175">
        <f>M134*J161</f>
        <v>253.50480000000002</v>
      </c>
      <c r="O134" s="175"/>
      <c r="P134" s="175">
        <v>14.27</v>
      </c>
      <c r="Q134" s="175">
        <f>P134*J161</f>
        <v>660.1302</v>
      </c>
      <c r="R134" s="175">
        <f>G134+J134+M134+P134</f>
        <v>48.00999999999999</v>
      </c>
      <c r="S134" s="175">
        <v>1953.59</v>
      </c>
      <c r="T134" s="60" t="s">
        <v>79</v>
      </c>
      <c r="U134" s="9"/>
      <c r="V134" s="8"/>
      <c r="W134" s="9"/>
    </row>
    <row r="135" spans="1:23" ht="25.5" customHeight="1">
      <c r="A135" s="12"/>
      <c r="B135" s="383"/>
      <c r="C135" s="384"/>
      <c r="D135" s="385"/>
      <c r="E135" s="80" t="s">
        <v>2</v>
      </c>
      <c r="F135" s="5"/>
      <c r="G135" s="175">
        <v>1.584</v>
      </c>
      <c r="H135" s="175">
        <f>G135*H163</f>
        <v>8323.77744</v>
      </c>
      <c r="I135" s="175"/>
      <c r="J135" s="175">
        <v>1.617</v>
      </c>
      <c r="K135" s="175">
        <f>J135*H163</f>
        <v>8497.18947</v>
      </c>
      <c r="L135" s="175"/>
      <c r="M135" s="175">
        <v>0.807</v>
      </c>
      <c r="N135" s="175">
        <f>M135*J163</f>
        <v>4342.92699</v>
      </c>
      <c r="O135" s="175"/>
      <c r="P135" s="175">
        <v>1.709</v>
      </c>
      <c r="Q135" s="175">
        <f>P135*J163</f>
        <v>9197.10313</v>
      </c>
      <c r="R135" s="175">
        <f>G135+J135+M135+P135</f>
        <v>5.7170000000000005</v>
      </c>
      <c r="S135" s="175">
        <f>H135+K135+N135+Q135</f>
        <v>30360.99703</v>
      </c>
      <c r="U135" s="9"/>
      <c r="V135" s="8"/>
      <c r="W135" s="9"/>
    </row>
    <row r="136" spans="1:23" s="89" customFormat="1" ht="43.5" customHeight="1">
      <c r="A136" s="83">
        <v>6</v>
      </c>
      <c r="B136" s="386" t="s">
        <v>53</v>
      </c>
      <c r="C136" s="387"/>
      <c r="D136" s="388"/>
      <c r="E136" s="84" t="s">
        <v>80</v>
      </c>
      <c r="F136" s="90"/>
      <c r="G136" s="85"/>
      <c r="H136" s="85">
        <f>H139+H142+H145</f>
        <v>1065116.15</v>
      </c>
      <c r="I136" s="85"/>
      <c r="J136" s="85"/>
      <c r="K136" s="85">
        <f>K139+K142+K145</f>
        <v>1077392.37</v>
      </c>
      <c r="L136" s="85"/>
      <c r="M136" s="85"/>
      <c r="N136" s="85">
        <f>N139+N142+N145</f>
        <v>1100062.4267999998</v>
      </c>
      <c r="O136" s="85"/>
      <c r="P136" s="85"/>
      <c r="Q136" s="85">
        <f>Q139+Q142+Q145</f>
        <v>1126137.5968</v>
      </c>
      <c r="R136" s="85"/>
      <c r="S136" s="85">
        <f>S139+S142+S145</f>
        <v>4368708.546</v>
      </c>
      <c r="T136" s="86"/>
      <c r="U136" s="87"/>
      <c r="V136" s="88"/>
      <c r="W136" s="87"/>
    </row>
    <row r="137" spans="1:23" ht="43.5" customHeight="1">
      <c r="A137" s="12"/>
      <c r="B137" s="379"/>
      <c r="C137" s="380"/>
      <c r="D137" s="381"/>
      <c r="E137" s="79" t="s">
        <v>71</v>
      </c>
      <c r="F137" s="5"/>
      <c r="G137" s="54">
        <f>G140+G143+G146</f>
        <v>3225.73</v>
      </c>
      <c r="H137" s="54">
        <f>H140+H143+H146</f>
        <v>118706.86399999999</v>
      </c>
      <c r="I137" s="54"/>
      <c r="J137" s="54">
        <f>J140+J143+J146</f>
        <v>3273.73</v>
      </c>
      <c r="K137" s="54">
        <f>K140+K143+K146</f>
        <v>120473.264</v>
      </c>
      <c r="L137" s="54"/>
      <c r="M137" s="54">
        <f>M140+M143+M146</f>
        <v>3293.73</v>
      </c>
      <c r="N137" s="54">
        <f>N140+N143+N146</f>
        <v>152367.9498</v>
      </c>
      <c r="O137" s="54"/>
      <c r="P137" s="54">
        <f>P140+P143+P146</f>
        <v>3275.73</v>
      </c>
      <c r="Q137" s="54">
        <f>Q140+Q143+Q146</f>
        <v>151535.26979999998</v>
      </c>
      <c r="R137" s="54">
        <f>G137+J137+M137+P137</f>
        <v>13068.92</v>
      </c>
      <c r="S137" s="54">
        <v>543083.34</v>
      </c>
      <c r="U137" s="9"/>
      <c r="V137" s="8"/>
      <c r="W137" s="9"/>
    </row>
    <row r="138" spans="1:23" ht="43.5" customHeight="1">
      <c r="A138" s="12"/>
      <c r="B138" s="379"/>
      <c r="C138" s="380"/>
      <c r="D138" s="381"/>
      <c r="E138" s="79" t="s">
        <v>73</v>
      </c>
      <c r="F138" s="5"/>
      <c r="G138" s="54">
        <f>G141+G144+G147</f>
        <v>180.1</v>
      </c>
      <c r="H138" s="54">
        <f>H141+H144+H147</f>
        <v>946409.291</v>
      </c>
      <c r="I138" s="54"/>
      <c r="J138" s="54">
        <f>J141+J144+J147</f>
        <v>182.1</v>
      </c>
      <c r="K138" s="54">
        <f>K141+K144+K147</f>
        <v>956919.111</v>
      </c>
      <c r="L138" s="54"/>
      <c r="M138" s="54">
        <f>M141+M144+M147</f>
        <v>176.1</v>
      </c>
      <c r="N138" s="54">
        <f>N141+N144+N147</f>
        <v>947694.477</v>
      </c>
      <c r="O138" s="54"/>
      <c r="P138" s="54">
        <f>P141+P144+P147</f>
        <v>181.1</v>
      </c>
      <c r="Q138" s="54">
        <f>Q141+Q144+Q147</f>
        <v>974602.3269999999</v>
      </c>
      <c r="R138" s="54">
        <f>G138+J138+M138+P138</f>
        <v>719.4</v>
      </c>
      <c r="S138" s="54">
        <f>H138+K138+N138+Q138</f>
        <v>3825625.206</v>
      </c>
      <c r="U138" s="9"/>
      <c r="V138" s="8"/>
      <c r="W138" s="9"/>
    </row>
    <row r="139" spans="1:23" ht="31.5" customHeight="1">
      <c r="A139" s="12"/>
      <c r="B139" s="309" t="s">
        <v>111</v>
      </c>
      <c r="C139" s="310"/>
      <c r="D139" s="311"/>
      <c r="E139" s="72"/>
      <c r="F139" s="5"/>
      <c r="G139" s="175"/>
      <c r="H139" s="175">
        <f>H140+H141</f>
        <v>16979.13</v>
      </c>
      <c r="I139" s="175"/>
      <c r="J139" s="175"/>
      <c r="K139" s="175">
        <f>K140+K141</f>
        <v>11650.619999999999</v>
      </c>
      <c r="L139" s="175"/>
      <c r="M139" s="175"/>
      <c r="N139" s="175">
        <f>N140+N141</f>
        <v>6815.629999999999</v>
      </c>
      <c r="O139" s="175"/>
      <c r="P139" s="175"/>
      <c r="Q139" s="175">
        <f>Q140+Q141</f>
        <v>17671.29</v>
      </c>
      <c r="R139" s="175"/>
      <c r="S139" s="175">
        <f>S140+S141</f>
        <v>53116.67</v>
      </c>
      <c r="U139" s="9"/>
      <c r="V139" s="8"/>
      <c r="W139" s="9"/>
    </row>
    <row r="140" spans="1:23" ht="25.5" customHeight="1">
      <c r="A140" s="12"/>
      <c r="B140" s="383"/>
      <c r="C140" s="384"/>
      <c r="D140" s="385"/>
      <c r="E140" s="80" t="s">
        <v>71</v>
      </c>
      <c r="F140" s="5"/>
      <c r="G140" s="175">
        <v>33</v>
      </c>
      <c r="H140" s="175">
        <f>G140*H161</f>
        <v>1214.3999999999999</v>
      </c>
      <c r="I140" s="175"/>
      <c r="J140" s="175">
        <v>31</v>
      </c>
      <c r="K140" s="175">
        <f>J140*H161</f>
        <v>1140.8</v>
      </c>
      <c r="L140" s="175"/>
      <c r="M140" s="175">
        <v>31</v>
      </c>
      <c r="N140" s="175">
        <f>M140*J161</f>
        <v>1434.06</v>
      </c>
      <c r="O140" s="175"/>
      <c r="P140" s="175">
        <v>33</v>
      </c>
      <c r="Q140" s="175">
        <f>P140*J161</f>
        <v>1526.58</v>
      </c>
      <c r="R140" s="175">
        <f>G140+J140+M140+P140</f>
        <v>128</v>
      </c>
      <c r="S140" s="175">
        <f>H140+K140+N140+Q140</f>
        <v>5315.84</v>
      </c>
      <c r="U140" s="9"/>
      <c r="V140" s="8"/>
      <c r="W140" s="9"/>
    </row>
    <row r="141" spans="1:23" ht="25.5" customHeight="1">
      <c r="A141" s="12"/>
      <c r="B141" s="383"/>
      <c r="C141" s="384"/>
      <c r="D141" s="385"/>
      <c r="E141" s="80" t="s">
        <v>2</v>
      </c>
      <c r="F141" s="5"/>
      <c r="G141" s="175">
        <v>3</v>
      </c>
      <c r="H141" s="175">
        <f>G141*H163</f>
        <v>15764.73</v>
      </c>
      <c r="I141" s="175"/>
      <c r="J141" s="175">
        <v>2</v>
      </c>
      <c r="K141" s="175">
        <f>J141*H163</f>
        <v>10509.82</v>
      </c>
      <c r="L141" s="175"/>
      <c r="M141" s="175">
        <v>1</v>
      </c>
      <c r="N141" s="175">
        <f>M141*J163</f>
        <v>5381.57</v>
      </c>
      <c r="O141" s="175"/>
      <c r="P141" s="175">
        <v>3</v>
      </c>
      <c r="Q141" s="175">
        <f>P141*J163</f>
        <v>16144.71</v>
      </c>
      <c r="R141" s="175">
        <f>G141+J141+M141+P141</f>
        <v>9</v>
      </c>
      <c r="S141" s="175">
        <f>H141+K141+N141+Q141</f>
        <v>47800.83</v>
      </c>
      <c r="U141" s="9"/>
      <c r="V141" s="8"/>
      <c r="W141" s="9"/>
    </row>
    <row r="142" spans="1:23" ht="33" customHeight="1">
      <c r="A142" s="12"/>
      <c r="B142" s="309" t="s">
        <v>55</v>
      </c>
      <c r="C142" s="310"/>
      <c r="D142" s="311"/>
      <c r="E142" s="72"/>
      <c r="F142" s="5"/>
      <c r="G142" s="175"/>
      <c r="H142" s="175">
        <f>H143+H144</f>
        <v>40464.369999999995</v>
      </c>
      <c r="I142" s="175"/>
      <c r="J142" s="175"/>
      <c r="K142" s="175">
        <f>K143+K144</f>
        <v>58069.1</v>
      </c>
      <c r="L142" s="175"/>
      <c r="M142" s="175"/>
      <c r="N142" s="175">
        <f>N143+N144</f>
        <v>34772.049999999996</v>
      </c>
      <c r="O142" s="175"/>
      <c r="P142" s="175"/>
      <c r="Q142" s="175">
        <f>Q143+Q144</f>
        <v>49991.56</v>
      </c>
      <c r="R142" s="175"/>
      <c r="S142" s="175">
        <f>S143+S144</f>
        <v>183297.08000000002</v>
      </c>
      <c r="U142" s="9"/>
      <c r="V142" s="8"/>
      <c r="W142" s="9"/>
    </row>
    <row r="143" spans="1:23" ht="25.5" customHeight="1">
      <c r="A143" s="12"/>
      <c r="B143" s="383"/>
      <c r="C143" s="384"/>
      <c r="D143" s="385"/>
      <c r="E143" s="80" t="s">
        <v>71</v>
      </c>
      <c r="F143" s="5"/>
      <c r="G143" s="175">
        <v>100</v>
      </c>
      <c r="H143" s="175">
        <f>G143*H161</f>
        <v>3679.9999999999995</v>
      </c>
      <c r="I143" s="175"/>
      <c r="J143" s="175">
        <v>150</v>
      </c>
      <c r="K143" s="175">
        <f>J143*H161</f>
        <v>5520</v>
      </c>
      <c r="L143" s="175"/>
      <c r="M143" s="175">
        <v>170</v>
      </c>
      <c r="N143" s="175">
        <f>M143*J161</f>
        <v>7864.2</v>
      </c>
      <c r="O143" s="175"/>
      <c r="P143" s="175">
        <v>150</v>
      </c>
      <c r="Q143" s="175">
        <f>P143*J161</f>
        <v>6939</v>
      </c>
      <c r="R143" s="175">
        <f>G143+J143+M143+P143</f>
        <v>570</v>
      </c>
      <c r="S143" s="175">
        <f>H143+K143+N143+Q143</f>
        <v>24003.2</v>
      </c>
      <c r="T143" s="60" t="s">
        <v>78</v>
      </c>
      <c r="U143" s="9"/>
      <c r="V143" s="8"/>
      <c r="W143" s="9"/>
    </row>
    <row r="144" spans="1:23" ht="25.5" customHeight="1">
      <c r="A144" s="12"/>
      <c r="B144" s="383"/>
      <c r="C144" s="384"/>
      <c r="D144" s="385"/>
      <c r="E144" s="80" t="s">
        <v>2</v>
      </c>
      <c r="F144" s="5"/>
      <c r="G144" s="175">
        <v>7</v>
      </c>
      <c r="H144" s="175">
        <f>G144*H164</f>
        <v>36784.369999999995</v>
      </c>
      <c r="I144" s="175"/>
      <c r="J144" s="175">
        <v>10</v>
      </c>
      <c r="K144" s="175">
        <f>J144*H164</f>
        <v>52549.1</v>
      </c>
      <c r="L144" s="175"/>
      <c r="M144" s="175">
        <v>5</v>
      </c>
      <c r="N144" s="175">
        <f>M144*J164</f>
        <v>26907.85</v>
      </c>
      <c r="O144" s="175"/>
      <c r="P144" s="175">
        <v>8</v>
      </c>
      <c r="Q144" s="175">
        <f>P144*J164</f>
        <v>43052.56</v>
      </c>
      <c r="R144" s="175">
        <f>G144+J144+M144+P144</f>
        <v>30</v>
      </c>
      <c r="S144" s="175">
        <f>H144+K144+N144+Q144</f>
        <v>159293.88</v>
      </c>
      <c r="U144" s="9"/>
      <c r="V144" s="8"/>
      <c r="W144" s="9"/>
    </row>
    <row r="145" spans="1:23" ht="33" customHeight="1">
      <c r="A145" s="12"/>
      <c r="B145" s="276" t="s">
        <v>82</v>
      </c>
      <c r="C145" s="277"/>
      <c r="D145" s="278"/>
      <c r="E145" s="116"/>
      <c r="F145" s="5"/>
      <c r="G145" s="175"/>
      <c r="H145" s="175">
        <v>1007672.65</v>
      </c>
      <c r="I145" s="175"/>
      <c r="J145" s="175"/>
      <c r="K145" s="175">
        <v>1007672.65</v>
      </c>
      <c r="L145" s="175"/>
      <c r="M145" s="175"/>
      <c r="N145" s="175">
        <f>SUM(N146:N147)</f>
        <v>1058474.7467999998</v>
      </c>
      <c r="O145" s="175"/>
      <c r="P145" s="175"/>
      <c r="Q145" s="175">
        <f>SUM(Q146:Q147)</f>
        <v>1058474.7467999998</v>
      </c>
      <c r="R145" s="175"/>
      <c r="S145" s="175">
        <f>SUM(S146:S147)</f>
        <v>4132294.7959999996</v>
      </c>
      <c r="U145" s="9"/>
      <c r="V145" s="8"/>
      <c r="W145" s="9"/>
    </row>
    <row r="146" spans="1:23" ht="25.5" customHeight="1">
      <c r="A146" s="12"/>
      <c r="B146" s="383"/>
      <c r="C146" s="384"/>
      <c r="D146" s="385"/>
      <c r="E146" s="117" t="s">
        <v>71</v>
      </c>
      <c r="F146" s="5"/>
      <c r="G146" s="175">
        <v>3092.73</v>
      </c>
      <c r="H146" s="175">
        <f>SUM(G146)*H161</f>
        <v>113812.46399999999</v>
      </c>
      <c r="I146" s="175"/>
      <c r="J146" s="175">
        <v>3092.73</v>
      </c>
      <c r="K146" s="175">
        <f>SUM(J146)*H161</f>
        <v>113812.46399999999</v>
      </c>
      <c r="L146" s="175"/>
      <c r="M146" s="175">
        <v>3092.73</v>
      </c>
      <c r="N146" s="175">
        <f>SUM(M146)*J161</f>
        <v>143069.6898</v>
      </c>
      <c r="O146" s="175"/>
      <c r="P146" s="175">
        <v>3092.73</v>
      </c>
      <c r="Q146" s="175">
        <f>SUM(P146)*J161</f>
        <v>143069.6898</v>
      </c>
      <c r="R146" s="175">
        <f>SUM(G146)+J146+M146+P146</f>
        <v>12370.92</v>
      </c>
      <c r="S146" s="175">
        <v>513764.3</v>
      </c>
      <c r="U146" s="9"/>
      <c r="V146" s="8"/>
      <c r="W146" s="9"/>
    </row>
    <row r="147" spans="1:23" ht="25.5" customHeight="1">
      <c r="A147" s="12"/>
      <c r="B147" s="383"/>
      <c r="C147" s="384"/>
      <c r="D147" s="385"/>
      <c r="E147" s="117" t="s">
        <v>2</v>
      </c>
      <c r="F147" s="5"/>
      <c r="G147" s="175">
        <v>170.1</v>
      </c>
      <c r="H147" s="175">
        <f>SUM(G147)*H163</f>
        <v>893860.191</v>
      </c>
      <c r="I147" s="175"/>
      <c r="J147" s="175">
        <v>170.1</v>
      </c>
      <c r="K147" s="175">
        <f>SUM(J147)*H163</f>
        <v>893860.191</v>
      </c>
      <c r="L147" s="175"/>
      <c r="M147" s="175">
        <v>170.1</v>
      </c>
      <c r="N147" s="175">
        <f>SUM(M147)*J163</f>
        <v>915405.0569999999</v>
      </c>
      <c r="O147" s="175"/>
      <c r="P147" s="175">
        <v>170.1</v>
      </c>
      <c r="Q147" s="175">
        <f>SUM(P147)*J163</f>
        <v>915405.0569999999</v>
      </c>
      <c r="R147" s="175">
        <f>SUM(G147)+J147+M147+P147</f>
        <v>680.4</v>
      </c>
      <c r="S147" s="175">
        <f>SUM(H147)+K147+N147+Q147</f>
        <v>3618530.496</v>
      </c>
      <c r="U147" s="9"/>
      <c r="V147" s="8"/>
      <c r="W147" s="9"/>
    </row>
    <row r="148" spans="1:23" ht="25.5" customHeight="1">
      <c r="A148" s="92">
        <v>7</v>
      </c>
      <c r="B148" s="298" t="s">
        <v>83</v>
      </c>
      <c r="C148" s="299"/>
      <c r="D148" s="300"/>
      <c r="E148" s="84" t="s">
        <v>80</v>
      </c>
      <c r="F148" s="5"/>
      <c r="G148" s="222"/>
      <c r="H148" s="222">
        <f>H151+H154</f>
        <v>4830.775299999999</v>
      </c>
      <c r="I148" s="222"/>
      <c r="J148" s="222"/>
      <c r="K148" s="222">
        <f>K151+K154</f>
        <v>4298.953399999999</v>
      </c>
      <c r="L148" s="222"/>
      <c r="M148" s="222"/>
      <c r="N148" s="222">
        <f>N151+N154</f>
        <v>4741.1795999999995</v>
      </c>
      <c r="O148" s="222"/>
      <c r="P148" s="222"/>
      <c r="Q148" s="222">
        <v>5110.34</v>
      </c>
      <c r="R148" s="222"/>
      <c r="S148" s="222">
        <v>18981.25</v>
      </c>
      <c r="U148" s="9"/>
      <c r="V148" s="8"/>
      <c r="W148" s="9"/>
    </row>
    <row r="149" spans="1:23" ht="25.5" customHeight="1">
      <c r="A149" s="92"/>
      <c r="B149" s="164"/>
      <c r="C149" s="165"/>
      <c r="D149" s="166"/>
      <c r="E149" s="170" t="s">
        <v>71</v>
      </c>
      <c r="F149" s="5"/>
      <c r="G149" s="54">
        <f>G152+G155</f>
        <v>12.75</v>
      </c>
      <c r="H149" s="54">
        <f aca="true" t="shared" si="14" ref="H149:Q150">H152+H155</f>
        <v>469.19999999999993</v>
      </c>
      <c r="I149" s="54">
        <f t="shared" si="14"/>
        <v>0</v>
      </c>
      <c r="J149" s="54">
        <f t="shared" si="14"/>
        <v>11.15</v>
      </c>
      <c r="K149" s="54">
        <f t="shared" si="14"/>
        <v>410.31999999999994</v>
      </c>
      <c r="L149" s="54">
        <f t="shared" si="14"/>
        <v>0</v>
      </c>
      <c r="M149" s="54">
        <f t="shared" si="14"/>
        <v>11.75</v>
      </c>
      <c r="N149" s="54">
        <f t="shared" si="14"/>
        <v>543.555</v>
      </c>
      <c r="O149" s="54">
        <f t="shared" si="14"/>
        <v>0</v>
      </c>
      <c r="P149" s="54">
        <f t="shared" si="14"/>
        <v>12.75</v>
      </c>
      <c r="Q149" s="54">
        <f t="shared" si="14"/>
        <v>589.8149999999999</v>
      </c>
      <c r="R149" s="54">
        <f>SUM(G149)+J149+M149+P149</f>
        <v>48.4</v>
      </c>
      <c r="S149" s="54">
        <v>2012.9</v>
      </c>
      <c r="U149" s="9"/>
      <c r="V149" s="8"/>
      <c r="W149" s="9"/>
    </row>
    <row r="150" spans="1:23" ht="25.5" customHeight="1">
      <c r="A150" s="92"/>
      <c r="B150" s="164"/>
      <c r="C150" s="165"/>
      <c r="D150" s="166"/>
      <c r="E150" s="170" t="s">
        <v>73</v>
      </c>
      <c r="F150" s="5"/>
      <c r="G150" s="54">
        <f>G153+G156</f>
        <v>0.83</v>
      </c>
      <c r="H150" s="54">
        <f t="shared" si="14"/>
        <v>4361.5752999999995</v>
      </c>
      <c r="I150" s="54">
        <f aca="true" t="shared" si="15" ref="I150:Q150">I153+I156</f>
        <v>0</v>
      </c>
      <c r="J150" s="54">
        <f t="shared" si="15"/>
        <v>0.74</v>
      </c>
      <c r="K150" s="54">
        <f t="shared" si="14"/>
        <v>3888.6333999999997</v>
      </c>
      <c r="L150" s="54">
        <f t="shared" si="15"/>
        <v>0</v>
      </c>
      <c r="M150" s="54">
        <f t="shared" si="15"/>
        <v>0.78</v>
      </c>
      <c r="N150" s="54">
        <f t="shared" si="15"/>
        <v>4197.624599999999</v>
      </c>
      <c r="O150" s="54">
        <f t="shared" si="15"/>
        <v>0</v>
      </c>
      <c r="P150" s="54">
        <f t="shared" si="15"/>
        <v>0.84</v>
      </c>
      <c r="Q150" s="54">
        <f t="shared" si="15"/>
        <v>4520.5188</v>
      </c>
      <c r="R150" s="54">
        <f>SUM(G150)+J150+M150+P150</f>
        <v>3.1899999999999995</v>
      </c>
      <c r="S150" s="54">
        <f aca="true" t="shared" si="16" ref="S150:S156">SUM(H150)+K150+N150+Q150</f>
        <v>16968.352099999996</v>
      </c>
      <c r="U150" s="9"/>
      <c r="V150" s="8"/>
      <c r="W150" s="9"/>
    </row>
    <row r="151" spans="1:23" ht="25.5" customHeight="1">
      <c r="A151" s="92"/>
      <c r="B151" s="269" t="s">
        <v>84</v>
      </c>
      <c r="C151" s="272"/>
      <c r="D151" s="273"/>
      <c r="E151" s="171"/>
      <c r="F151" s="5"/>
      <c r="G151" s="175"/>
      <c r="H151" s="175">
        <f>SUM(H152:H153)</f>
        <v>651.6401</v>
      </c>
      <c r="I151" s="175"/>
      <c r="J151" s="175"/>
      <c r="K151" s="175">
        <f>SUM(K152:K153)</f>
        <v>119.8182</v>
      </c>
      <c r="L151" s="175"/>
      <c r="M151" s="175"/>
      <c r="N151" s="175">
        <f>SUM(N152:N153)</f>
        <v>369.15419999999995</v>
      </c>
      <c r="O151" s="175"/>
      <c r="P151" s="175"/>
      <c r="Q151" s="175">
        <f>SUM(Q152:Q153)</f>
        <v>738.3083999999999</v>
      </c>
      <c r="R151" s="175"/>
      <c r="S151" s="175">
        <f t="shared" si="16"/>
        <v>1878.9208999999998</v>
      </c>
      <c r="U151" s="9"/>
      <c r="V151" s="8"/>
      <c r="W151" s="9"/>
    </row>
    <row r="152" spans="1:23" ht="25.5" customHeight="1">
      <c r="A152" s="92"/>
      <c r="B152" s="167"/>
      <c r="C152" s="168"/>
      <c r="D152" s="169"/>
      <c r="E152" s="171" t="s">
        <v>71</v>
      </c>
      <c r="F152" s="5"/>
      <c r="G152" s="175">
        <v>2</v>
      </c>
      <c r="H152" s="175">
        <f>SUM(G152)*H161</f>
        <v>73.6</v>
      </c>
      <c r="I152" s="175"/>
      <c r="J152" s="175">
        <v>0.4</v>
      </c>
      <c r="K152" s="175">
        <f>SUM(J152)*H161</f>
        <v>14.719999999999999</v>
      </c>
      <c r="L152" s="175"/>
      <c r="M152" s="175">
        <v>1</v>
      </c>
      <c r="N152" s="175">
        <f>SUM(M152)*J161</f>
        <v>46.26</v>
      </c>
      <c r="O152" s="175"/>
      <c r="P152" s="175">
        <v>2</v>
      </c>
      <c r="Q152" s="175">
        <f>SUM(P152)*J161</f>
        <v>92.52</v>
      </c>
      <c r="R152" s="175">
        <f>SUM(G152)+J152+M152+P152</f>
        <v>5.4</v>
      </c>
      <c r="S152" s="175">
        <f t="shared" si="16"/>
        <v>227.09999999999997</v>
      </c>
      <c r="U152" s="9"/>
      <c r="V152" s="8"/>
      <c r="W152" s="9"/>
    </row>
    <row r="153" spans="1:23" ht="25.5" customHeight="1">
      <c r="A153" s="92"/>
      <c r="B153" s="167"/>
      <c r="C153" s="168"/>
      <c r="D153" s="169"/>
      <c r="E153" s="171" t="s">
        <v>2</v>
      </c>
      <c r="F153" s="5"/>
      <c r="G153" s="175">
        <v>0.11</v>
      </c>
      <c r="H153" s="175">
        <f>SUM(G153)*H163</f>
        <v>578.0400999999999</v>
      </c>
      <c r="I153" s="175"/>
      <c r="J153" s="175">
        <v>0.02</v>
      </c>
      <c r="K153" s="175">
        <f>SUM(J153)*H163</f>
        <v>105.0982</v>
      </c>
      <c r="L153" s="175"/>
      <c r="M153" s="175">
        <v>0.06</v>
      </c>
      <c r="N153" s="175">
        <f>SUM(M153)*J163</f>
        <v>322.89419999999996</v>
      </c>
      <c r="O153" s="175"/>
      <c r="P153" s="175">
        <v>0.12</v>
      </c>
      <c r="Q153" s="175">
        <f>SUM(P153)*J163</f>
        <v>645.7883999999999</v>
      </c>
      <c r="R153" s="175">
        <f>SUM(G153)+J153+M153+P153</f>
        <v>0.31</v>
      </c>
      <c r="S153" s="175">
        <f t="shared" si="16"/>
        <v>1651.8208999999997</v>
      </c>
      <c r="U153" s="9"/>
      <c r="V153" s="8"/>
      <c r="W153" s="9"/>
    </row>
    <row r="154" spans="1:23" ht="25.5" customHeight="1">
      <c r="A154" s="92"/>
      <c r="B154" s="269" t="s">
        <v>85</v>
      </c>
      <c r="C154" s="272"/>
      <c r="D154" s="273"/>
      <c r="E154" s="171"/>
      <c r="F154" s="5"/>
      <c r="G154" s="175"/>
      <c r="H154" s="175">
        <f>SUM(H155:H156)</f>
        <v>4179.1352</v>
      </c>
      <c r="I154" s="175"/>
      <c r="J154" s="175"/>
      <c r="K154" s="175">
        <f>SUM(K155:K156)</f>
        <v>4179.1352</v>
      </c>
      <c r="L154" s="175"/>
      <c r="M154" s="175"/>
      <c r="N154" s="175">
        <f>SUM(N155:N156)</f>
        <v>4372.0253999999995</v>
      </c>
      <c r="O154" s="175"/>
      <c r="P154" s="175"/>
      <c r="Q154" s="175">
        <f>SUM(Q155:Q156)</f>
        <v>4372.0253999999995</v>
      </c>
      <c r="R154" s="175"/>
      <c r="S154" s="175">
        <f t="shared" si="16"/>
        <v>17102.3212</v>
      </c>
      <c r="U154" s="9"/>
      <c r="V154" s="8"/>
      <c r="W154" s="9"/>
    </row>
    <row r="155" spans="1:23" ht="25.5" customHeight="1">
      <c r="A155" s="92"/>
      <c r="B155" s="167"/>
      <c r="C155" s="168"/>
      <c r="D155" s="169"/>
      <c r="E155" s="171" t="s">
        <v>71</v>
      </c>
      <c r="F155" s="5"/>
      <c r="G155" s="175">
        <v>10.75</v>
      </c>
      <c r="H155" s="175">
        <f>SUM(G155)*H161</f>
        <v>395.59999999999997</v>
      </c>
      <c r="I155" s="175"/>
      <c r="J155" s="175">
        <v>10.75</v>
      </c>
      <c r="K155" s="175">
        <f>SUM(J155)*H161</f>
        <v>395.59999999999997</v>
      </c>
      <c r="L155" s="175"/>
      <c r="M155" s="175">
        <v>10.75</v>
      </c>
      <c r="N155" s="175">
        <f>SUM(M155)*J161</f>
        <v>497.29499999999996</v>
      </c>
      <c r="O155" s="175"/>
      <c r="P155" s="175">
        <v>10.75</v>
      </c>
      <c r="Q155" s="175">
        <f>SUM(P155)*J161</f>
        <v>497.29499999999996</v>
      </c>
      <c r="R155" s="175">
        <f>SUM(G155)+J155+M155+P155</f>
        <v>43</v>
      </c>
      <c r="S155" s="175">
        <f t="shared" si="16"/>
        <v>1785.79</v>
      </c>
      <c r="U155" s="9"/>
      <c r="V155" s="8"/>
      <c r="W155" s="9"/>
    </row>
    <row r="156" spans="1:23" ht="25.5" customHeight="1">
      <c r="A156" s="92"/>
      <c r="B156" s="167"/>
      <c r="C156" s="168"/>
      <c r="D156" s="169"/>
      <c r="E156" s="171" t="s">
        <v>2</v>
      </c>
      <c r="F156" s="5"/>
      <c r="G156" s="175">
        <v>0.72</v>
      </c>
      <c r="H156" s="175">
        <f>SUM(G156)*H163</f>
        <v>3783.5352</v>
      </c>
      <c r="I156" s="175"/>
      <c r="J156" s="175">
        <v>0.72</v>
      </c>
      <c r="K156" s="175">
        <f>SUM(J156)*H163</f>
        <v>3783.5352</v>
      </c>
      <c r="L156" s="175"/>
      <c r="M156" s="175">
        <v>0.72</v>
      </c>
      <c r="N156" s="175">
        <f>SUM(M156)*J163</f>
        <v>3874.7303999999995</v>
      </c>
      <c r="O156" s="175"/>
      <c r="P156" s="175">
        <v>0.72</v>
      </c>
      <c r="Q156" s="175">
        <f>SUM(P156)*J163</f>
        <v>3874.7303999999995</v>
      </c>
      <c r="R156" s="175">
        <f>SUM(G156)+J156+M156+P156</f>
        <v>2.88</v>
      </c>
      <c r="S156" s="175">
        <f t="shared" si="16"/>
        <v>15316.531199999998</v>
      </c>
      <c r="U156" s="9"/>
      <c r="V156" s="8"/>
      <c r="W156" s="9"/>
    </row>
    <row r="157" spans="1:23" ht="38.25" customHeight="1">
      <c r="A157" s="55"/>
      <c r="B157" s="415" t="s">
        <v>19</v>
      </c>
      <c r="C157" s="415"/>
      <c r="D157" s="415"/>
      <c r="E157" s="78"/>
      <c r="F157" s="12">
        <f>SUM(F70:F110)</f>
        <v>1552.1</v>
      </c>
      <c r="G157" s="54"/>
      <c r="H157" s="56">
        <f>H70+H73+H94+H109+H121+H136+H148</f>
        <v>1845941.76948</v>
      </c>
      <c r="I157" s="54">
        <f>SUM(I70:I110)</f>
        <v>0</v>
      </c>
      <c r="J157" s="54">
        <f>J70+J73+J94+J109+J121+J136</f>
        <v>0</v>
      </c>
      <c r="K157" s="54">
        <v>1863779.16</v>
      </c>
      <c r="L157" s="54">
        <f>SUM(L70:L110)</f>
        <v>0</v>
      </c>
      <c r="M157" s="54">
        <f>M70+M73+M94+M109+M121+M136</f>
        <v>0</v>
      </c>
      <c r="N157" s="54">
        <v>1765439.68</v>
      </c>
      <c r="O157" s="54">
        <f>SUM(O70:O110)</f>
        <v>0</v>
      </c>
      <c r="P157" s="54">
        <f>P70+P73+P94+P109+P121+P136</f>
        <v>0</v>
      </c>
      <c r="Q157" s="54">
        <v>2021253.69</v>
      </c>
      <c r="R157" s="54">
        <f>R70+R73+R94+R109+R121+R136</f>
        <v>0</v>
      </c>
      <c r="S157" s="54">
        <v>7496414.3</v>
      </c>
      <c r="U157" s="9"/>
      <c r="V157" s="9"/>
      <c r="W157" s="9"/>
    </row>
    <row r="158" spans="1:23" ht="38.25" customHeight="1">
      <c r="A158" s="55"/>
      <c r="B158" s="248"/>
      <c r="C158" s="249"/>
      <c r="D158" s="250"/>
      <c r="E158" s="247" t="s">
        <v>71</v>
      </c>
      <c r="F158" s="12"/>
      <c r="G158" s="54">
        <f>G71+G74+G95+G113+G122+G137+G149</f>
        <v>5680.889</v>
      </c>
      <c r="H158" s="56">
        <f>H71+H74+H95+H113+H122+H137+H149</f>
        <v>229216.16387999998</v>
      </c>
      <c r="I158" s="54"/>
      <c r="J158" s="54">
        <f>J71+J74+J95+J113+J122+J137+J149</f>
        <v>5822.466999999999</v>
      </c>
      <c r="K158" s="54">
        <f>K71+K74+K95+K113+K122+K137+K149</f>
        <v>235802.78344</v>
      </c>
      <c r="L158" s="54"/>
      <c r="M158" s="54">
        <f>M71+M74+M95+M113+M122+M137+M149</f>
        <v>5381.492</v>
      </c>
      <c r="N158" s="54">
        <f>N71+N74+N95+N113+N122+N137+N149</f>
        <v>266893.05624</v>
      </c>
      <c r="O158" s="54"/>
      <c r="P158" s="54">
        <f>P71+P74+P95+P113+P122+P137+P149</f>
        <v>5907.485</v>
      </c>
      <c r="Q158" s="54">
        <v>293866.59</v>
      </c>
      <c r="R158" s="54">
        <f>R71+R74+R95+R113+R122+R137+R149</f>
        <v>22792.333000000002</v>
      </c>
      <c r="S158" s="54">
        <f>S71+S74+S95+S113+S122+S137+S149</f>
        <v>1025778.5896599999</v>
      </c>
      <c r="U158" s="9"/>
      <c r="V158" s="9"/>
      <c r="W158" s="9"/>
    </row>
    <row r="159" spans="1:23" ht="38.25" customHeight="1">
      <c r="A159" s="55"/>
      <c r="B159" s="248"/>
      <c r="C159" s="249"/>
      <c r="D159" s="250"/>
      <c r="E159" s="247" t="s">
        <v>2</v>
      </c>
      <c r="F159" s="12"/>
      <c r="G159" s="54">
        <f>G72+G75+G96+G114+G123+G138+G150</f>
        <v>307.65999999999997</v>
      </c>
      <c r="H159" s="56">
        <f>H72+H75+H96+H114+H123+H138+H150</f>
        <v>1616725.6052299996</v>
      </c>
      <c r="I159" s="54"/>
      <c r="J159" s="54">
        <f>J72+J75+J96+J114+J123+J138+J150</f>
        <v>309.80100000000004</v>
      </c>
      <c r="K159" s="54">
        <f>K72+K75+K96+K114+K123+K138+K150</f>
        <v>1627976.3800899999</v>
      </c>
      <c r="L159" s="54"/>
      <c r="M159" s="54">
        <f>M72+M75+M96+M114+M123+M138+M150</f>
        <v>278.45899999999995</v>
      </c>
      <c r="N159" s="54">
        <v>1498546.62</v>
      </c>
      <c r="O159" s="54"/>
      <c r="P159" s="54">
        <f>P72+P75+P96+P114+P123+P138+P150</f>
        <v>320.982</v>
      </c>
      <c r="Q159" s="54">
        <f>Q72+Q75+Q96+Q114+Q123+Q138+Q150</f>
        <v>1727387.1017399998</v>
      </c>
      <c r="R159" s="54">
        <f>R72+R75+R96+R114+R123+R138+R150</f>
        <v>1216.902</v>
      </c>
      <c r="S159" s="54">
        <v>6470635.71</v>
      </c>
      <c r="U159" s="9"/>
      <c r="V159" s="9"/>
      <c r="W159" s="9"/>
    </row>
    <row r="160" spans="1:23" ht="49.5" customHeight="1">
      <c r="A160" s="48"/>
      <c r="B160" s="416" t="s">
        <v>8</v>
      </c>
      <c r="C160" s="417"/>
      <c r="D160" s="418"/>
      <c r="E160" s="82"/>
      <c r="F160" s="285" t="s">
        <v>103</v>
      </c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U160" s="9"/>
      <c r="V160" s="9"/>
      <c r="W160" s="9"/>
    </row>
    <row r="161" spans="1:20" s="9" customFormat="1" ht="24.75" customHeight="1">
      <c r="A161" s="138"/>
      <c r="B161" s="139"/>
      <c r="C161" s="139"/>
      <c r="D161" s="139"/>
      <c r="E161" s="139"/>
      <c r="F161" s="129" t="s">
        <v>18</v>
      </c>
      <c r="G161" s="129" t="s">
        <v>18</v>
      </c>
      <c r="H161" s="140">
        <v>36.8</v>
      </c>
      <c r="I161" s="140" t="s">
        <v>16</v>
      </c>
      <c r="J161" s="140">
        <v>46.26</v>
      </c>
      <c r="K161" s="141"/>
      <c r="L161" s="141"/>
      <c r="M161" s="141"/>
      <c r="N161" s="141"/>
      <c r="O161" s="141"/>
      <c r="P161" s="141"/>
      <c r="Q161" s="141"/>
      <c r="R161" s="141"/>
      <c r="S161" s="141"/>
      <c r="T161" s="118"/>
    </row>
    <row r="162" spans="1:20" s="9" customFormat="1" ht="55.5" customHeight="1">
      <c r="A162" s="138"/>
      <c r="B162" s="139"/>
      <c r="C162" s="139"/>
      <c r="D162" s="139"/>
      <c r="E162" s="139"/>
      <c r="F162" s="129" t="s">
        <v>13</v>
      </c>
      <c r="G162" s="129" t="s">
        <v>32</v>
      </c>
      <c r="H162" s="140">
        <v>49.96</v>
      </c>
      <c r="I162" s="140"/>
      <c r="J162" s="140">
        <v>58.78</v>
      </c>
      <c r="K162" s="141"/>
      <c r="L162" s="141"/>
      <c r="M162" s="142" t="s">
        <v>74</v>
      </c>
      <c r="N162" s="141" t="s">
        <v>75</v>
      </c>
      <c r="O162" s="141"/>
      <c r="P162" s="141" t="s">
        <v>13</v>
      </c>
      <c r="Q162" s="141"/>
      <c r="R162" s="141"/>
      <c r="S162" s="141"/>
      <c r="T162" s="118"/>
    </row>
    <row r="163" spans="1:20" s="9" customFormat="1" ht="24" customHeight="1">
      <c r="A163" s="138"/>
      <c r="B163" s="139"/>
      <c r="C163" s="139"/>
      <c r="D163" s="139"/>
      <c r="E163" s="139"/>
      <c r="F163" s="129"/>
      <c r="G163" s="129"/>
      <c r="H163" s="143">
        <v>5254.91</v>
      </c>
      <c r="I163" s="143"/>
      <c r="J163" s="143">
        <v>5381.57</v>
      </c>
      <c r="K163" s="141"/>
      <c r="L163" s="141"/>
      <c r="M163" s="141" t="s">
        <v>76</v>
      </c>
      <c r="N163" s="141">
        <v>0.06054</v>
      </c>
      <c r="O163" s="141"/>
      <c r="P163" s="141">
        <v>0.05688</v>
      </c>
      <c r="Q163" s="144"/>
      <c r="R163" s="144"/>
      <c r="S163" s="145"/>
      <c r="T163" s="118"/>
    </row>
    <row r="164" spans="1:20" s="9" customFormat="1" ht="21" customHeight="1">
      <c r="A164" s="138"/>
      <c r="B164" s="139"/>
      <c r="C164" s="139"/>
      <c r="D164" s="139"/>
      <c r="E164" s="139"/>
      <c r="F164" s="129"/>
      <c r="G164" s="129"/>
      <c r="H164" s="143">
        <v>5254.91</v>
      </c>
      <c r="I164" s="143"/>
      <c r="J164" s="143">
        <v>5381.57</v>
      </c>
      <c r="K164" s="141"/>
      <c r="L164" s="141"/>
      <c r="M164" s="141" t="s">
        <v>77</v>
      </c>
      <c r="N164" s="141">
        <v>0.06054</v>
      </c>
      <c r="O164" s="141"/>
      <c r="P164" s="141">
        <v>0.05688</v>
      </c>
      <c r="Q164" s="414"/>
      <c r="R164" s="414"/>
      <c r="S164" s="414"/>
      <c r="T164" s="118"/>
    </row>
    <row r="165" spans="1:20" s="9" customFormat="1" ht="15" customHeight="1">
      <c r="A165" s="138"/>
      <c r="B165" s="139"/>
      <c r="C165" s="139"/>
      <c r="D165" s="139"/>
      <c r="E165" s="139"/>
      <c r="F165" s="129"/>
      <c r="G165" s="129"/>
      <c r="H165" s="143"/>
      <c r="I165" s="143"/>
      <c r="J165" s="143"/>
      <c r="K165" s="141"/>
      <c r="L165" s="141"/>
      <c r="M165" s="141"/>
      <c r="N165" s="141"/>
      <c r="O165" s="141"/>
      <c r="P165" s="141"/>
      <c r="Q165" s="414"/>
      <c r="R165" s="414"/>
      <c r="S165" s="414"/>
      <c r="T165" s="118"/>
    </row>
    <row r="166" spans="1:20" s="9" customFormat="1" ht="13.5" customHeight="1">
      <c r="A166" s="138"/>
      <c r="B166" s="139"/>
      <c r="C166" s="139"/>
      <c r="D166" s="139"/>
      <c r="E166" s="139"/>
      <c r="F166" s="129"/>
      <c r="G166" s="129"/>
      <c r="H166" s="129"/>
      <c r="I166" s="129"/>
      <c r="J166" s="129"/>
      <c r="K166" s="141"/>
      <c r="L166" s="141"/>
      <c r="M166" s="141"/>
      <c r="N166" s="141"/>
      <c r="O166" s="141"/>
      <c r="P166" s="141"/>
      <c r="Q166" s="414"/>
      <c r="R166" s="414"/>
      <c r="S166" s="414"/>
      <c r="T166" s="118"/>
    </row>
    <row r="167" spans="1:20" s="9" customFormat="1" ht="15.75" customHeight="1">
      <c r="A167" s="138"/>
      <c r="B167" s="139"/>
      <c r="C167" s="139"/>
      <c r="D167" s="139"/>
      <c r="E167" s="139"/>
      <c r="F167" s="129"/>
      <c r="G167" s="129"/>
      <c r="H167" s="129"/>
      <c r="I167" s="129"/>
      <c r="J167" s="129"/>
      <c r="K167" s="141"/>
      <c r="L167" s="141"/>
      <c r="M167" s="141"/>
      <c r="N167" s="141"/>
      <c r="O167" s="141"/>
      <c r="P167" s="141"/>
      <c r="Q167" s="141"/>
      <c r="R167" s="141"/>
      <c r="S167" s="141"/>
      <c r="T167" s="118"/>
    </row>
    <row r="168" spans="1:20" s="9" customFormat="1" ht="26.25" customHeight="1" hidden="1">
      <c r="A168" s="404" t="s">
        <v>63</v>
      </c>
      <c r="B168" s="404"/>
      <c r="C168" s="404"/>
      <c r="D168" s="404"/>
      <c r="E168" s="404"/>
      <c r="F168" s="404"/>
      <c r="G168" s="404"/>
      <c r="H168" s="404"/>
      <c r="I168" s="404"/>
      <c r="J168" s="404"/>
      <c r="K168" s="404"/>
      <c r="L168" s="404"/>
      <c r="M168" s="404"/>
      <c r="N168" s="404"/>
      <c r="O168" s="404"/>
      <c r="P168" s="404"/>
      <c r="Q168" s="404"/>
      <c r="R168" s="404"/>
      <c r="S168" s="404"/>
      <c r="T168" s="118"/>
    </row>
    <row r="169" spans="1:20" s="9" customFormat="1" ht="35.25" hidden="1">
      <c r="A169" s="403" t="s">
        <v>15</v>
      </c>
      <c r="B169" s="405" t="s">
        <v>0</v>
      </c>
      <c r="C169" s="406"/>
      <c r="D169" s="407"/>
      <c r="E169" s="146"/>
      <c r="F169" s="401" t="s">
        <v>1</v>
      </c>
      <c r="G169" s="401"/>
      <c r="H169" s="401"/>
      <c r="I169" s="401" t="s">
        <v>3</v>
      </c>
      <c r="J169" s="401"/>
      <c r="K169" s="401"/>
      <c r="L169" s="401" t="s">
        <v>4</v>
      </c>
      <c r="M169" s="401"/>
      <c r="N169" s="401"/>
      <c r="O169" s="401" t="s">
        <v>6</v>
      </c>
      <c r="P169" s="401"/>
      <c r="Q169" s="401"/>
      <c r="R169" s="401" t="s">
        <v>7</v>
      </c>
      <c r="S169" s="401"/>
      <c r="T169" s="118"/>
    </row>
    <row r="170" spans="1:20" s="9" customFormat="1" ht="35.25" hidden="1">
      <c r="A170" s="403"/>
      <c r="B170" s="408"/>
      <c r="C170" s="409"/>
      <c r="D170" s="410"/>
      <c r="E170" s="147"/>
      <c r="F170" s="110"/>
      <c r="G170" s="148" t="s">
        <v>10</v>
      </c>
      <c r="H170" s="148" t="s">
        <v>5</v>
      </c>
      <c r="I170" s="148" t="s">
        <v>10</v>
      </c>
      <c r="J170" s="148" t="s">
        <v>10</v>
      </c>
      <c r="K170" s="148" t="s">
        <v>5</v>
      </c>
      <c r="L170" s="148" t="s">
        <v>10</v>
      </c>
      <c r="M170" s="148" t="s">
        <v>10</v>
      </c>
      <c r="N170" s="148" t="s">
        <v>5</v>
      </c>
      <c r="O170" s="148" t="s">
        <v>10</v>
      </c>
      <c r="P170" s="148" t="s">
        <v>10</v>
      </c>
      <c r="Q170" s="148" t="s">
        <v>5</v>
      </c>
      <c r="R170" s="148" t="s">
        <v>10</v>
      </c>
      <c r="S170" s="148" t="s">
        <v>5</v>
      </c>
      <c r="T170" s="118"/>
    </row>
    <row r="171" spans="1:22" s="9" customFormat="1" ht="32.25" customHeight="1" hidden="1">
      <c r="A171" s="149">
        <v>1</v>
      </c>
      <c r="B171" s="394" t="s">
        <v>33</v>
      </c>
      <c r="C171" s="395"/>
      <c r="D171" s="396"/>
      <c r="E171" s="150"/>
      <c r="F171" s="149">
        <v>14.8</v>
      </c>
      <c r="G171" s="151">
        <v>3.3</v>
      </c>
      <c r="H171" s="151">
        <f>G171*J194</f>
        <v>97.152</v>
      </c>
      <c r="I171" s="151">
        <v>14.8</v>
      </c>
      <c r="J171" s="151">
        <v>3.3</v>
      </c>
      <c r="K171" s="151">
        <f>J171*J194</f>
        <v>97.152</v>
      </c>
      <c r="L171" s="151">
        <v>15</v>
      </c>
      <c r="M171" s="151">
        <v>3.4</v>
      </c>
      <c r="N171" s="151">
        <f>M171*J194</f>
        <v>100.096</v>
      </c>
      <c r="O171" s="151">
        <v>15</v>
      </c>
      <c r="P171" s="151">
        <v>3.3</v>
      </c>
      <c r="Q171" s="151">
        <f>P171*J194</f>
        <v>97.152</v>
      </c>
      <c r="R171" s="151">
        <f>G171+J171+M171+P171</f>
        <v>13.3</v>
      </c>
      <c r="S171" s="151">
        <f>H171+K171+N171+Q171</f>
        <v>391.55199999999996</v>
      </c>
      <c r="T171" s="118" t="s">
        <v>21</v>
      </c>
      <c r="U171" s="8"/>
      <c r="V171" s="8"/>
    </row>
    <row r="172" spans="1:22" s="9" customFormat="1" ht="32.25" customHeight="1" hidden="1">
      <c r="A172" s="149">
        <v>2</v>
      </c>
      <c r="B172" s="394" t="s">
        <v>41</v>
      </c>
      <c r="C172" s="395"/>
      <c r="D172" s="396"/>
      <c r="E172" s="150"/>
      <c r="F172" s="152"/>
      <c r="G172" s="151">
        <f>G173+G174+G175+G176+G177+G178</f>
        <v>4062.7</v>
      </c>
      <c r="H172" s="151">
        <f>H173+H174+H175+H176+H177+H178</f>
        <v>130684.578</v>
      </c>
      <c r="I172" s="151"/>
      <c r="J172" s="151">
        <f>J173+J174+J175+J176+J177+J178</f>
        <v>3746</v>
      </c>
      <c r="K172" s="151">
        <f>K173+K174+K175+K176+K177+K178</f>
        <v>121933.6</v>
      </c>
      <c r="L172" s="151"/>
      <c r="M172" s="151">
        <f>M173+M174+M175+M176+M177+M178</f>
        <v>3920.1</v>
      </c>
      <c r="N172" s="151">
        <f>N173+N174+N175+N176+N177+N178</f>
        <v>126797.51400000001</v>
      </c>
      <c r="O172" s="151"/>
      <c r="P172" s="151">
        <f>P173+P174+P175+P176+P177+P178</f>
        <v>3955.8</v>
      </c>
      <c r="Q172" s="151">
        <f>Q173+Q174+Q175+Q176+Q177+Q178</f>
        <v>128166.672</v>
      </c>
      <c r="R172" s="151">
        <f>R173+R174+R175+R176+R177+R178</f>
        <v>15684.6</v>
      </c>
      <c r="S172" s="151">
        <f>S173+S174+S175+S176+S177+S178</f>
        <v>507582.364</v>
      </c>
      <c r="T172" s="118"/>
      <c r="U172" s="8"/>
      <c r="V172" s="8"/>
    </row>
    <row r="173" spans="1:22" s="9" customFormat="1" ht="25.5" customHeight="1" hidden="1">
      <c r="A173" s="149"/>
      <c r="B173" s="390" t="s">
        <v>34</v>
      </c>
      <c r="C173" s="391"/>
      <c r="D173" s="392"/>
      <c r="E173" s="153"/>
      <c r="F173" s="152">
        <v>3068.8</v>
      </c>
      <c r="G173" s="154">
        <v>520</v>
      </c>
      <c r="H173" s="154">
        <f>G173*J194</f>
        <v>15308.800000000001</v>
      </c>
      <c r="I173" s="154">
        <v>2511</v>
      </c>
      <c r="J173" s="154">
        <v>185</v>
      </c>
      <c r="K173" s="154">
        <f>J173*J194</f>
        <v>5446.400000000001</v>
      </c>
      <c r="L173" s="154">
        <v>2511</v>
      </c>
      <c r="M173" s="154">
        <v>590</v>
      </c>
      <c r="N173" s="154">
        <f>M173*J194</f>
        <v>17369.600000000002</v>
      </c>
      <c r="O173" s="154">
        <v>2511</v>
      </c>
      <c r="P173" s="154">
        <v>342</v>
      </c>
      <c r="Q173" s="154">
        <f>P173*J194</f>
        <v>10068.48</v>
      </c>
      <c r="R173" s="154">
        <f aca="true" t="shared" si="17" ref="R173:S179">G173+J173+M173+P173</f>
        <v>1637</v>
      </c>
      <c r="S173" s="154">
        <f t="shared" si="17"/>
        <v>48193.28</v>
      </c>
      <c r="T173" s="118" t="s">
        <v>21</v>
      </c>
      <c r="U173" s="8"/>
      <c r="V173" s="8"/>
    </row>
    <row r="174" spans="1:22" s="9" customFormat="1" ht="27.75" customHeight="1" hidden="1">
      <c r="A174" s="149"/>
      <c r="B174" s="390" t="s">
        <v>35</v>
      </c>
      <c r="C174" s="391"/>
      <c r="D174" s="392"/>
      <c r="E174" s="153"/>
      <c r="F174" s="152">
        <v>609</v>
      </c>
      <c r="G174" s="154">
        <v>516</v>
      </c>
      <c r="H174" s="154">
        <f>G174*J194</f>
        <v>15191.04</v>
      </c>
      <c r="I174" s="154">
        <v>609</v>
      </c>
      <c r="J174" s="154">
        <v>516</v>
      </c>
      <c r="K174" s="154">
        <f>J174*J194</f>
        <v>15191.04</v>
      </c>
      <c r="L174" s="154">
        <v>609</v>
      </c>
      <c r="M174" s="154">
        <v>516</v>
      </c>
      <c r="N174" s="154">
        <f>M174*J194</f>
        <v>15191.04</v>
      </c>
      <c r="O174" s="154">
        <v>609</v>
      </c>
      <c r="P174" s="154">
        <v>516</v>
      </c>
      <c r="Q174" s="154">
        <f>P174*J194</f>
        <v>15191.04</v>
      </c>
      <c r="R174" s="154">
        <f t="shared" si="17"/>
        <v>2064</v>
      </c>
      <c r="S174" s="154">
        <f t="shared" si="17"/>
        <v>60764.16</v>
      </c>
      <c r="T174" s="118" t="s">
        <v>21</v>
      </c>
      <c r="U174" s="8"/>
      <c r="V174" s="8"/>
    </row>
    <row r="175" spans="1:22" s="9" customFormat="1" ht="26.25" customHeight="1" hidden="1">
      <c r="A175" s="149"/>
      <c r="B175" s="390" t="s">
        <v>36</v>
      </c>
      <c r="C175" s="391"/>
      <c r="D175" s="392"/>
      <c r="E175" s="153"/>
      <c r="F175" s="152">
        <v>725.1</v>
      </c>
      <c r="G175" s="154">
        <v>616</v>
      </c>
      <c r="H175" s="154">
        <f>G175*J195</f>
        <v>22490.16</v>
      </c>
      <c r="I175" s="154">
        <v>885.2</v>
      </c>
      <c r="J175" s="154">
        <v>752</v>
      </c>
      <c r="K175" s="154">
        <f>J175*J195</f>
        <v>27455.519999999997</v>
      </c>
      <c r="L175" s="154">
        <v>727.3</v>
      </c>
      <c r="M175" s="154">
        <v>618</v>
      </c>
      <c r="N175" s="154">
        <f>M175*J195</f>
        <v>22563.18</v>
      </c>
      <c r="O175" s="154">
        <v>892.61</v>
      </c>
      <c r="P175" s="154">
        <v>759</v>
      </c>
      <c r="Q175" s="154">
        <f>P175*J195</f>
        <v>27711.09</v>
      </c>
      <c r="R175" s="154">
        <f t="shared" si="17"/>
        <v>2745</v>
      </c>
      <c r="S175" s="154">
        <f t="shared" si="17"/>
        <v>100219.94999999998</v>
      </c>
      <c r="T175" s="118" t="s">
        <v>21</v>
      </c>
      <c r="U175" s="8"/>
      <c r="V175" s="8"/>
    </row>
    <row r="176" spans="1:22" s="9" customFormat="1" ht="24" customHeight="1" hidden="1">
      <c r="A176" s="149"/>
      <c r="B176" s="393" t="s">
        <v>37</v>
      </c>
      <c r="C176" s="393"/>
      <c r="D176" s="393"/>
      <c r="E176" s="155"/>
      <c r="F176" s="152">
        <v>1639</v>
      </c>
      <c r="G176" s="154">
        <v>951</v>
      </c>
      <c r="H176" s="154">
        <f>G176*J195</f>
        <v>34721.009999999995</v>
      </c>
      <c r="I176" s="154">
        <v>1584</v>
      </c>
      <c r="J176" s="154">
        <v>896</v>
      </c>
      <c r="K176" s="154">
        <f>J176*J195</f>
        <v>32712.96</v>
      </c>
      <c r="L176" s="154">
        <v>1344</v>
      </c>
      <c r="M176" s="154">
        <v>993</v>
      </c>
      <c r="N176" s="154">
        <f>M176*J195</f>
        <v>36254.43</v>
      </c>
      <c r="O176" s="154">
        <v>1639</v>
      </c>
      <c r="P176" s="154">
        <v>897</v>
      </c>
      <c r="Q176" s="154">
        <f>P176*J195</f>
        <v>32749.469999999998</v>
      </c>
      <c r="R176" s="154">
        <f t="shared" si="17"/>
        <v>3737</v>
      </c>
      <c r="S176" s="154">
        <f t="shared" si="17"/>
        <v>136437.87</v>
      </c>
      <c r="T176" s="118" t="s">
        <v>21</v>
      </c>
      <c r="U176" s="8"/>
      <c r="V176" s="8"/>
    </row>
    <row r="177" spans="1:22" s="9" customFormat="1" ht="24.75" customHeight="1" hidden="1">
      <c r="A177" s="149"/>
      <c r="B177" s="393" t="s">
        <v>38</v>
      </c>
      <c r="C177" s="393"/>
      <c r="D177" s="393"/>
      <c r="E177" s="155"/>
      <c r="F177" s="152">
        <v>53.7</v>
      </c>
      <c r="G177" s="154">
        <v>1393</v>
      </c>
      <c r="H177" s="154">
        <f>G177*J194</f>
        <v>41009.92</v>
      </c>
      <c r="I177" s="154">
        <v>43.6</v>
      </c>
      <c r="J177" s="154">
        <v>1346</v>
      </c>
      <c r="K177" s="154">
        <f>J177*J194</f>
        <v>39626.240000000005</v>
      </c>
      <c r="L177" s="154">
        <v>43.8</v>
      </c>
      <c r="M177" s="154">
        <v>1142</v>
      </c>
      <c r="N177" s="154">
        <f>M177*J194</f>
        <v>33620.48</v>
      </c>
      <c r="O177" s="154">
        <v>43.8</v>
      </c>
      <c r="P177" s="154">
        <v>1393</v>
      </c>
      <c r="Q177" s="154">
        <f>P177*J194</f>
        <v>41009.92</v>
      </c>
      <c r="R177" s="154">
        <f t="shared" si="17"/>
        <v>5274</v>
      </c>
      <c r="S177" s="154">
        <f t="shared" si="17"/>
        <v>155266.56</v>
      </c>
      <c r="T177" s="118" t="s">
        <v>21</v>
      </c>
      <c r="U177" s="8"/>
      <c r="V177" s="8"/>
    </row>
    <row r="178" spans="1:22" s="9" customFormat="1" ht="54.75" customHeight="1" hidden="1">
      <c r="A178" s="149"/>
      <c r="B178" s="393" t="s">
        <v>39</v>
      </c>
      <c r="C178" s="393"/>
      <c r="D178" s="393"/>
      <c r="E178" s="155"/>
      <c r="F178" s="152">
        <v>51</v>
      </c>
      <c r="G178" s="154">
        <v>66.7</v>
      </c>
      <c r="H178" s="154">
        <f>G178*J194</f>
        <v>1963.6480000000001</v>
      </c>
      <c r="I178" s="154">
        <v>48</v>
      </c>
      <c r="J178" s="154">
        <v>51</v>
      </c>
      <c r="K178" s="154">
        <f>J178*J194</f>
        <v>1501.44</v>
      </c>
      <c r="L178" s="154">
        <v>48</v>
      </c>
      <c r="M178" s="154">
        <v>61.1</v>
      </c>
      <c r="N178" s="154">
        <f>M178*J194</f>
        <v>1798.784</v>
      </c>
      <c r="O178" s="154">
        <v>51</v>
      </c>
      <c r="P178" s="154">
        <v>48.8</v>
      </c>
      <c r="Q178" s="154">
        <f>P178*J194</f>
        <v>1436.672</v>
      </c>
      <c r="R178" s="154">
        <f t="shared" si="17"/>
        <v>227.60000000000002</v>
      </c>
      <c r="S178" s="154">
        <f t="shared" si="17"/>
        <v>6700.544</v>
      </c>
      <c r="T178" s="118" t="s">
        <v>21</v>
      </c>
      <c r="U178" s="8"/>
      <c r="V178" s="8"/>
    </row>
    <row r="179" spans="1:22" s="9" customFormat="1" ht="24" customHeight="1" hidden="1">
      <c r="A179" s="149">
        <v>3</v>
      </c>
      <c r="B179" s="394" t="s">
        <v>42</v>
      </c>
      <c r="C179" s="395"/>
      <c r="D179" s="396"/>
      <c r="E179" s="150"/>
      <c r="F179" s="152">
        <v>76.86</v>
      </c>
      <c r="G179" s="151">
        <v>201</v>
      </c>
      <c r="H179" s="151">
        <f>G179*J194</f>
        <v>5917.4400000000005</v>
      </c>
      <c r="I179" s="151">
        <v>76.86</v>
      </c>
      <c r="J179" s="151">
        <v>201</v>
      </c>
      <c r="K179" s="151">
        <f>J179*J194</f>
        <v>5917.4400000000005</v>
      </c>
      <c r="L179" s="151">
        <v>76.86</v>
      </c>
      <c r="M179" s="151">
        <v>201</v>
      </c>
      <c r="N179" s="151">
        <f>M179*J194</f>
        <v>5917.4400000000005</v>
      </c>
      <c r="O179" s="151">
        <v>76.86</v>
      </c>
      <c r="P179" s="151">
        <v>201</v>
      </c>
      <c r="Q179" s="151">
        <f>P179*J194</f>
        <v>5917.4400000000005</v>
      </c>
      <c r="R179" s="151">
        <f t="shared" si="17"/>
        <v>804</v>
      </c>
      <c r="S179" s="151">
        <f t="shared" si="17"/>
        <v>23669.760000000002</v>
      </c>
      <c r="T179" s="118" t="s">
        <v>21</v>
      </c>
      <c r="U179" s="8"/>
      <c r="V179" s="8"/>
    </row>
    <row r="180" spans="1:22" s="9" customFormat="1" ht="30.75" customHeight="1" hidden="1">
      <c r="A180" s="149">
        <v>4</v>
      </c>
      <c r="B180" s="394" t="s">
        <v>43</v>
      </c>
      <c r="C180" s="395"/>
      <c r="D180" s="396"/>
      <c r="E180" s="150"/>
      <c r="F180" s="152">
        <v>172</v>
      </c>
      <c r="G180" s="151">
        <f>G181</f>
        <v>23.4</v>
      </c>
      <c r="H180" s="151">
        <f>H181</f>
        <v>688.896</v>
      </c>
      <c r="I180" s="151"/>
      <c r="J180" s="151">
        <f>J181</f>
        <v>23.4</v>
      </c>
      <c r="K180" s="151">
        <f>K181</f>
        <v>688.896</v>
      </c>
      <c r="L180" s="151"/>
      <c r="M180" s="151">
        <f>M181</f>
        <v>23.4</v>
      </c>
      <c r="N180" s="151">
        <f>N181</f>
        <v>688.896</v>
      </c>
      <c r="O180" s="151"/>
      <c r="P180" s="151">
        <f>P181</f>
        <v>23.1</v>
      </c>
      <c r="Q180" s="151">
        <f>Q181</f>
        <v>680.0640000000001</v>
      </c>
      <c r="R180" s="151">
        <f>R181</f>
        <v>93.29999999999998</v>
      </c>
      <c r="S180" s="151">
        <f>S181</f>
        <v>2746.7520000000004</v>
      </c>
      <c r="T180" s="118" t="s">
        <v>21</v>
      </c>
      <c r="U180" s="8"/>
      <c r="V180" s="8"/>
    </row>
    <row r="181" spans="1:22" s="9" customFormat="1" ht="30.75" customHeight="1" hidden="1">
      <c r="A181" s="149"/>
      <c r="B181" s="390" t="s">
        <v>44</v>
      </c>
      <c r="C181" s="391"/>
      <c r="D181" s="392"/>
      <c r="E181" s="153"/>
      <c r="F181" s="152"/>
      <c r="G181" s="154">
        <v>23.4</v>
      </c>
      <c r="H181" s="154">
        <f>G181*J194</f>
        <v>688.896</v>
      </c>
      <c r="I181" s="154"/>
      <c r="J181" s="154">
        <v>23.4</v>
      </c>
      <c r="K181" s="154">
        <f>J181*J194</f>
        <v>688.896</v>
      </c>
      <c r="L181" s="154"/>
      <c r="M181" s="154">
        <v>23.4</v>
      </c>
      <c r="N181" s="154">
        <f>M181*J194</f>
        <v>688.896</v>
      </c>
      <c r="O181" s="154"/>
      <c r="P181" s="154">
        <v>23.1</v>
      </c>
      <c r="Q181" s="154">
        <f>P181*J194</f>
        <v>680.0640000000001</v>
      </c>
      <c r="R181" s="154">
        <f>G181+J181+M181+P181</f>
        <v>93.29999999999998</v>
      </c>
      <c r="S181" s="154">
        <f>H181+K181+N181+Q181</f>
        <v>2746.7520000000004</v>
      </c>
      <c r="T181" s="118"/>
      <c r="U181" s="8"/>
      <c r="V181" s="8"/>
    </row>
    <row r="182" spans="1:22" s="9" customFormat="1" ht="30.75" customHeight="1" hidden="1">
      <c r="A182" s="149">
        <v>5</v>
      </c>
      <c r="B182" s="394" t="s">
        <v>47</v>
      </c>
      <c r="C182" s="395"/>
      <c r="D182" s="396"/>
      <c r="E182" s="150"/>
      <c r="F182" s="152"/>
      <c r="G182" s="151">
        <f>G183+G184+G185+G186+G187+G188</f>
        <v>127.91</v>
      </c>
      <c r="H182" s="151">
        <f>H183+H184+H185+H186+H187+H188</f>
        <v>3854.7524000000003</v>
      </c>
      <c r="I182" s="151"/>
      <c r="J182" s="151">
        <f>J183+J184+J185+J187+J188+J186</f>
        <v>122.46000000000001</v>
      </c>
      <c r="K182" s="151">
        <f>K183+K184+K185+K186+K187+K188</f>
        <v>3672.3874</v>
      </c>
      <c r="L182" s="151"/>
      <c r="M182" s="151">
        <f>M183+M184+M185+M186+M187+M188</f>
        <v>110.28999999999999</v>
      </c>
      <c r="N182" s="151">
        <f>N183+N184+N185+N186+N187+N188</f>
        <v>3314.1026</v>
      </c>
      <c r="O182" s="151"/>
      <c r="P182" s="151">
        <f>P183+P184+P185+P186+P187+P188</f>
        <v>122.81</v>
      </c>
      <c r="Q182" s="151">
        <f>Q183+Q184+Q185+Q186+Q187+Q188</f>
        <v>3701.0734</v>
      </c>
      <c r="R182" s="151">
        <f>R183+R184+R185+R186+R187+R188</f>
        <v>483.46999999999997</v>
      </c>
      <c r="S182" s="151">
        <f>S183+S184+S185+S186+S187+S188</f>
        <v>14542.3158</v>
      </c>
      <c r="T182" s="118"/>
      <c r="U182" s="8"/>
      <c r="V182" s="8"/>
    </row>
    <row r="183" spans="1:22" s="9" customFormat="1" ht="30.75" customHeight="1" hidden="1">
      <c r="A183" s="149"/>
      <c r="B183" s="390" t="s">
        <v>48</v>
      </c>
      <c r="C183" s="391"/>
      <c r="D183" s="392"/>
      <c r="E183" s="153"/>
      <c r="F183" s="152"/>
      <c r="G183" s="154">
        <v>7.71</v>
      </c>
      <c r="H183" s="154">
        <f>G183*J194</f>
        <v>226.9824</v>
      </c>
      <c r="I183" s="154"/>
      <c r="J183" s="154">
        <v>6.36</v>
      </c>
      <c r="K183" s="154">
        <f>J183*J194</f>
        <v>187.2384</v>
      </c>
      <c r="L183" s="154"/>
      <c r="M183" s="154">
        <v>3.69</v>
      </c>
      <c r="N183" s="154">
        <f>M183*J194</f>
        <v>108.6336</v>
      </c>
      <c r="O183" s="154"/>
      <c r="P183" s="154">
        <v>6.11</v>
      </c>
      <c r="Q183" s="154">
        <f>P183*J194</f>
        <v>179.87840000000003</v>
      </c>
      <c r="R183" s="154">
        <f aca="true" t="shared" si="18" ref="R183:S188">G183+J183+M183+P183</f>
        <v>23.87</v>
      </c>
      <c r="S183" s="154">
        <f t="shared" si="18"/>
        <v>702.7328000000001</v>
      </c>
      <c r="T183" s="118"/>
      <c r="U183" s="8"/>
      <c r="V183" s="8"/>
    </row>
    <row r="184" spans="1:22" s="9" customFormat="1" ht="30.75" customHeight="1" hidden="1">
      <c r="A184" s="149"/>
      <c r="B184" s="390" t="s">
        <v>49</v>
      </c>
      <c r="C184" s="391"/>
      <c r="D184" s="392"/>
      <c r="E184" s="153"/>
      <c r="F184" s="152"/>
      <c r="G184" s="154">
        <v>40</v>
      </c>
      <c r="H184" s="154">
        <f>G184*J194</f>
        <v>1177.6000000000001</v>
      </c>
      <c r="I184" s="154"/>
      <c r="J184" s="154">
        <v>40</v>
      </c>
      <c r="K184" s="154">
        <f>J184*J194</f>
        <v>1177.6000000000001</v>
      </c>
      <c r="L184" s="154"/>
      <c r="M184" s="154">
        <v>40</v>
      </c>
      <c r="N184" s="154">
        <f>M184*J194</f>
        <v>1177.6000000000001</v>
      </c>
      <c r="O184" s="154"/>
      <c r="P184" s="154">
        <v>40</v>
      </c>
      <c r="Q184" s="154">
        <f>P184*J194</f>
        <v>1177.6000000000001</v>
      </c>
      <c r="R184" s="154">
        <f t="shared" si="18"/>
        <v>160</v>
      </c>
      <c r="S184" s="154">
        <f t="shared" si="18"/>
        <v>4710.400000000001</v>
      </c>
      <c r="T184" s="118"/>
      <c r="U184" s="8"/>
      <c r="V184" s="8"/>
    </row>
    <row r="185" spans="1:22" s="9" customFormat="1" ht="30.75" customHeight="1" hidden="1">
      <c r="A185" s="149"/>
      <c r="B185" s="390" t="s">
        <v>50</v>
      </c>
      <c r="C185" s="391"/>
      <c r="D185" s="392"/>
      <c r="E185" s="153"/>
      <c r="F185" s="152"/>
      <c r="G185" s="154">
        <v>27.6</v>
      </c>
      <c r="H185" s="156">
        <f>G185*J194</f>
        <v>812.5440000000001</v>
      </c>
      <c r="I185" s="154"/>
      <c r="J185" s="154">
        <v>27.6</v>
      </c>
      <c r="K185" s="154">
        <f>J185*J194</f>
        <v>812.5440000000001</v>
      </c>
      <c r="L185" s="154"/>
      <c r="M185" s="154">
        <v>27.6</v>
      </c>
      <c r="N185" s="154">
        <f>M185*J194</f>
        <v>812.5440000000001</v>
      </c>
      <c r="O185" s="154"/>
      <c r="P185" s="154">
        <v>27.6</v>
      </c>
      <c r="Q185" s="154">
        <f>P185*J194</f>
        <v>812.5440000000001</v>
      </c>
      <c r="R185" s="154">
        <f t="shared" si="18"/>
        <v>110.4</v>
      </c>
      <c r="S185" s="154">
        <f t="shared" si="18"/>
        <v>3250.1760000000004</v>
      </c>
      <c r="T185" s="118"/>
      <c r="U185" s="8"/>
      <c r="V185" s="8"/>
    </row>
    <row r="186" spans="1:22" s="9" customFormat="1" ht="30.75" customHeight="1" hidden="1">
      <c r="A186" s="149"/>
      <c r="B186" s="393" t="s">
        <v>40</v>
      </c>
      <c r="C186" s="393"/>
      <c r="D186" s="393"/>
      <c r="E186" s="155"/>
      <c r="F186" s="152"/>
      <c r="G186" s="154">
        <v>40</v>
      </c>
      <c r="H186" s="154">
        <f>G186*J194</f>
        <v>1177.6000000000001</v>
      </c>
      <c r="I186" s="154"/>
      <c r="J186" s="154">
        <v>39</v>
      </c>
      <c r="K186" s="154">
        <f>J186*J194</f>
        <v>1148.16</v>
      </c>
      <c r="L186" s="154"/>
      <c r="M186" s="154">
        <v>29.5</v>
      </c>
      <c r="N186" s="154">
        <f>M186*J194</f>
        <v>868.48</v>
      </c>
      <c r="O186" s="154"/>
      <c r="P186" s="154">
        <v>37</v>
      </c>
      <c r="Q186" s="154">
        <f>P186*J194</f>
        <v>1089.28</v>
      </c>
      <c r="R186" s="154">
        <f t="shared" si="18"/>
        <v>145.5</v>
      </c>
      <c r="S186" s="154">
        <f t="shared" si="18"/>
        <v>4283.52</v>
      </c>
      <c r="T186" s="118"/>
      <c r="U186" s="8"/>
      <c r="V186" s="8"/>
    </row>
    <row r="187" spans="1:22" s="9" customFormat="1" ht="30.75" customHeight="1" hidden="1">
      <c r="A187" s="149"/>
      <c r="B187" s="393" t="s">
        <v>51</v>
      </c>
      <c r="C187" s="393"/>
      <c r="D187" s="393"/>
      <c r="E187" s="155"/>
      <c r="F187" s="152"/>
      <c r="G187" s="154">
        <v>4.6</v>
      </c>
      <c r="H187" s="154">
        <f>G187*J195</f>
        <v>167.94599999999997</v>
      </c>
      <c r="I187" s="154"/>
      <c r="J187" s="154">
        <v>1.5</v>
      </c>
      <c r="K187" s="154">
        <f>J187*J195</f>
        <v>54.765</v>
      </c>
      <c r="L187" s="154"/>
      <c r="M187" s="154">
        <v>1.5</v>
      </c>
      <c r="N187" s="154">
        <f>M187*J195</f>
        <v>54.765</v>
      </c>
      <c r="O187" s="154"/>
      <c r="P187" s="154">
        <v>4.1</v>
      </c>
      <c r="Q187" s="154">
        <f>P187*J195</f>
        <v>149.69099999999997</v>
      </c>
      <c r="R187" s="154">
        <f t="shared" si="18"/>
        <v>11.7</v>
      </c>
      <c r="S187" s="154">
        <f t="shared" si="18"/>
        <v>427.1669999999999</v>
      </c>
      <c r="T187" s="118"/>
      <c r="U187" s="8"/>
      <c r="V187" s="8"/>
    </row>
    <row r="188" spans="1:22" s="9" customFormat="1" ht="30.75" customHeight="1" hidden="1">
      <c r="A188" s="149"/>
      <c r="B188" s="393" t="s">
        <v>52</v>
      </c>
      <c r="C188" s="393"/>
      <c r="D188" s="393"/>
      <c r="E188" s="155"/>
      <c r="F188" s="152"/>
      <c r="G188" s="154">
        <v>8</v>
      </c>
      <c r="H188" s="154">
        <f>G188*J195</f>
        <v>292.08</v>
      </c>
      <c r="I188" s="154"/>
      <c r="J188" s="154">
        <v>8</v>
      </c>
      <c r="K188" s="154">
        <f>J188*J195</f>
        <v>292.08</v>
      </c>
      <c r="L188" s="154"/>
      <c r="M188" s="154">
        <v>8</v>
      </c>
      <c r="N188" s="154">
        <f>M188*J195</f>
        <v>292.08</v>
      </c>
      <c r="O188" s="154"/>
      <c r="P188" s="154">
        <v>8</v>
      </c>
      <c r="Q188" s="154">
        <f>P188*J195</f>
        <v>292.08</v>
      </c>
      <c r="R188" s="154">
        <f t="shared" si="18"/>
        <v>32</v>
      </c>
      <c r="S188" s="154">
        <f t="shared" si="18"/>
        <v>1168.32</v>
      </c>
      <c r="T188" s="118"/>
      <c r="U188" s="8"/>
      <c r="V188" s="8"/>
    </row>
    <row r="189" spans="1:22" s="9" customFormat="1" ht="30.75" customHeight="1" hidden="1">
      <c r="A189" s="149">
        <v>6</v>
      </c>
      <c r="B189" s="394" t="s">
        <v>53</v>
      </c>
      <c r="C189" s="395"/>
      <c r="D189" s="396"/>
      <c r="E189" s="150"/>
      <c r="F189" s="152"/>
      <c r="G189" s="151">
        <f>G190+G191</f>
        <v>428.14000000000004</v>
      </c>
      <c r="H189" s="151">
        <f>H190+H191</f>
        <v>12604.4416</v>
      </c>
      <c r="I189" s="151"/>
      <c r="J189" s="151">
        <f>J190+J191</f>
        <v>444.5</v>
      </c>
      <c r="K189" s="151">
        <f>K190+K191</f>
        <v>13086.08</v>
      </c>
      <c r="L189" s="151"/>
      <c r="M189" s="151">
        <f>M190+M191</f>
        <v>216.12</v>
      </c>
      <c r="N189" s="151">
        <f>N190+N191</f>
        <v>6362.5728</v>
      </c>
      <c r="O189" s="151"/>
      <c r="P189" s="151">
        <f>P190+P191</f>
        <v>423.71000000000004</v>
      </c>
      <c r="Q189" s="151">
        <f>Q190+Q191</f>
        <v>12474.022400000002</v>
      </c>
      <c r="R189" s="151">
        <f>R190+R191</f>
        <v>1512.47</v>
      </c>
      <c r="S189" s="151">
        <f>S190+S191</f>
        <v>44527.1168</v>
      </c>
      <c r="T189" s="118"/>
      <c r="U189" s="8"/>
      <c r="V189" s="8"/>
    </row>
    <row r="190" spans="1:22" s="9" customFormat="1" ht="30.75" customHeight="1" hidden="1">
      <c r="A190" s="152"/>
      <c r="B190" s="390" t="s">
        <v>54</v>
      </c>
      <c r="C190" s="391"/>
      <c r="D190" s="392"/>
      <c r="E190" s="153"/>
      <c r="F190" s="152"/>
      <c r="G190" s="154">
        <v>27.6</v>
      </c>
      <c r="H190" s="154">
        <f>G190*J194</f>
        <v>812.5440000000001</v>
      </c>
      <c r="I190" s="154"/>
      <c r="J190" s="154">
        <v>44.5</v>
      </c>
      <c r="K190" s="154">
        <f>J190*J194</f>
        <v>1310.0800000000002</v>
      </c>
      <c r="L190" s="154"/>
      <c r="M190" s="154">
        <v>74.6</v>
      </c>
      <c r="N190" s="154">
        <f>M190*J194</f>
        <v>2196.2239999999997</v>
      </c>
      <c r="O190" s="154"/>
      <c r="P190" s="154">
        <v>23.1</v>
      </c>
      <c r="Q190" s="154">
        <f>P190*J194</f>
        <v>680.0640000000001</v>
      </c>
      <c r="R190" s="154">
        <f>G190+J190+M190+P190</f>
        <v>169.79999999999998</v>
      </c>
      <c r="S190" s="154">
        <f>H190+K190+N190+Q190</f>
        <v>4998.912</v>
      </c>
      <c r="T190" s="118"/>
      <c r="U190" s="8"/>
      <c r="V190" s="8"/>
    </row>
    <row r="191" spans="1:22" s="9" customFormat="1" ht="30.75" customHeight="1" hidden="1">
      <c r="A191" s="152"/>
      <c r="B191" s="390" t="s">
        <v>55</v>
      </c>
      <c r="C191" s="391"/>
      <c r="D191" s="392"/>
      <c r="E191" s="153"/>
      <c r="F191" s="152"/>
      <c r="G191" s="154">
        <v>400.54</v>
      </c>
      <c r="H191" s="154">
        <f>G191*J194</f>
        <v>11791.8976</v>
      </c>
      <c r="I191" s="154"/>
      <c r="J191" s="154">
        <v>400</v>
      </c>
      <c r="K191" s="154">
        <f>J191*J194</f>
        <v>11776</v>
      </c>
      <c r="L191" s="154"/>
      <c r="M191" s="154">
        <v>141.52</v>
      </c>
      <c r="N191" s="154">
        <f>M191*J194</f>
        <v>4166.348800000001</v>
      </c>
      <c r="O191" s="154"/>
      <c r="P191" s="154">
        <v>400.61</v>
      </c>
      <c r="Q191" s="154">
        <f>P191*J194</f>
        <v>11793.958400000001</v>
      </c>
      <c r="R191" s="154">
        <f>G191+J191+M191+P191</f>
        <v>1342.67</v>
      </c>
      <c r="S191" s="154">
        <f>H191+K191+N191+Q191</f>
        <v>39528.2048</v>
      </c>
      <c r="T191" s="118"/>
      <c r="U191" s="8"/>
      <c r="V191" s="8"/>
    </row>
    <row r="192" spans="1:20" s="9" customFormat="1" ht="35.25" hidden="1">
      <c r="A192" s="157"/>
      <c r="B192" s="411" t="s">
        <v>19</v>
      </c>
      <c r="C192" s="412"/>
      <c r="D192" s="413"/>
      <c r="E192" s="158"/>
      <c r="F192" s="149" t="e">
        <f>F171+#REF!+#REF!+F173+F174+F175+#REF!+F176+F177+F178+F179+F180+#REF!</f>
        <v>#REF!</v>
      </c>
      <c r="G192" s="151">
        <f>G171+G172+G179+G180+G182+G189</f>
        <v>4846.45</v>
      </c>
      <c r="H192" s="151">
        <f>H171+H172+H179+H180+H182+H189</f>
        <v>153847.25999999998</v>
      </c>
      <c r="I192" s="151" t="e">
        <f>I171+I173+I174+I175+#REF!+I176+I177+I178+I179+I180</f>
        <v>#REF!</v>
      </c>
      <c r="J192" s="151">
        <f>J171+J172+J179+J180+J182+J189</f>
        <v>4540.66</v>
      </c>
      <c r="K192" s="151">
        <f>K171+K172+K179+K180+K182+K189</f>
        <v>145395.55539999998</v>
      </c>
      <c r="L192" s="151" t="e">
        <f>L171+L173+L174+L175+#REF!+L176+L177+L178+L179+L180</f>
        <v>#REF!</v>
      </c>
      <c r="M192" s="151">
        <f>M171+M172+M179+M180+M182+M189</f>
        <v>4474.3099999999995</v>
      </c>
      <c r="N192" s="151">
        <f>N171+N172+N179+N180+N182+N189</f>
        <v>143180.62140000003</v>
      </c>
      <c r="O192" s="151" t="e">
        <f>O171+O173+O174+O175+#REF!+O176+O177+O178+O179+O180</f>
        <v>#REF!</v>
      </c>
      <c r="P192" s="151">
        <f>P171+P172+P179+P180+P182+P189</f>
        <v>4729.720000000001</v>
      </c>
      <c r="Q192" s="151">
        <f>Q171+Q172+Q179+Q180+Q182+Q189</f>
        <v>151036.4238</v>
      </c>
      <c r="R192" s="151">
        <f>R171+R172+R179+R180+R182+R189</f>
        <v>18591.140000000003</v>
      </c>
      <c r="S192" s="151">
        <f>S171+S172+S179+S180+S182+S189</f>
        <v>593459.8605999999</v>
      </c>
      <c r="T192" s="118"/>
    </row>
    <row r="193" spans="1:20" s="9" customFormat="1" ht="35.25" hidden="1">
      <c r="A193" s="157"/>
      <c r="B193" s="402" t="s">
        <v>17</v>
      </c>
      <c r="C193" s="402"/>
      <c r="D193" s="402"/>
      <c r="E193" s="159"/>
      <c r="F193" s="403" t="s">
        <v>60</v>
      </c>
      <c r="G193" s="403"/>
      <c r="H193" s="403"/>
      <c r="I193" s="403"/>
      <c r="J193" s="403"/>
      <c r="K193" s="403"/>
      <c r="L193" s="403"/>
      <c r="M193" s="403"/>
      <c r="N193" s="403"/>
      <c r="O193" s="403"/>
      <c r="P193" s="403"/>
      <c r="Q193" s="403"/>
      <c r="R193" s="403"/>
      <c r="S193" s="403"/>
      <c r="T193" s="118"/>
    </row>
    <row r="194" spans="1:20" s="9" customFormat="1" ht="25.5" customHeight="1" hidden="1">
      <c r="A194" s="129"/>
      <c r="B194" s="129"/>
      <c r="C194" s="129"/>
      <c r="D194" s="129"/>
      <c r="E194" s="129"/>
      <c r="F194" s="129"/>
      <c r="G194" s="129"/>
      <c r="H194" s="132" t="s">
        <v>12</v>
      </c>
      <c r="I194" s="132"/>
      <c r="J194" s="132">
        <v>29.44</v>
      </c>
      <c r="K194" s="132"/>
      <c r="L194" s="129"/>
      <c r="M194" s="129"/>
      <c r="N194" s="129"/>
      <c r="O194" s="129"/>
      <c r="P194" s="129"/>
      <c r="Q194" s="129"/>
      <c r="R194" s="129"/>
      <c r="S194" s="129"/>
      <c r="T194" s="118"/>
    </row>
    <row r="195" spans="1:20" s="9" customFormat="1" ht="33" customHeight="1" hidden="1">
      <c r="A195" s="129"/>
      <c r="B195" s="129"/>
      <c r="C195" s="129"/>
      <c r="D195" s="129"/>
      <c r="E195" s="129"/>
      <c r="F195" s="129"/>
      <c r="G195" s="129"/>
      <c r="H195" s="132" t="s">
        <v>13</v>
      </c>
      <c r="I195" s="132"/>
      <c r="J195" s="132">
        <v>36.51</v>
      </c>
      <c r="K195" s="132"/>
      <c r="L195" s="129"/>
      <c r="M195" s="129"/>
      <c r="N195" s="129"/>
      <c r="O195" s="129"/>
      <c r="P195" s="129"/>
      <c r="Q195" s="144"/>
      <c r="R195" s="144"/>
      <c r="S195" s="129"/>
      <c r="T195" s="118"/>
    </row>
    <row r="196" spans="1:20" s="9" customFormat="1" ht="34.5" customHeight="1" hidden="1">
      <c r="A196" s="404" t="s">
        <v>64</v>
      </c>
      <c r="B196" s="404"/>
      <c r="C196" s="404"/>
      <c r="D196" s="404"/>
      <c r="E196" s="404"/>
      <c r="F196" s="404"/>
      <c r="G196" s="404"/>
      <c r="H196" s="404"/>
      <c r="I196" s="404"/>
      <c r="J196" s="404"/>
      <c r="K196" s="404"/>
      <c r="L196" s="404"/>
      <c r="M196" s="404"/>
      <c r="N196" s="404"/>
      <c r="O196" s="404"/>
      <c r="P196" s="404"/>
      <c r="Q196" s="404"/>
      <c r="R196" s="404"/>
      <c r="S196" s="404"/>
      <c r="T196" s="118"/>
    </row>
    <row r="197" spans="1:20" s="9" customFormat="1" ht="35.25" hidden="1">
      <c r="A197" s="403" t="s">
        <v>15</v>
      </c>
      <c r="B197" s="405" t="s">
        <v>0</v>
      </c>
      <c r="C197" s="406"/>
      <c r="D197" s="407"/>
      <c r="E197" s="146"/>
      <c r="F197" s="401" t="s">
        <v>1</v>
      </c>
      <c r="G197" s="401"/>
      <c r="H197" s="401"/>
      <c r="I197" s="401" t="s">
        <v>3</v>
      </c>
      <c r="J197" s="401"/>
      <c r="K197" s="401"/>
      <c r="L197" s="401" t="s">
        <v>4</v>
      </c>
      <c r="M197" s="401"/>
      <c r="N197" s="401"/>
      <c r="O197" s="401" t="s">
        <v>6</v>
      </c>
      <c r="P197" s="401"/>
      <c r="Q197" s="401"/>
      <c r="R197" s="401" t="s">
        <v>7</v>
      </c>
      <c r="S197" s="401"/>
      <c r="T197" s="118"/>
    </row>
    <row r="198" spans="1:20" s="9" customFormat="1" ht="35.25" hidden="1">
      <c r="A198" s="403"/>
      <c r="B198" s="408"/>
      <c r="C198" s="409"/>
      <c r="D198" s="410"/>
      <c r="E198" s="160"/>
      <c r="F198" s="148" t="s">
        <v>10</v>
      </c>
      <c r="G198" s="148" t="s">
        <v>10</v>
      </c>
      <c r="H198" s="148" t="s">
        <v>5</v>
      </c>
      <c r="I198" s="148" t="s">
        <v>10</v>
      </c>
      <c r="J198" s="148" t="s">
        <v>10</v>
      </c>
      <c r="K198" s="148" t="s">
        <v>5</v>
      </c>
      <c r="L198" s="148" t="s">
        <v>10</v>
      </c>
      <c r="M198" s="148" t="s">
        <v>10</v>
      </c>
      <c r="N198" s="148" t="s">
        <v>5</v>
      </c>
      <c r="O198" s="148" t="s">
        <v>10</v>
      </c>
      <c r="P198" s="148" t="s">
        <v>10</v>
      </c>
      <c r="Q198" s="148" t="s">
        <v>5</v>
      </c>
      <c r="R198" s="148" t="s">
        <v>10</v>
      </c>
      <c r="S198" s="148" t="s">
        <v>5</v>
      </c>
      <c r="T198" s="118"/>
    </row>
    <row r="199" spans="1:23" s="9" customFormat="1" ht="25.5" customHeight="1" hidden="1">
      <c r="A199" s="149">
        <v>1</v>
      </c>
      <c r="B199" s="394" t="s">
        <v>33</v>
      </c>
      <c r="C199" s="395"/>
      <c r="D199" s="396"/>
      <c r="E199" s="150"/>
      <c r="F199" s="152">
        <v>17.5</v>
      </c>
      <c r="G199" s="151">
        <v>12.3</v>
      </c>
      <c r="H199" s="151">
        <f>G199*J222</f>
        <v>457.068</v>
      </c>
      <c r="I199" s="151">
        <v>17.5</v>
      </c>
      <c r="J199" s="151">
        <v>8.3</v>
      </c>
      <c r="K199" s="151">
        <f>J199*J222</f>
        <v>308.428</v>
      </c>
      <c r="L199" s="151">
        <v>17.5</v>
      </c>
      <c r="M199" s="151">
        <v>5.4</v>
      </c>
      <c r="N199" s="151">
        <f>M199*K222</f>
        <v>207.9</v>
      </c>
      <c r="O199" s="151">
        <v>17.5</v>
      </c>
      <c r="P199" s="151">
        <v>11.3</v>
      </c>
      <c r="Q199" s="151">
        <f>P199*K222</f>
        <v>435.05</v>
      </c>
      <c r="R199" s="151">
        <f>G199+J199+M199+P199</f>
        <v>37.3</v>
      </c>
      <c r="S199" s="151">
        <f>H199+K199+N199+Q199</f>
        <v>1408.446</v>
      </c>
      <c r="T199" s="118" t="s">
        <v>21</v>
      </c>
      <c r="U199" s="8">
        <f>41.08*P199</f>
        <v>464.204</v>
      </c>
      <c r="V199" s="8">
        <f>H199+K199+N199+Q199</f>
        <v>1408.446</v>
      </c>
      <c r="W199" s="9">
        <f aca="true" t="shared" si="19" ref="W199:W208">G199+J199+M199+P199</f>
        <v>37.3</v>
      </c>
    </row>
    <row r="200" spans="1:22" s="9" customFormat="1" ht="25.5" customHeight="1" hidden="1">
      <c r="A200" s="149">
        <v>2</v>
      </c>
      <c r="B200" s="394" t="s">
        <v>41</v>
      </c>
      <c r="C200" s="395"/>
      <c r="D200" s="396"/>
      <c r="E200" s="150"/>
      <c r="F200" s="152"/>
      <c r="G200" s="151">
        <f>G201+G202+G203+G204+G205+G206</f>
        <v>5188.679999999999</v>
      </c>
      <c r="H200" s="151">
        <f>H201+H202+H204+H205+H206+H203</f>
        <v>136057.8288</v>
      </c>
      <c r="I200" s="151"/>
      <c r="J200" s="151">
        <f>J201+J202+J203+J204+J205+J206</f>
        <v>4597.45</v>
      </c>
      <c r="K200" s="151">
        <f>K201+K202+K203+K204+K205+K206</f>
        <v>119534.57199999999</v>
      </c>
      <c r="L200" s="151"/>
      <c r="M200" s="151">
        <f>M201+M202+M203+M204+M205+M206</f>
        <v>4948.61</v>
      </c>
      <c r="N200" s="151">
        <f>N201+N202+N203+N204+N205+N206</f>
        <v>134143.28500000003</v>
      </c>
      <c r="O200" s="151"/>
      <c r="P200" s="151">
        <f>P201+P202+P203+P204+P205+P206</f>
        <v>4697.63</v>
      </c>
      <c r="Q200" s="151">
        <f>Q201+Q202+Q203+Q204+Q205+Q206</f>
        <v>125820.235</v>
      </c>
      <c r="R200" s="151">
        <f>R201+R202+R204+R205+R206+R203</f>
        <v>19432.370000000003</v>
      </c>
      <c r="S200" s="151">
        <f>S201+S202+S203+S204+S205+S206</f>
        <v>515555.92079999996</v>
      </c>
      <c r="T200" s="118"/>
      <c r="U200" s="8"/>
      <c r="V200" s="8"/>
    </row>
    <row r="201" spans="1:23" s="9" customFormat="1" ht="32.25" customHeight="1" hidden="1">
      <c r="A201" s="152"/>
      <c r="B201" s="390" t="s">
        <v>34</v>
      </c>
      <c r="C201" s="391"/>
      <c r="D201" s="392"/>
      <c r="E201" s="153"/>
      <c r="F201" s="152">
        <v>2715</v>
      </c>
      <c r="G201" s="154">
        <v>748.28</v>
      </c>
      <c r="H201" s="154">
        <f>G201*J222</f>
        <v>27806.084799999997</v>
      </c>
      <c r="I201" s="154">
        <v>2715</v>
      </c>
      <c r="J201" s="154">
        <v>409.15</v>
      </c>
      <c r="K201" s="154">
        <f>J201*J222</f>
        <v>15204.013999999997</v>
      </c>
      <c r="L201" s="154">
        <v>2715</v>
      </c>
      <c r="M201" s="154">
        <v>662.91</v>
      </c>
      <c r="N201" s="154">
        <f>M201*K222</f>
        <v>25522.035</v>
      </c>
      <c r="O201" s="154">
        <v>2715</v>
      </c>
      <c r="P201" s="154">
        <v>464.93</v>
      </c>
      <c r="Q201" s="154">
        <f>P201*K222</f>
        <v>17899.805</v>
      </c>
      <c r="R201" s="154">
        <f aca="true" t="shared" si="20" ref="R201:S207">G201+J201+M201+P201</f>
        <v>2285.2699999999995</v>
      </c>
      <c r="S201" s="154">
        <f t="shared" si="20"/>
        <v>86431.9388</v>
      </c>
      <c r="T201" s="118" t="s">
        <v>21</v>
      </c>
      <c r="U201" s="8">
        <f aca="true" t="shared" si="21" ref="U201:U208">41.08*P201</f>
        <v>19099.324399999998</v>
      </c>
      <c r="V201" s="8">
        <f aca="true" t="shared" si="22" ref="V201:V208">H201+K201+N201+Q201</f>
        <v>86431.9388</v>
      </c>
      <c r="W201" s="9">
        <f t="shared" si="19"/>
        <v>2285.2699999999995</v>
      </c>
    </row>
    <row r="202" spans="1:23" s="9" customFormat="1" ht="33.75" customHeight="1" hidden="1">
      <c r="A202" s="152"/>
      <c r="B202" s="390" t="s">
        <v>35</v>
      </c>
      <c r="C202" s="391"/>
      <c r="D202" s="392"/>
      <c r="E202" s="153"/>
      <c r="F202" s="152">
        <v>816</v>
      </c>
      <c r="G202" s="154">
        <v>660</v>
      </c>
      <c r="H202" s="154">
        <f>G202*J222</f>
        <v>24525.6</v>
      </c>
      <c r="I202" s="154">
        <v>816</v>
      </c>
      <c r="J202" s="154">
        <v>660</v>
      </c>
      <c r="K202" s="154">
        <f>J202*J222</f>
        <v>24525.6</v>
      </c>
      <c r="L202" s="154">
        <v>816</v>
      </c>
      <c r="M202" s="154">
        <v>660</v>
      </c>
      <c r="N202" s="154">
        <f>M202*K222</f>
        <v>25410</v>
      </c>
      <c r="O202" s="154">
        <v>816</v>
      </c>
      <c r="P202" s="154">
        <v>660</v>
      </c>
      <c r="Q202" s="154">
        <f>P202*K222</f>
        <v>25410</v>
      </c>
      <c r="R202" s="154">
        <f t="shared" si="20"/>
        <v>2640</v>
      </c>
      <c r="S202" s="154">
        <f t="shared" si="20"/>
        <v>99871.2</v>
      </c>
      <c r="T202" s="118" t="s">
        <v>21</v>
      </c>
      <c r="U202" s="8">
        <f t="shared" si="21"/>
        <v>27112.8</v>
      </c>
      <c r="V202" s="8">
        <f t="shared" si="22"/>
        <v>99871.2</v>
      </c>
      <c r="W202" s="9">
        <f t="shared" si="19"/>
        <v>2640</v>
      </c>
    </row>
    <row r="203" spans="1:23" s="9" customFormat="1" ht="34.5" customHeight="1" hidden="1">
      <c r="A203" s="152"/>
      <c r="B203" s="390" t="s">
        <v>36</v>
      </c>
      <c r="C203" s="391"/>
      <c r="D203" s="392"/>
      <c r="E203" s="153"/>
      <c r="F203" s="152">
        <v>910.2</v>
      </c>
      <c r="G203" s="154">
        <v>774</v>
      </c>
      <c r="H203" s="154">
        <f>G203*J223</f>
        <v>8196.66</v>
      </c>
      <c r="I203" s="154">
        <v>1072.5</v>
      </c>
      <c r="J203" s="154">
        <v>912</v>
      </c>
      <c r="K203" s="154">
        <f>J203*J223</f>
        <v>9658.08</v>
      </c>
      <c r="L203" s="154">
        <v>905.1</v>
      </c>
      <c r="M203" s="154">
        <v>769</v>
      </c>
      <c r="N203" s="154">
        <f>M203*K223</f>
        <v>8143.71</v>
      </c>
      <c r="O203" s="154">
        <v>1121.6</v>
      </c>
      <c r="P203" s="154">
        <v>940</v>
      </c>
      <c r="Q203" s="154">
        <f>P203*K223</f>
        <v>9954.6</v>
      </c>
      <c r="R203" s="154">
        <f t="shared" si="20"/>
        <v>3395</v>
      </c>
      <c r="S203" s="154">
        <f t="shared" si="20"/>
        <v>35953.049999999996</v>
      </c>
      <c r="T203" s="118" t="s">
        <v>21</v>
      </c>
      <c r="U203" s="8">
        <f>11.81*P203</f>
        <v>11101.4</v>
      </c>
      <c r="V203" s="8">
        <f t="shared" si="22"/>
        <v>35953.049999999996</v>
      </c>
      <c r="W203" s="9">
        <f t="shared" si="19"/>
        <v>3395</v>
      </c>
    </row>
    <row r="204" spans="1:23" s="9" customFormat="1" ht="28.5" customHeight="1" hidden="1">
      <c r="A204" s="152"/>
      <c r="B204" s="393" t="s">
        <v>37</v>
      </c>
      <c r="C204" s="393"/>
      <c r="D204" s="393"/>
      <c r="E204" s="155"/>
      <c r="F204" s="152">
        <v>1845</v>
      </c>
      <c r="G204" s="154">
        <v>1362</v>
      </c>
      <c r="H204" s="154">
        <f>G204*J223</f>
        <v>14423.58</v>
      </c>
      <c r="I204" s="154">
        <v>1803</v>
      </c>
      <c r="J204" s="154">
        <v>1019</v>
      </c>
      <c r="K204" s="154">
        <f>J204*J223</f>
        <v>10791.21</v>
      </c>
      <c r="L204" s="154">
        <v>1803</v>
      </c>
      <c r="M204" s="154">
        <v>1251</v>
      </c>
      <c r="N204" s="154">
        <f>M204*K223</f>
        <v>13248.09</v>
      </c>
      <c r="O204" s="154">
        <v>1813.3</v>
      </c>
      <c r="P204" s="154">
        <v>1032</v>
      </c>
      <c r="Q204" s="154">
        <f>P204*K223</f>
        <v>10928.88</v>
      </c>
      <c r="R204" s="154">
        <f t="shared" si="20"/>
        <v>4664</v>
      </c>
      <c r="S204" s="154">
        <f t="shared" si="20"/>
        <v>49391.76</v>
      </c>
      <c r="T204" s="118" t="s">
        <v>21</v>
      </c>
      <c r="U204" s="8">
        <f t="shared" si="21"/>
        <v>42394.56</v>
      </c>
      <c r="V204" s="8">
        <f t="shared" si="22"/>
        <v>49391.76</v>
      </c>
      <c r="W204" s="9">
        <f t="shared" si="19"/>
        <v>4664</v>
      </c>
    </row>
    <row r="205" spans="1:23" s="9" customFormat="1" ht="33" customHeight="1" hidden="1">
      <c r="A205" s="152"/>
      <c r="B205" s="393" t="s">
        <v>38</v>
      </c>
      <c r="C205" s="393"/>
      <c r="D205" s="393"/>
      <c r="E205" s="155"/>
      <c r="F205" s="152">
        <v>74.5</v>
      </c>
      <c r="G205" s="154">
        <v>1568</v>
      </c>
      <c r="H205" s="154">
        <f>G205*J222</f>
        <v>58266.88</v>
      </c>
      <c r="I205" s="154">
        <v>72.8</v>
      </c>
      <c r="J205" s="154">
        <v>1533</v>
      </c>
      <c r="K205" s="154">
        <f>J205*J222</f>
        <v>56966.27999999999</v>
      </c>
      <c r="L205" s="154">
        <v>72.9</v>
      </c>
      <c r="M205" s="154">
        <v>1533</v>
      </c>
      <c r="N205" s="154">
        <f>M205*K222</f>
        <v>59020.5</v>
      </c>
      <c r="O205" s="154">
        <v>72.9</v>
      </c>
      <c r="P205" s="154">
        <v>1541</v>
      </c>
      <c r="Q205" s="154">
        <f>P205*K222</f>
        <v>59328.5</v>
      </c>
      <c r="R205" s="154">
        <f t="shared" si="20"/>
        <v>6175</v>
      </c>
      <c r="S205" s="154">
        <f t="shared" si="20"/>
        <v>233582.15999999997</v>
      </c>
      <c r="T205" s="118" t="s">
        <v>21</v>
      </c>
      <c r="U205" s="8">
        <f t="shared" si="21"/>
        <v>63304.28</v>
      </c>
      <c r="V205" s="8">
        <f t="shared" si="22"/>
        <v>233582.15999999997</v>
      </c>
      <c r="W205" s="9">
        <f t="shared" si="19"/>
        <v>6175</v>
      </c>
    </row>
    <row r="206" spans="1:23" s="9" customFormat="1" ht="44.25" customHeight="1" hidden="1">
      <c r="A206" s="152"/>
      <c r="B206" s="393" t="s">
        <v>39</v>
      </c>
      <c r="C206" s="393"/>
      <c r="D206" s="393"/>
      <c r="E206" s="155"/>
      <c r="F206" s="152">
        <v>88.6</v>
      </c>
      <c r="G206" s="154">
        <v>76.4</v>
      </c>
      <c r="H206" s="154">
        <f>G206*J222</f>
        <v>2839.024</v>
      </c>
      <c r="I206" s="154">
        <v>88.5</v>
      </c>
      <c r="J206" s="154">
        <v>64.3</v>
      </c>
      <c r="K206" s="154">
        <f>J206*J222</f>
        <v>2389.3879999999995</v>
      </c>
      <c r="L206" s="154">
        <v>88.5</v>
      </c>
      <c r="M206" s="154">
        <v>72.7</v>
      </c>
      <c r="N206" s="154">
        <f>M206*K222</f>
        <v>2798.9500000000003</v>
      </c>
      <c r="O206" s="154">
        <v>88.5</v>
      </c>
      <c r="P206" s="154">
        <v>59.7</v>
      </c>
      <c r="Q206" s="154">
        <f>P206*K222</f>
        <v>2298.4500000000003</v>
      </c>
      <c r="R206" s="154">
        <f>G206+J206+M206+P206</f>
        <v>273.09999999999997</v>
      </c>
      <c r="S206" s="154">
        <f t="shared" si="20"/>
        <v>10325.812</v>
      </c>
      <c r="T206" s="118" t="s">
        <v>21</v>
      </c>
      <c r="U206" s="8">
        <f t="shared" si="21"/>
        <v>2452.476</v>
      </c>
      <c r="V206" s="8">
        <f t="shared" si="22"/>
        <v>10325.812</v>
      </c>
      <c r="W206" s="9">
        <f t="shared" si="19"/>
        <v>273.09999999999997</v>
      </c>
    </row>
    <row r="207" spans="1:23" s="9" customFormat="1" ht="51.75" customHeight="1" hidden="1">
      <c r="A207" s="149">
        <v>3</v>
      </c>
      <c r="B207" s="394" t="s">
        <v>42</v>
      </c>
      <c r="C207" s="395"/>
      <c r="D207" s="396"/>
      <c r="E207" s="150"/>
      <c r="F207" s="152">
        <v>118.05</v>
      </c>
      <c r="G207" s="151">
        <v>263</v>
      </c>
      <c r="H207" s="151">
        <f>G207*J222</f>
        <v>9773.08</v>
      </c>
      <c r="I207" s="151">
        <v>118.05</v>
      </c>
      <c r="J207" s="151">
        <v>252</v>
      </c>
      <c r="K207" s="151">
        <f>J207*J222</f>
        <v>9364.32</v>
      </c>
      <c r="L207" s="151">
        <v>118.05</v>
      </c>
      <c r="M207" s="151">
        <v>248</v>
      </c>
      <c r="N207" s="151">
        <f>M207*K222</f>
        <v>9548</v>
      </c>
      <c r="O207" s="151">
        <v>118.05</v>
      </c>
      <c r="P207" s="151">
        <v>268</v>
      </c>
      <c r="Q207" s="151">
        <f>P207*K222</f>
        <v>10318</v>
      </c>
      <c r="R207" s="151">
        <f t="shared" si="20"/>
        <v>1031</v>
      </c>
      <c r="S207" s="151">
        <f t="shared" si="20"/>
        <v>39003.4</v>
      </c>
      <c r="T207" s="118" t="s">
        <v>21</v>
      </c>
      <c r="U207" s="8">
        <f t="shared" si="21"/>
        <v>11009.439999999999</v>
      </c>
      <c r="V207" s="8">
        <f t="shared" si="22"/>
        <v>39003.4</v>
      </c>
      <c r="W207" s="9">
        <f t="shared" si="19"/>
        <v>1031</v>
      </c>
    </row>
    <row r="208" spans="1:23" s="9" customFormat="1" ht="33.75" customHeight="1" hidden="1">
      <c r="A208" s="149">
        <v>4</v>
      </c>
      <c r="B208" s="394" t="s">
        <v>43</v>
      </c>
      <c r="C208" s="395"/>
      <c r="D208" s="396"/>
      <c r="E208" s="150"/>
      <c r="F208" s="152">
        <v>180</v>
      </c>
      <c r="G208" s="151">
        <f>G209</f>
        <v>23.4</v>
      </c>
      <c r="H208" s="151">
        <f>H209</f>
        <v>869.5439999999999</v>
      </c>
      <c r="I208" s="151"/>
      <c r="J208" s="151">
        <f>J209</f>
        <v>23.4</v>
      </c>
      <c r="K208" s="151">
        <f>K209</f>
        <v>869.5439999999999</v>
      </c>
      <c r="L208" s="151"/>
      <c r="M208" s="151">
        <f>M209</f>
        <v>23.4</v>
      </c>
      <c r="N208" s="151">
        <f>N209</f>
        <v>900.9</v>
      </c>
      <c r="O208" s="151"/>
      <c r="P208" s="151">
        <f>P209</f>
        <v>23.1</v>
      </c>
      <c r="Q208" s="151">
        <f>Q209</f>
        <v>889.35</v>
      </c>
      <c r="R208" s="151">
        <f>R209</f>
        <v>93.29999999999998</v>
      </c>
      <c r="S208" s="151">
        <f>S209</f>
        <v>3529.3379999999997</v>
      </c>
      <c r="T208" s="118" t="s">
        <v>21</v>
      </c>
      <c r="U208" s="8">
        <f t="shared" si="21"/>
        <v>948.948</v>
      </c>
      <c r="V208" s="8">
        <f t="shared" si="22"/>
        <v>3529.3379999999997</v>
      </c>
      <c r="W208" s="9">
        <f t="shared" si="19"/>
        <v>93.29999999999998</v>
      </c>
    </row>
    <row r="209" spans="1:22" s="9" customFormat="1" ht="27.75" customHeight="1" hidden="1">
      <c r="A209" s="152"/>
      <c r="B209" s="390" t="s">
        <v>44</v>
      </c>
      <c r="C209" s="391"/>
      <c r="D209" s="392"/>
      <c r="E209" s="153"/>
      <c r="F209" s="152"/>
      <c r="G209" s="154">
        <v>23.4</v>
      </c>
      <c r="H209" s="154">
        <f>G209*J222</f>
        <v>869.5439999999999</v>
      </c>
      <c r="I209" s="154"/>
      <c r="J209" s="154">
        <v>23.4</v>
      </c>
      <c r="K209" s="154">
        <f>J209*J222</f>
        <v>869.5439999999999</v>
      </c>
      <c r="L209" s="154"/>
      <c r="M209" s="154">
        <v>23.4</v>
      </c>
      <c r="N209" s="154">
        <f>M209*K222</f>
        <v>900.9</v>
      </c>
      <c r="O209" s="154"/>
      <c r="P209" s="154">
        <v>23.1</v>
      </c>
      <c r="Q209" s="154">
        <f>P209*K222</f>
        <v>889.35</v>
      </c>
      <c r="R209" s="154">
        <f>G209+J209+M209+P209</f>
        <v>93.29999999999998</v>
      </c>
      <c r="S209" s="154">
        <f>H209+K209+N209+Q209</f>
        <v>3529.3379999999997</v>
      </c>
      <c r="T209" s="118"/>
      <c r="U209" s="8"/>
      <c r="V209" s="8"/>
    </row>
    <row r="210" spans="1:22" s="9" customFormat="1" ht="33.75" customHeight="1" hidden="1">
      <c r="A210" s="149">
        <v>5</v>
      </c>
      <c r="B210" s="394" t="s">
        <v>47</v>
      </c>
      <c r="C210" s="395"/>
      <c r="D210" s="396"/>
      <c r="E210" s="150"/>
      <c r="F210" s="152"/>
      <c r="G210" s="151">
        <f>G211+G212+G213+G214+G215+G216</f>
        <v>189.14000000000001</v>
      </c>
      <c r="H210" s="151">
        <f>H211+H212+H213+H214+H215+H216</f>
        <v>6316.366399999999</v>
      </c>
      <c r="I210" s="151"/>
      <c r="J210" s="151">
        <f>J211+J212+J213+J214+J215+J216</f>
        <v>169.2</v>
      </c>
      <c r="K210" s="151">
        <f>K211+K212+K214+K216+K213+K215</f>
        <v>5710.902999999999</v>
      </c>
      <c r="L210" s="151"/>
      <c r="M210" s="151">
        <f>M211+M212+M213+M214+M215+M216</f>
        <v>143.23000000000002</v>
      </c>
      <c r="N210" s="151">
        <f>N211+N212+N213+N214+N215+N216</f>
        <v>4908.708</v>
      </c>
      <c r="O210" s="151"/>
      <c r="P210" s="151">
        <f>P211+P212+P213+P214+P215+P216</f>
        <v>174.28</v>
      </c>
      <c r="Q210" s="151">
        <f>Q211+Q212+Q213+Q214+Q215+Q216</f>
        <v>5942.255</v>
      </c>
      <c r="R210" s="151">
        <f>R211+R212+R213+R214+R215+R216</f>
        <v>675.85</v>
      </c>
      <c r="S210" s="151">
        <f>S211+S212+S213+S214+S215+S216</f>
        <v>22878.2324</v>
      </c>
      <c r="T210" s="118"/>
      <c r="U210" s="8"/>
      <c r="V210" s="8"/>
    </row>
    <row r="211" spans="1:22" s="9" customFormat="1" ht="33.75" customHeight="1" hidden="1">
      <c r="A211" s="149"/>
      <c r="B211" s="390" t="s">
        <v>48</v>
      </c>
      <c r="C211" s="391"/>
      <c r="D211" s="392"/>
      <c r="E211" s="153"/>
      <c r="F211" s="152"/>
      <c r="G211" s="154">
        <v>8.64</v>
      </c>
      <c r="H211" s="154">
        <f>G211*J222</f>
        <v>321.06239999999997</v>
      </c>
      <c r="I211" s="154"/>
      <c r="J211" s="154">
        <v>8</v>
      </c>
      <c r="K211" s="154">
        <f>J211*J222</f>
        <v>297.28</v>
      </c>
      <c r="L211" s="154"/>
      <c r="M211" s="154">
        <v>5.23</v>
      </c>
      <c r="N211" s="154">
        <f>M211*K222</f>
        <v>201.35500000000002</v>
      </c>
      <c r="O211" s="154"/>
      <c r="P211" s="154">
        <v>7.48</v>
      </c>
      <c r="Q211" s="154">
        <f>P211*K222</f>
        <v>287.98</v>
      </c>
      <c r="R211" s="154">
        <f aca="true" t="shared" si="23" ref="R211:S216">G211+J211+M211+P211</f>
        <v>29.35</v>
      </c>
      <c r="S211" s="154">
        <f t="shared" si="23"/>
        <v>1107.6774</v>
      </c>
      <c r="T211" s="118"/>
      <c r="U211" s="8"/>
      <c r="V211" s="8"/>
    </row>
    <row r="212" spans="1:22" s="9" customFormat="1" ht="33.75" customHeight="1" hidden="1">
      <c r="A212" s="149"/>
      <c r="B212" s="390" t="s">
        <v>49</v>
      </c>
      <c r="C212" s="391"/>
      <c r="D212" s="392"/>
      <c r="E212" s="153"/>
      <c r="F212" s="152"/>
      <c r="G212" s="154">
        <v>53.5</v>
      </c>
      <c r="H212" s="154">
        <f>G212*J222</f>
        <v>1988.0599999999997</v>
      </c>
      <c r="I212" s="154"/>
      <c r="J212" s="154">
        <v>52.5</v>
      </c>
      <c r="K212" s="154">
        <f>J212*J222</f>
        <v>1950.8999999999999</v>
      </c>
      <c r="L212" s="154"/>
      <c r="M212" s="154">
        <v>42.5</v>
      </c>
      <c r="N212" s="154">
        <f>M212*K222</f>
        <v>1636.25</v>
      </c>
      <c r="O212" s="154"/>
      <c r="P212" s="154">
        <v>51.5</v>
      </c>
      <c r="Q212" s="154">
        <f>P212*K222</f>
        <v>1982.75</v>
      </c>
      <c r="R212" s="154">
        <f t="shared" si="23"/>
        <v>200</v>
      </c>
      <c r="S212" s="154">
        <f t="shared" si="23"/>
        <v>7557.959999999999</v>
      </c>
      <c r="T212" s="118"/>
      <c r="U212" s="8"/>
      <c r="V212" s="8"/>
    </row>
    <row r="213" spans="1:22" s="9" customFormat="1" ht="33.75" customHeight="1" hidden="1">
      <c r="A213" s="149"/>
      <c r="B213" s="390" t="s">
        <v>50</v>
      </c>
      <c r="C213" s="391"/>
      <c r="D213" s="392"/>
      <c r="E213" s="153"/>
      <c r="F213" s="152"/>
      <c r="G213" s="154">
        <v>40</v>
      </c>
      <c r="H213" s="154">
        <f>G213*J222</f>
        <v>1486.3999999999999</v>
      </c>
      <c r="I213" s="154"/>
      <c r="J213" s="154">
        <v>40</v>
      </c>
      <c r="K213" s="154">
        <f>J213*J222</f>
        <v>1486.3999999999999</v>
      </c>
      <c r="L213" s="154"/>
      <c r="M213" s="154">
        <v>38.9</v>
      </c>
      <c r="N213" s="154">
        <f>M213*K222</f>
        <v>1497.6499999999999</v>
      </c>
      <c r="O213" s="154"/>
      <c r="P213" s="154">
        <v>39.5</v>
      </c>
      <c r="Q213" s="154">
        <f>P213*K222</f>
        <v>1520.75</v>
      </c>
      <c r="R213" s="154">
        <f t="shared" si="23"/>
        <v>158.4</v>
      </c>
      <c r="S213" s="154">
        <f t="shared" si="23"/>
        <v>5991.2</v>
      </c>
      <c r="T213" s="118"/>
      <c r="U213" s="8"/>
      <c r="V213" s="8"/>
    </row>
    <row r="214" spans="1:22" s="9" customFormat="1" ht="33.75" customHeight="1" hidden="1">
      <c r="A214" s="149"/>
      <c r="B214" s="393" t="s">
        <v>40</v>
      </c>
      <c r="C214" s="393"/>
      <c r="D214" s="393"/>
      <c r="E214" s="155"/>
      <c r="F214" s="152"/>
      <c r="G214" s="154">
        <v>60.2</v>
      </c>
      <c r="H214" s="154">
        <f>G214*J222</f>
        <v>2237.0319999999997</v>
      </c>
      <c r="I214" s="154"/>
      <c r="J214" s="154">
        <v>47</v>
      </c>
      <c r="K214" s="154">
        <f>J214*J222</f>
        <v>1746.5199999999998</v>
      </c>
      <c r="L214" s="154"/>
      <c r="M214" s="154">
        <v>34.9</v>
      </c>
      <c r="N214" s="154">
        <f>M214*K222</f>
        <v>1343.6499999999999</v>
      </c>
      <c r="O214" s="154"/>
      <c r="P214" s="154">
        <v>48.3</v>
      </c>
      <c r="Q214" s="154">
        <f>P214*K222</f>
        <v>1859.55</v>
      </c>
      <c r="R214" s="154">
        <f t="shared" si="23"/>
        <v>190.39999999999998</v>
      </c>
      <c r="S214" s="154">
        <f t="shared" si="23"/>
        <v>7186.7519999999995</v>
      </c>
      <c r="T214" s="118"/>
      <c r="U214" s="8"/>
      <c r="V214" s="8"/>
    </row>
    <row r="215" spans="1:22" s="9" customFormat="1" ht="33.75" customHeight="1" hidden="1">
      <c r="A215" s="149"/>
      <c r="B215" s="393" t="s">
        <v>51</v>
      </c>
      <c r="C215" s="393"/>
      <c r="D215" s="393"/>
      <c r="E215" s="155"/>
      <c r="F215" s="152"/>
      <c r="G215" s="154">
        <v>7.3</v>
      </c>
      <c r="H215" s="154">
        <f>G215*J223</f>
        <v>77.307</v>
      </c>
      <c r="I215" s="154"/>
      <c r="J215" s="154">
        <v>2.2</v>
      </c>
      <c r="K215" s="154">
        <f>J215*J223</f>
        <v>23.298000000000002</v>
      </c>
      <c r="L215" s="154"/>
      <c r="M215" s="154">
        <v>2.2</v>
      </c>
      <c r="N215" s="154">
        <f>M215*K223</f>
        <v>23.298000000000002</v>
      </c>
      <c r="O215" s="154"/>
      <c r="P215" s="154">
        <v>8</v>
      </c>
      <c r="Q215" s="154">
        <f>P215*K223</f>
        <v>84.72</v>
      </c>
      <c r="R215" s="154">
        <f t="shared" si="23"/>
        <v>19.7</v>
      </c>
      <c r="S215" s="154">
        <f t="shared" si="23"/>
        <v>208.623</v>
      </c>
      <c r="T215" s="118"/>
      <c r="U215" s="8"/>
      <c r="V215" s="8"/>
    </row>
    <row r="216" spans="1:22" s="9" customFormat="1" ht="33.75" customHeight="1" hidden="1">
      <c r="A216" s="149"/>
      <c r="B216" s="393" t="s">
        <v>52</v>
      </c>
      <c r="C216" s="393"/>
      <c r="D216" s="393"/>
      <c r="E216" s="155"/>
      <c r="F216" s="152"/>
      <c r="G216" s="154">
        <v>19.5</v>
      </c>
      <c r="H216" s="154">
        <f>G216*J223</f>
        <v>206.505</v>
      </c>
      <c r="I216" s="154"/>
      <c r="J216" s="154">
        <v>19.5</v>
      </c>
      <c r="K216" s="154">
        <f>J216*J223</f>
        <v>206.505</v>
      </c>
      <c r="L216" s="154"/>
      <c r="M216" s="154">
        <v>19.5</v>
      </c>
      <c r="N216" s="154">
        <f>M216*K223</f>
        <v>206.505</v>
      </c>
      <c r="O216" s="154"/>
      <c r="P216" s="154">
        <v>19.5</v>
      </c>
      <c r="Q216" s="154">
        <f>P216*K223</f>
        <v>206.505</v>
      </c>
      <c r="R216" s="154">
        <f t="shared" si="23"/>
        <v>78</v>
      </c>
      <c r="S216" s="154">
        <f t="shared" si="23"/>
        <v>826.02</v>
      </c>
      <c r="T216" s="118"/>
      <c r="U216" s="8"/>
      <c r="V216" s="8"/>
    </row>
    <row r="217" spans="1:22" s="9" customFormat="1" ht="33.75" customHeight="1" hidden="1">
      <c r="A217" s="149">
        <v>6</v>
      </c>
      <c r="B217" s="394" t="s">
        <v>53</v>
      </c>
      <c r="C217" s="395"/>
      <c r="D217" s="396"/>
      <c r="E217" s="150"/>
      <c r="F217" s="152"/>
      <c r="G217" s="151">
        <f>G218+G219</f>
        <v>463.75</v>
      </c>
      <c r="H217" s="151">
        <f>H218+H219</f>
        <v>17232.949999999997</v>
      </c>
      <c r="I217" s="151"/>
      <c r="J217" s="151">
        <f>J218+J219</f>
        <v>564.53</v>
      </c>
      <c r="K217" s="151">
        <f>K218+K219</f>
        <v>20977.934799999995</v>
      </c>
      <c r="L217" s="151"/>
      <c r="M217" s="151">
        <f>M218+M219</f>
        <v>284.18</v>
      </c>
      <c r="N217" s="151">
        <f>N218+N219</f>
        <v>10940.93</v>
      </c>
      <c r="O217" s="151"/>
      <c r="P217" s="151">
        <f>P218+P219</f>
        <v>550.62</v>
      </c>
      <c r="Q217" s="151">
        <f>Q218+Q219</f>
        <v>21198.87</v>
      </c>
      <c r="R217" s="151">
        <f>R218+R219</f>
        <v>1863.08</v>
      </c>
      <c r="S217" s="151">
        <f>S218+S219</f>
        <v>70350.6848</v>
      </c>
      <c r="T217" s="118"/>
      <c r="U217" s="8"/>
      <c r="V217" s="8"/>
    </row>
    <row r="218" spans="1:22" s="9" customFormat="1" ht="33.75" customHeight="1" hidden="1">
      <c r="A218" s="152"/>
      <c r="B218" s="390" t="s">
        <v>54</v>
      </c>
      <c r="C218" s="391"/>
      <c r="D218" s="392"/>
      <c r="E218" s="153"/>
      <c r="F218" s="152"/>
      <c r="G218" s="154">
        <v>45.6</v>
      </c>
      <c r="H218" s="154">
        <f>G218*J222</f>
        <v>1694.4959999999999</v>
      </c>
      <c r="I218" s="154"/>
      <c r="J218" s="154">
        <v>64.5</v>
      </c>
      <c r="K218" s="154">
        <f>J218*J222</f>
        <v>2396.8199999999997</v>
      </c>
      <c r="L218" s="154"/>
      <c r="M218" s="154">
        <v>113.6</v>
      </c>
      <c r="N218" s="154">
        <f>M218*K222</f>
        <v>4373.599999999999</v>
      </c>
      <c r="O218" s="154"/>
      <c r="P218" s="154">
        <v>50.1</v>
      </c>
      <c r="Q218" s="154">
        <f>P218*K222</f>
        <v>1928.8500000000001</v>
      </c>
      <c r="R218" s="154">
        <f>G218+J218+M218+P218</f>
        <v>273.8</v>
      </c>
      <c r="S218" s="154">
        <f>H218+K218+N218+Q218</f>
        <v>10393.766</v>
      </c>
      <c r="T218" s="118"/>
      <c r="U218" s="8"/>
      <c r="V218" s="8"/>
    </row>
    <row r="219" spans="1:22" s="9" customFormat="1" ht="33.75" customHeight="1" hidden="1">
      <c r="A219" s="152"/>
      <c r="B219" s="390" t="s">
        <v>55</v>
      </c>
      <c r="C219" s="391"/>
      <c r="D219" s="392"/>
      <c r="E219" s="153"/>
      <c r="F219" s="152"/>
      <c r="G219" s="154">
        <v>418.15</v>
      </c>
      <c r="H219" s="154">
        <f>G219*J222</f>
        <v>15538.453999999998</v>
      </c>
      <c r="I219" s="154"/>
      <c r="J219" s="154">
        <v>500.03</v>
      </c>
      <c r="K219" s="154">
        <f>J219*J222</f>
        <v>18581.114799999996</v>
      </c>
      <c r="L219" s="154"/>
      <c r="M219" s="154">
        <v>170.58</v>
      </c>
      <c r="N219" s="154">
        <f>M219*K222</f>
        <v>6567.330000000001</v>
      </c>
      <c r="O219" s="154"/>
      <c r="P219" s="154">
        <v>500.52</v>
      </c>
      <c r="Q219" s="154">
        <f>P219*K222</f>
        <v>19270.02</v>
      </c>
      <c r="R219" s="154">
        <f>G219+J219+M219+P219</f>
        <v>1589.28</v>
      </c>
      <c r="S219" s="154">
        <f>H219+K219+N219+Q219</f>
        <v>59956.9188</v>
      </c>
      <c r="T219" s="118"/>
      <c r="U219" s="8"/>
      <c r="V219" s="8"/>
    </row>
    <row r="220" spans="1:20" s="9" customFormat="1" ht="35.25" hidden="1">
      <c r="A220" s="161"/>
      <c r="B220" s="397" t="s">
        <v>19</v>
      </c>
      <c r="C220" s="397"/>
      <c r="D220" s="397"/>
      <c r="E220" s="162"/>
      <c r="F220" s="149">
        <f>SUM(F199:F208)</f>
        <v>6764.85</v>
      </c>
      <c r="G220" s="151">
        <f>G199+G200+G207+G208+G210+G217</f>
        <v>6140.2699999999995</v>
      </c>
      <c r="H220" s="151">
        <f>H199+H200+H207+H208+H210+H217</f>
        <v>170706.83719999995</v>
      </c>
      <c r="I220" s="151">
        <f>SUM(I199:I208)</f>
        <v>6703.35</v>
      </c>
      <c r="J220" s="151">
        <f>J199+J200+J207+J208+J210+J217</f>
        <v>5614.879999999999</v>
      </c>
      <c r="K220" s="151">
        <f>K199+K200+K207+K208+K210+K217</f>
        <v>156765.70179999995</v>
      </c>
      <c r="L220" s="151">
        <f>SUM(L199:L208)</f>
        <v>6536.05</v>
      </c>
      <c r="M220" s="151">
        <f>M199+M200+M207+M208+M210+M217</f>
        <v>5652.82</v>
      </c>
      <c r="N220" s="151">
        <f>N199+N200+N207+N208+N210+N217</f>
        <v>160649.72300000003</v>
      </c>
      <c r="O220" s="151">
        <f>SUM(O199:O208)</f>
        <v>6762.85</v>
      </c>
      <c r="P220" s="151">
        <f>P199+P200+P207+P208+P210+P217</f>
        <v>5724.93</v>
      </c>
      <c r="Q220" s="151">
        <f>Q199+Q200+Q207+Q208+Q210+Q217</f>
        <v>164603.76</v>
      </c>
      <c r="R220" s="151">
        <f>R199+R200+R207+R208+R210+R217</f>
        <v>23132.9</v>
      </c>
      <c r="S220" s="151">
        <f>S199+S200+S207+S208+S210+S217</f>
        <v>652726.022</v>
      </c>
      <c r="T220" s="118"/>
    </row>
    <row r="221" spans="1:20" s="9" customFormat="1" ht="35.25" hidden="1">
      <c r="A221" s="157"/>
      <c r="B221" s="398" t="s">
        <v>8</v>
      </c>
      <c r="C221" s="399"/>
      <c r="D221" s="400"/>
      <c r="E221" s="163"/>
      <c r="F221" s="401" t="s">
        <v>61</v>
      </c>
      <c r="G221" s="401"/>
      <c r="H221" s="401"/>
      <c r="I221" s="401"/>
      <c r="J221" s="401"/>
      <c r="K221" s="401"/>
      <c r="L221" s="401"/>
      <c r="M221" s="401"/>
      <c r="N221" s="401"/>
      <c r="O221" s="401"/>
      <c r="P221" s="401"/>
      <c r="Q221" s="401"/>
      <c r="R221" s="401"/>
      <c r="S221" s="401"/>
      <c r="T221" s="118"/>
    </row>
    <row r="222" spans="1:20" s="9" customFormat="1" ht="35.25" hidden="1">
      <c r="A222" s="129"/>
      <c r="B222" s="129"/>
      <c r="C222" s="129"/>
      <c r="D222" s="129"/>
      <c r="E222" s="129"/>
      <c r="F222" s="129"/>
      <c r="G222" s="129"/>
      <c r="H222" s="132" t="s">
        <v>12</v>
      </c>
      <c r="I222" s="132"/>
      <c r="J222" s="132">
        <v>37.16</v>
      </c>
      <c r="K222" s="132">
        <v>38.5</v>
      </c>
      <c r="L222" s="129"/>
      <c r="M222" s="129"/>
      <c r="N222" s="129"/>
      <c r="O222" s="129"/>
      <c r="P222" s="129"/>
      <c r="Q222" s="129"/>
      <c r="R222" s="129"/>
      <c r="S222" s="129"/>
      <c r="T222" s="118"/>
    </row>
    <row r="223" spans="1:20" s="9" customFormat="1" ht="35.25" hidden="1">
      <c r="A223" s="129"/>
      <c r="B223" s="129"/>
      <c r="C223" s="129"/>
      <c r="D223" s="129"/>
      <c r="E223" s="129"/>
      <c r="F223" s="129"/>
      <c r="G223" s="129"/>
      <c r="H223" s="132" t="s">
        <v>20</v>
      </c>
      <c r="I223" s="132"/>
      <c r="J223" s="132">
        <v>10.59</v>
      </c>
      <c r="K223" s="132">
        <v>10.59</v>
      </c>
      <c r="L223" s="129"/>
      <c r="M223" s="129"/>
      <c r="N223" s="129"/>
      <c r="O223" s="129"/>
      <c r="P223" s="129"/>
      <c r="Q223" s="129"/>
      <c r="R223" s="129"/>
      <c r="S223" s="129"/>
      <c r="T223" s="118"/>
    </row>
    <row r="224" spans="1:20" s="9" customFormat="1" ht="35.25">
      <c r="A224" s="129"/>
      <c r="B224" s="129"/>
      <c r="C224" s="129"/>
      <c r="D224" s="129"/>
      <c r="E224" s="129"/>
      <c r="F224" s="129"/>
      <c r="G224" s="129"/>
      <c r="H224" s="129"/>
      <c r="I224" s="110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18"/>
    </row>
    <row r="225" spans="1:19" ht="35.25">
      <c r="A225" s="45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</row>
    <row r="226" spans="1:19" ht="35.25">
      <c r="A226" s="4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</row>
    <row r="227" spans="1:19" ht="35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35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35.25">
      <c r="A229" s="4"/>
      <c r="B229" s="4"/>
      <c r="C229" s="4"/>
      <c r="D229" s="4"/>
      <c r="E229" s="4"/>
      <c r="F229" s="48"/>
      <c r="L229" s="4"/>
      <c r="M229" s="4"/>
      <c r="N229" s="4"/>
      <c r="O229" s="4"/>
      <c r="P229" s="4"/>
      <c r="Q229" s="4"/>
      <c r="R229" s="4"/>
      <c r="S229" s="4"/>
    </row>
    <row r="230" ht="35.25">
      <c r="F230" s="49" t="s">
        <v>22</v>
      </c>
    </row>
    <row r="231" ht="35.25">
      <c r="F231" s="49" t="s">
        <v>23</v>
      </c>
    </row>
    <row r="232" ht="35.25">
      <c r="F232" s="49" t="s">
        <v>24</v>
      </c>
    </row>
    <row r="233" ht="35.25">
      <c r="F233" s="49" t="s">
        <v>25</v>
      </c>
    </row>
    <row r="234" ht="35.25">
      <c r="F234" s="49" t="s">
        <v>26</v>
      </c>
    </row>
    <row r="235" ht="35.25">
      <c r="F235" s="49" t="s">
        <v>27</v>
      </c>
    </row>
    <row r="236" ht="35.25">
      <c r="F236" s="49" t="s">
        <v>29</v>
      </c>
    </row>
    <row r="237" ht="35.25">
      <c r="F237" s="49" t="s">
        <v>30</v>
      </c>
    </row>
    <row r="238" ht="35.25">
      <c r="F238" s="49" t="s">
        <v>28</v>
      </c>
    </row>
  </sheetData>
  <sheetProtection/>
  <mergeCells count="222">
    <mergeCell ref="B115:D115"/>
    <mergeCell ref="B118:D118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F68:H68"/>
    <mergeCell ref="I68:K68"/>
    <mergeCell ref="L68:N68"/>
    <mergeCell ref="O68:Q68"/>
    <mergeCell ref="R68:S68"/>
    <mergeCell ref="B70:D70"/>
    <mergeCell ref="B73:D73"/>
    <mergeCell ref="B76:D76"/>
    <mergeCell ref="B79:D79"/>
    <mergeCell ref="B75:D75"/>
    <mergeCell ref="E68:E69"/>
    <mergeCell ref="B77:D77"/>
    <mergeCell ref="B72:D72"/>
    <mergeCell ref="B71:D71"/>
    <mergeCell ref="B78:D78"/>
    <mergeCell ref="B80:D80"/>
    <mergeCell ref="B81:D81"/>
    <mergeCell ref="B83:D83"/>
    <mergeCell ref="B101:D101"/>
    <mergeCell ref="B95:D95"/>
    <mergeCell ref="B96:D96"/>
    <mergeCell ref="B82:D82"/>
    <mergeCell ref="B84:D84"/>
    <mergeCell ref="B86:D86"/>
    <mergeCell ref="B132:D132"/>
    <mergeCell ref="B134:D134"/>
    <mergeCell ref="B135:D135"/>
    <mergeCell ref="B91:D91"/>
    <mergeCell ref="B94:D94"/>
    <mergeCell ref="B109:D109"/>
    <mergeCell ref="B110:D110"/>
    <mergeCell ref="B99:D99"/>
    <mergeCell ref="B92:D92"/>
    <mergeCell ref="B93:D93"/>
    <mergeCell ref="B142:D142"/>
    <mergeCell ref="B157:D157"/>
    <mergeCell ref="B160:D160"/>
    <mergeCell ref="B141:D141"/>
    <mergeCell ref="B143:D143"/>
    <mergeCell ref="B144:D144"/>
    <mergeCell ref="B145:D145"/>
    <mergeCell ref="B146:D146"/>
    <mergeCell ref="B147:D147"/>
    <mergeCell ref="B148:D148"/>
    <mergeCell ref="F160:S160"/>
    <mergeCell ref="Q164:S164"/>
    <mergeCell ref="Q165:S165"/>
    <mergeCell ref="Q166:S166"/>
    <mergeCell ref="A168:S168"/>
    <mergeCell ref="A169:A170"/>
    <mergeCell ref="B169:D170"/>
    <mergeCell ref="F169:H169"/>
    <mergeCell ref="I169:K169"/>
    <mergeCell ref="L169:N169"/>
    <mergeCell ref="O169:Q169"/>
    <mergeCell ref="R169:S169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F193:S193"/>
    <mergeCell ref="A196:S196"/>
    <mergeCell ref="A197:A198"/>
    <mergeCell ref="B197:D198"/>
    <mergeCell ref="F197:H197"/>
    <mergeCell ref="I197:K197"/>
    <mergeCell ref="L197:N197"/>
    <mergeCell ref="O197:Q197"/>
    <mergeCell ref="R197:S197"/>
    <mergeCell ref="B199:D199"/>
    <mergeCell ref="B200:D200"/>
    <mergeCell ref="B201:D201"/>
    <mergeCell ref="B202:D202"/>
    <mergeCell ref="B203:D203"/>
    <mergeCell ref="B204:D204"/>
    <mergeCell ref="B220:D220"/>
    <mergeCell ref="B221:D221"/>
    <mergeCell ref="F221:S221"/>
    <mergeCell ref="B211:D211"/>
    <mergeCell ref="B212:D212"/>
    <mergeCell ref="B213:D213"/>
    <mergeCell ref="B214:D214"/>
    <mergeCell ref="B215:D215"/>
    <mergeCell ref="B216:D216"/>
    <mergeCell ref="B217:D217"/>
    <mergeCell ref="B90:D90"/>
    <mergeCell ref="B88:D88"/>
    <mergeCell ref="B218:D218"/>
    <mergeCell ref="B219:D219"/>
    <mergeCell ref="B205:D205"/>
    <mergeCell ref="B206:D206"/>
    <mergeCell ref="B207:D207"/>
    <mergeCell ref="B208:D208"/>
    <mergeCell ref="B209:D209"/>
    <mergeCell ref="B210:D210"/>
    <mergeCell ref="B121:D121"/>
    <mergeCell ref="B124:D124"/>
    <mergeCell ref="B127:D127"/>
    <mergeCell ref="B122:D122"/>
    <mergeCell ref="B85:D85"/>
    <mergeCell ref="B97:D97"/>
    <mergeCell ref="B100:D100"/>
    <mergeCell ref="B98:D98"/>
    <mergeCell ref="B87:D87"/>
    <mergeCell ref="B89:D89"/>
    <mergeCell ref="B136:D136"/>
    <mergeCell ref="B139:D139"/>
    <mergeCell ref="B129:D129"/>
    <mergeCell ref="B131:D131"/>
    <mergeCell ref="B102:D102"/>
    <mergeCell ref="B111:D111"/>
    <mergeCell ref="B112:D112"/>
    <mergeCell ref="B125:D125"/>
    <mergeCell ref="B126:D126"/>
    <mergeCell ref="B128:D128"/>
    <mergeCell ref="B103:D103"/>
    <mergeCell ref="B106:D106"/>
    <mergeCell ref="B151:D151"/>
    <mergeCell ref="B154:D154"/>
    <mergeCell ref="B123:D123"/>
    <mergeCell ref="B137:D137"/>
    <mergeCell ref="B138:D138"/>
    <mergeCell ref="B130:D130"/>
    <mergeCell ref="B133:D133"/>
    <mergeCell ref="B140:D140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2" manualBreakCount="2">
    <brk id="96" max="18" man="1"/>
    <brk id="141" max="18" man="1"/>
  </rowBreaks>
  <colBreaks count="1" manualBreakCount="1">
    <brk id="2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2019-05-28T22:57:29Z</cp:lastPrinted>
  <dcterms:created xsi:type="dcterms:W3CDTF">1996-10-08T23:32:33Z</dcterms:created>
  <dcterms:modified xsi:type="dcterms:W3CDTF">2019-05-28T23:00:44Z</dcterms:modified>
  <cp:category/>
  <cp:version/>
  <cp:contentType/>
  <cp:contentStatus/>
</cp:coreProperties>
</file>